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8987"/>
  </bookViews>
  <sheets>
    <sheet name="NHG's optical glass 202608" sheetId="1" r:id="rId1"/>
    <sheet name="2025手册" sheetId="42" state="hidden" r:id="rId2"/>
    <sheet name="Single page" sheetId="40" r:id="rId3"/>
    <sheet name="小本-H (2)" sheetId="39" state="hidden" r:id="rId4"/>
    <sheet name="小本-H" sheetId="33" state="hidden" r:id="rId5"/>
    <sheet name="小本" sheetId="34" state="hidden" r:id="rId6"/>
    <sheet name="IR GLASS " sheetId="14" r:id="rId7"/>
    <sheet name="小本 IRG1系列" sheetId="27" state="hidden" r:id="rId8"/>
    <sheet name="小本 IRG2系列" sheetId="28" state="hidden" r:id="rId9"/>
    <sheet name="小本 IRG2系列 (2)" sheetId="32" state="hidden" r:id="rId10"/>
    <sheet name="小本 IR208" sheetId="30" state="hidden" r:id="rId11"/>
  </sheets>
  <externalReferences>
    <externalReference r:id="rId13"/>
    <externalReference r:id="rId14"/>
  </externalReferences>
  <definedNames>
    <definedName name="_xlnm._FilterDatabase" localSheetId="0" hidden="1">'NHG''s optical glass 202608'!$A$2:$KZ$198</definedName>
    <definedName name="_xlnm.Print_Area" localSheetId="10">'小本 IR208'!$B$2:$CK$19</definedName>
    <definedName name="_xlnm.Print_Area" localSheetId="7">'小本 IRG1系列'!$B$2:$CG$19</definedName>
    <definedName name="_xlnm.Print_Area" localSheetId="8">'小本 IRG2系列'!$B$2:$CL$18</definedName>
    <definedName name="_xlnm.Print_Area" localSheetId="9">'小本 IRG2系列 (2)'!$B$2:$AO$18</definedName>
    <definedName name="_xlnm.Print_Area" localSheetId="4">'小本-H'!$B$2:$AT$19</definedName>
    <definedName name="_xlnm.Print_Area" localSheetId="5">小本!$B$2:$CS$19</definedName>
    <definedName name="_xlnm.Print_Area" localSheetId="3">'小本-H (2)'!$B$2:$AT$19</definedName>
    <definedName name="_xlnm.Print_Area" localSheetId="2">'Single page'!$A$1:$S$54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输入牌号</t>
        </r>
      </text>
    </comment>
  </commentList>
</comments>
</file>

<file path=xl/sharedStrings.xml><?xml version="1.0" encoding="utf-8"?>
<sst xmlns="http://schemas.openxmlformats.org/spreadsheetml/2006/main" count="4206" uniqueCount="1993">
  <si>
    <t>λ</t>
  </si>
  <si>
    <t>Recommended products</t>
  </si>
  <si>
    <t>No.</t>
  </si>
  <si>
    <t>Glass</t>
  </si>
  <si>
    <t>Code</t>
  </si>
  <si>
    <t>Abbe-number</t>
  </si>
  <si>
    <t>Mean Dispersion</t>
  </si>
  <si>
    <t>Refractive Indices</t>
  </si>
  <si>
    <t>Constants of Dispersion Formula</t>
  </si>
  <si>
    <t>Relative Partial Dispersion</t>
  </si>
  <si>
    <t xml:space="preserve">Deviation of Relative Partial Dispersions </t>
  </si>
  <si>
    <r>
      <rPr>
        <b/>
        <sz val="10"/>
        <rFont val="Arial"/>
        <charset val="134"/>
      </rPr>
      <t>Relative value dn/dT (10-6/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</si>
  <si>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Absolute dn/dT (10-6/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</si>
  <si>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t>Constants of dn/dt</t>
  </si>
  <si>
    <t>Chemical Properties</t>
  </si>
  <si>
    <t>Thermal Properties</t>
  </si>
  <si>
    <t>Mechanical Properties</t>
  </si>
  <si>
    <t>Stress-Optical Coefficient</t>
  </si>
  <si>
    <t>Density</t>
  </si>
  <si>
    <t>Coloration Code</t>
  </si>
  <si>
    <t>Coloration of Internal Transmittance</t>
  </si>
  <si>
    <t>Solarization</t>
  </si>
  <si>
    <t>Internal Transmittance τ5mm</t>
  </si>
  <si>
    <t>Internal Transmittance τ10mm</t>
  </si>
  <si>
    <t>Production 
Method</t>
  </si>
  <si>
    <t>Reltive price</t>
  </si>
  <si>
    <t>Melting 
Frequency</t>
  </si>
  <si>
    <t>OHARA</t>
  </si>
  <si>
    <t>CDGM</t>
  </si>
  <si>
    <t>HOYA</t>
  </si>
  <si>
    <t>SUMITA</t>
  </si>
  <si>
    <t>SCHOTT</t>
  </si>
  <si>
    <r>
      <rPr>
        <b/>
        <sz val="10"/>
        <rFont val="Arial"/>
        <charset val="134"/>
      </rPr>
      <t>υ</t>
    </r>
    <r>
      <rPr>
        <b/>
        <vertAlign val="subscript"/>
        <sz val="10"/>
        <rFont val="Arial"/>
        <charset val="134"/>
      </rPr>
      <t>d</t>
    </r>
  </si>
  <si>
    <r>
      <rPr>
        <b/>
        <sz val="10"/>
        <rFont val="Arial"/>
        <charset val="134"/>
      </rPr>
      <t>υ</t>
    </r>
    <r>
      <rPr>
        <b/>
        <vertAlign val="subscript"/>
        <sz val="10"/>
        <rFont val="Arial"/>
        <charset val="134"/>
      </rPr>
      <t>e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</si>
  <si>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F</t>
    </r>
    <r>
      <rPr>
        <b/>
        <sz val="10"/>
        <rFont val="Arial"/>
        <charset val="134"/>
      </rPr>
      <t>–n</t>
    </r>
    <r>
      <rPr>
        <b/>
        <vertAlign val="subscript"/>
        <sz val="10"/>
        <rFont val="Arial"/>
        <charset val="134"/>
      </rPr>
      <t>C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</si>
  <si>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F´</t>
    </r>
    <r>
      <rPr>
        <b/>
        <sz val="10"/>
        <rFont val="Arial"/>
        <charset val="134"/>
      </rPr>
      <t>-n</t>
    </r>
    <r>
      <rPr>
        <b/>
        <vertAlign val="subscript"/>
        <sz val="10"/>
        <rFont val="Arial"/>
        <charset val="134"/>
      </rPr>
      <t>C´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</si>
  <si>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2325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</si>
  <si>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1970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</si>
  <si>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1530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</si>
  <si>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1129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</si>
  <si>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1064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</si>
  <si>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t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</si>
  <si>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s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</si>
  <si>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A´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</si>
  <si>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r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</si>
  <si>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C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</si>
  <si>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C´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</si>
  <si>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He-Ne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</si>
  <si>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D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</si>
  <si>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d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</si>
  <si>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e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</si>
  <si>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F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</si>
  <si>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F´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</si>
  <si>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g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</si>
  <si>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h</t>
    </r>
  </si>
  <si>
    <r>
      <rPr>
        <b/>
        <sz val="10"/>
        <rFont val="Arial"/>
        <charset val="134"/>
      </rPr>
      <t>n</t>
    </r>
    <r>
      <rPr>
        <b/>
        <vertAlign val="subscript"/>
        <sz val="10"/>
        <rFont val="Arial"/>
        <charset val="134"/>
      </rPr>
      <t>i</t>
    </r>
  </si>
  <si>
    <r>
      <rPr>
        <b/>
        <sz val="10"/>
        <rFont val="Arial"/>
        <charset val="134"/>
      </rPr>
      <t>A</t>
    </r>
    <r>
      <rPr>
        <b/>
        <vertAlign val="subscript"/>
        <sz val="10"/>
        <rFont val="Arial"/>
        <charset val="134"/>
      </rPr>
      <t>0</t>
    </r>
  </si>
  <si>
    <r>
      <rPr>
        <b/>
        <sz val="10"/>
        <rFont val="Arial"/>
        <charset val="134"/>
      </rPr>
      <t>A</t>
    </r>
    <r>
      <rPr>
        <b/>
        <vertAlign val="subscript"/>
        <sz val="10"/>
        <rFont val="Arial"/>
        <charset val="134"/>
      </rPr>
      <t>1</t>
    </r>
  </si>
  <si>
    <r>
      <rPr>
        <b/>
        <sz val="10"/>
        <rFont val="Arial"/>
        <charset val="134"/>
      </rPr>
      <t>A</t>
    </r>
    <r>
      <rPr>
        <b/>
        <vertAlign val="subscript"/>
        <sz val="10"/>
        <rFont val="Arial"/>
        <charset val="134"/>
      </rPr>
      <t>2</t>
    </r>
  </si>
  <si>
    <r>
      <rPr>
        <b/>
        <sz val="10"/>
        <rFont val="Arial"/>
        <charset val="134"/>
      </rPr>
      <t>A</t>
    </r>
    <r>
      <rPr>
        <b/>
        <vertAlign val="subscript"/>
        <sz val="10"/>
        <rFont val="Arial"/>
        <charset val="134"/>
      </rPr>
      <t>3</t>
    </r>
  </si>
  <si>
    <r>
      <rPr>
        <b/>
        <sz val="10"/>
        <rFont val="Arial"/>
        <charset val="134"/>
      </rPr>
      <t>A</t>
    </r>
    <r>
      <rPr>
        <b/>
        <vertAlign val="subscript"/>
        <sz val="10"/>
        <rFont val="Arial"/>
        <charset val="134"/>
      </rPr>
      <t>4</t>
    </r>
  </si>
  <si>
    <r>
      <rPr>
        <b/>
        <sz val="10"/>
        <rFont val="Arial"/>
        <charset val="134"/>
      </rPr>
      <t>A</t>
    </r>
    <r>
      <rPr>
        <b/>
        <vertAlign val="subscript"/>
        <sz val="10"/>
        <rFont val="Arial"/>
        <charset val="134"/>
      </rPr>
      <t>5</t>
    </r>
  </si>
  <si>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d,C</t>
    </r>
  </si>
  <si>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e,d</t>
    </r>
  </si>
  <si>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g,F</t>
    </r>
  </si>
  <si>
    <r>
      <rPr>
        <b/>
        <sz val="10"/>
        <rFont val="Arial"/>
        <charset val="134"/>
      </rPr>
      <t>P′</t>
    </r>
    <r>
      <rPr>
        <b/>
        <vertAlign val="subscript"/>
        <sz val="10"/>
        <rFont val="Arial"/>
        <charset val="134"/>
      </rPr>
      <t>d,C´</t>
    </r>
  </si>
  <si>
    <r>
      <rPr>
        <b/>
        <sz val="10"/>
        <rFont val="Arial"/>
        <charset val="134"/>
      </rPr>
      <t>P′</t>
    </r>
    <r>
      <rPr>
        <b/>
        <vertAlign val="subscript"/>
        <sz val="10"/>
        <rFont val="Arial"/>
        <charset val="134"/>
      </rPr>
      <t>e,d</t>
    </r>
  </si>
  <si>
    <r>
      <rPr>
        <b/>
        <sz val="10"/>
        <rFont val="Arial"/>
        <charset val="134"/>
      </rPr>
      <t>P′</t>
    </r>
    <r>
      <rPr>
        <b/>
        <vertAlign val="subscript"/>
        <sz val="10"/>
        <rFont val="Arial"/>
        <charset val="134"/>
      </rPr>
      <t>g,F´</t>
    </r>
  </si>
  <si>
    <r>
      <rPr>
        <b/>
        <sz val="10"/>
        <rFont val="宋体"/>
        <charset val="134"/>
      </rPr>
      <t>△</t>
    </r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F,e</t>
    </r>
  </si>
  <si>
    <r>
      <rPr>
        <b/>
        <sz val="10"/>
        <rFont val="宋体"/>
        <charset val="134"/>
      </rPr>
      <t>△</t>
    </r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g,F</t>
    </r>
  </si>
  <si>
    <r>
      <rPr>
        <b/>
        <sz val="10"/>
        <rFont val="宋体"/>
        <charset val="134"/>
      </rPr>
      <t>△</t>
    </r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C,t</t>
    </r>
  </si>
  <si>
    <r>
      <rPr>
        <b/>
        <sz val="10"/>
        <rFont val="宋体"/>
        <charset val="134"/>
      </rPr>
      <t>△</t>
    </r>
    <r>
      <rPr>
        <b/>
        <sz val="10"/>
        <rFont val="Arial"/>
        <charset val="134"/>
      </rPr>
      <t>P</t>
    </r>
    <r>
      <rPr>
        <b/>
        <vertAlign val="subscript"/>
        <sz val="10"/>
        <rFont val="Arial"/>
        <charset val="134"/>
      </rPr>
      <t>C,s</t>
    </r>
  </si>
  <si>
    <r>
      <rPr>
        <b/>
        <sz val="10"/>
        <rFont val="Arial"/>
        <charset val="134"/>
      </rPr>
      <t>t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</si>
  <si>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t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</si>
  <si>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t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</si>
  <si>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t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</si>
  <si>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t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</si>
  <si>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t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</si>
  <si>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t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</si>
  <si>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t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</si>
  <si>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t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</si>
  <si>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t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</si>
  <si>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t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</si>
  <si>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s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</si>
  <si>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s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</si>
  <si>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s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</si>
  <si>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s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</si>
  <si>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s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</si>
  <si>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s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</si>
  <si>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s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</si>
  <si>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s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</si>
  <si>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s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</si>
  <si>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s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</si>
  <si>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s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</si>
  <si>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C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</si>
  <si>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C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</si>
  <si>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C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</si>
  <si>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C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</si>
  <si>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C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</si>
  <si>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C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</si>
  <si>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C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</si>
  <si>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C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</si>
  <si>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C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</si>
  <si>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C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</si>
  <si>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C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</si>
  <si>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C'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</si>
  <si>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C'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</si>
  <si>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C'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</si>
  <si>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C'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</si>
  <si>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C'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</si>
  <si>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C'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</si>
  <si>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C'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</si>
  <si>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C'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</si>
  <si>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C'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</si>
  <si>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C'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</si>
  <si>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C'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</si>
  <si>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He-Ne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</si>
  <si>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He-Ne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</si>
  <si>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He-Ne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</si>
  <si>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He-Ne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</si>
  <si>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He-Ne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</si>
  <si>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He-Ne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</si>
  <si>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He-Ne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</si>
  <si>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He-Ne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</si>
  <si>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He-Ne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</si>
  <si>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He-Ne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</si>
  <si>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He-Ne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</si>
  <si>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d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</si>
  <si>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d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</si>
  <si>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d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</si>
  <si>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d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</si>
  <si>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d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</si>
  <si>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d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</si>
  <si>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d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</si>
  <si>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d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</si>
  <si>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d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</si>
  <si>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d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</si>
  <si>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d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</si>
  <si>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e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</si>
  <si>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e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</si>
  <si>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e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</si>
  <si>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e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</si>
  <si>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e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</si>
  <si>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e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</si>
  <si>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e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</si>
  <si>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e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</si>
  <si>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e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</si>
  <si>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e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</si>
  <si>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e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</si>
  <si>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F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</si>
  <si>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F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</si>
  <si>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F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</si>
  <si>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F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</si>
  <si>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F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</si>
  <si>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F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</si>
  <si>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F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</si>
  <si>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F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</si>
  <si>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F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</si>
  <si>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F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</si>
  <si>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F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</si>
  <si>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F'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</si>
  <si>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F'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</si>
  <si>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F'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</si>
  <si>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F'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</si>
  <si>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F'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</si>
  <si>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F'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</si>
  <si>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F'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</si>
  <si>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F'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</si>
  <si>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F'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</si>
  <si>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F'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</si>
  <si>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F'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</si>
  <si>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g
-60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-40</t>
    </r>
  </si>
  <si>
    <r>
      <rPr>
        <b/>
        <sz val="10"/>
        <rFont val="Arial"/>
        <charset val="134"/>
      </rPr>
      <t>g
-40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-20</t>
    </r>
  </si>
  <si>
    <r>
      <rPr>
        <b/>
        <sz val="10"/>
        <rFont val="Arial"/>
        <charset val="134"/>
      </rPr>
      <t>g
-20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0</t>
    </r>
  </si>
  <si>
    <r>
      <rPr>
        <b/>
        <sz val="10"/>
        <rFont val="Arial"/>
        <charset val="134"/>
      </rPr>
      <t>g
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20</t>
    </r>
  </si>
  <si>
    <r>
      <rPr>
        <b/>
        <sz val="10"/>
        <rFont val="Arial"/>
        <charset val="134"/>
      </rPr>
      <t>g
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40</t>
    </r>
  </si>
  <si>
    <r>
      <rPr>
        <b/>
        <sz val="10"/>
        <rFont val="Arial"/>
        <charset val="134"/>
      </rPr>
      <t>g
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60</t>
    </r>
  </si>
  <si>
    <r>
      <rPr>
        <b/>
        <sz val="10"/>
        <rFont val="Arial"/>
        <charset val="134"/>
      </rPr>
      <t>g
60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80</t>
    </r>
  </si>
  <si>
    <r>
      <rPr>
        <b/>
        <sz val="10"/>
        <rFont val="Arial"/>
        <charset val="134"/>
      </rPr>
      <t>g
80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100</t>
    </r>
  </si>
  <si>
    <r>
      <rPr>
        <b/>
        <sz val="10"/>
        <rFont val="Arial"/>
        <charset val="134"/>
      </rPr>
      <t>g
100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120</t>
    </r>
  </si>
  <si>
    <r>
      <rPr>
        <b/>
        <sz val="10"/>
        <rFont val="Arial"/>
        <charset val="134"/>
      </rPr>
      <t>g
120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140</t>
    </r>
  </si>
  <si>
    <r>
      <rPr>
        <b/>
        <sz val="10"/>
        <rFont val="Arial"/>
        <charset val="134"/>
      </rPr>
      <t>g
140</t>
    </r>
    <r>
      <rPr>
        <b/>
        <sz val="10"/>
        <rFont val="宋体"/>
        <charset val="134"/>
      </rPr>
      <t>～</t>
    </r>
    <r>
      <rPr>
        <b/>
        <sz val="10"/>
        <rFont val="Arial"/>
        <charset val="134"/>
      </rPr>
      <t>160</t>
    </r>
  </si>
  <si>
    <r>
      <rPr>
        <b/>
        <sz val="10"/>
        <rFont val="Arial"/>
        <charset val="134"/>
      </rPr>
      <t>D</t>
    </r>
    <r>
      <rPr>
        <b/>
        <vertAlign val="subscript"/>
        <sz val="10"/>
        <rFont val="Arial"/>
        <charset val="134"/>
      </rPr>
      <t>0</t>
    </r>
  </si>
  <si>
    <r>
      <rPr>
        <b/>
        <sz val="10"/>
        <rFont val="Arial"/>
        <charset val="134"/>
      </rPr>
      <t>D</t>
    </r>
    <r>
      <rPr>
        <b/>
        <vertAlign val="subscript"/>
        <sz val="10"/>
        <rFont val="Arial"/>
        <charset val="134"/>
      </rPr>
      <t>1</t>
    </r>
  </si>
  <si>
    <r>
      <rPr>
        <b/>
        <sz val="10"/>
        <rFont val="Arial"/>
        <charset val="134"/>
      </rPr>
      <t>D</t>
    </r>
    <r>
      <rPr>
        <b/>
        <vertAlign val="subscript"/>
        <sz val="10"/>
        <rFont val="Arial"/>
        <charset val="134"/>
      </rPr>
      <t>2</t>
    </r>
  </si>
  <si>
    <r>
      <rPr>
        <b/>
        <sz val="10"/>
        <rFont val="Arial"/>
        <charset val="134"/>
      </rPr>
      <t>E</t>
    </r>
    <r>
      <rPr>
        <b/>
        <vertAlign val="subscript"/>
        <sz val="10"/>
        <rFont val="Arial"/>
        <charset val="134"/>
      </rPr>
      <t>0</t>
    </r>
  </si>
  <si>
    <r>
      <rPr>
        <b/>
        <sz val="10"/>
        <rFont val="Arial"/>
        <charset val="134"/>
      </rPr>
      <t>E</t>
    </r>
    <r>
      <rPr>
        <b/>
        <vertAlign val="subscript"/>
        <sz val="10"/>
        <rFont val="Arial"/>
        <charset val="134"/>
      </rPr>
      <t>1</t>
    </r>
  </si>
  <si>
    <r>
      <rPr>
        <b/>
        <sz val="10"/>
        <rFont val="Arial"/>
        <charset val="134"/>
      </rPr>
      <t>λ</t>
    </r>
    <r>
      <rPr>
        <b/>
        <vertAlign val="subscript"/>
        <sz val="10"/>
        <rFont val="Arial"/>
        <charset val="134"/>
      </rPr>
      <t>TK</t>
    </r>
  </si>
  <si>
    <t>RC(S)</t>
  </si>
  <si>
    <t>RA(S)</t>
  </si>
  <si>
    <r>
      <rPr>
        <b/>
        <sz val="10"/>
        <rFont val="Arial"/>
        <charset val="134"/>
      </rPr>
      <t>D</t>
    </r>
    <r>
      <rPr>
        <b/>
        <vertAlign val="subscript"/>
        <sz val="10"/>
        <rFont val="Arial"/>
        <charset val="134"/>
      </rPr>
      <t>W</t>
    </r>
  </si>
  <si>
    <r>
      <rPr>
        <b/>
        <sz val="10"/>
        <rFont val="Arial"/>
        <charset val="134"/>
      </rPr>
      <t>D</t>
    </r>
    <r>
      <rPr>
        <b/>
        <vertAlign val="subscript"/>
        <sz val="10"/>
        <rFont val="Arial"/>
        <charset val="134"/>
      </rPr>
      <t>A</t>
    </r>
  </si>
  <si>
    <r>
      <rPr>
        <b/>
        <sz val="10"/>
        <rFont val="Arial"/>
        <charset val="134"/>
      </rPr>
      <t>R</t>
    </r>
    <r>
      <rPr>
        <b/>
        <vertAlign val="subscript"/>
        <sz val="10"/>
        <rFont val="Arial"/>
        <charset val="134"/>
      </rPr>
      <t>OH</t>
    </r>
    <r>
      <rPr>
        <b/>
        <sz val="10"/>
        <rFont val="Arial"/>
        <charset val="134"/>
      </rPr>
      <t>(S)</t>
    </r>
  </si>
  <si>
    <t>RP(S)</t>
  </si>
  <si>
    <t>CR</t>
  </si>
  <si>
    <r>
      <rPr>
        <b/>
        <sz val="10"/>
        <rFont val="Arial"/>
        <charset val="134"/>
      </rPr>
      <t>T</t>
    </r>
    <r>
      <rPr>
        <b/>
        <vertAlign val="subscript"/>
        <sz val="10"/>
        <rFont val="Arial"/>
        <charset val="134"/>
      </rPr>
      <t>Blue</t>
    </r>
  </si>
  <si>
    <r>
      <rPr>
        <b/>
        <sz val="10"/>
        <rFont val="Arial"/>
        <charset val="134"/>
      </rPr>
      <t>Tg
(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</si>
  <si>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Ts
(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</si>
  <si>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T10</t>
    </r>
    <r>
      <rPr>
        <b/>
        <vertAlign val="superscript"/>
        <sz val="10"/>
        <rFont val="Arial"/>
        <charset val="134"/>
      </rPr>
      <t xml:space="preserve">14.5
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</si>
  <si>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T10</t>
    </r>
    <r>
      <rPr>
        <b/>
        <vertAlign val="superscript"/>
        <sz val="10"/>
        <rFont val="Arial"/>
        <charset val="134"/>
      </rPr>
      <t xml:space="preserve">13
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</si>
  <si>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t>Cp</t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</si>
  <si>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-50/80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</si>
  <si>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100/300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</si>
  <si>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-50/-40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</si>
  <si>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-40/-30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</si>
  <si>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-30/-20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</si>
  <si>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-20/-10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</si>
  <si>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-10/0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</si>
  <si>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0/10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</si>
  <si>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10/20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</si>
  <si>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20/30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</si>
  <si>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30/40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</si>
  <si>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40/50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</si>
  <si>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50/60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</si>
  <si>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60/70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</si>
  <si>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70/80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</si>
  <si>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80/90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</si>
  <si>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90/100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</si>
  <si>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100/110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</si>
  <si>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110/120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</si>
  <si>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120/130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</si>
  <si>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130/140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</si>
  <si>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140/150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</si>
  <si>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α</t>
    </r>
    <r>
      <rPr>
        <b/>
        <vertAlign val="subscript"/>
        <sz val="10"/>
        <rFont val="Arial"/>
        <charset val="134"/>
      </rPr>
      <t>150/160</t>
    </r>
    <r>
      <rPr>
        <b/>
        <vertAlign val="subscript"/>
        <sz val="10"/>
        <rFont val="宋体"/>
        <charset val="134"/>
      </rPr>
      <t>℃</t>
    </r>
    <r>
      <rPr>
        <b/>
        <sz val="10"/>
        <rFont val="Arial"/>
        <charset val="134"/>
      </rPr>
      <t xml:space="preserve">
(10</t>
    </r>
    <r>
      <rPr>
        <b/>
        <vertAlign val="superscript"/>
        <sz val="10"/>
        <rFont val="Arial"/>
        <charset val="134"/>
      </rPr>
      <t>-7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℃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</si>
  <si>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β</t>
    </r>
    <r>
      <rPr>
        <b/>
        <vertAlign val="subscript"/>
        <sz val="10"/>
        <rFont val="Arial"/>
        <charset val="134"/>
      </rPr>
      <t>C</t>
    </r>
  </si>
  <si>
    <r>
      <rPr>
        <b/>
        <sz val="10"/>
        <rFont val="Arial"/>
        <charset val="134"/>
      </rPr>
      <t>β</t>
    </r>
    <r>
      <rPr>
        <b/>
        <vertAlign val="subscript"/>
        <sz val="10"/>
        <rFont val="Arial"/>
        <charset val="134"/>
      </rPr>
      <t>d</t>
    </r>
  </si>
  <si>
    <r>
      <rPr>
        <b/>
        <sz val="10"/>
        <rFont val="Arial"/>
        <charset val="134"/>
      </rPr>
      <t>β</t>
    </r>
    <r>
      <rPr>
        <b/>
        <vertAlign val="subscript"/>
        <sz val="10"/>
        <rFont val="Arial"/>
        <charset val="134"/>
      </rPr>
      <t>F</t>
    </r>
  </si>
  <si>
    <r>
      <rPr>
        <b/>
        <sz val="10"/>
        <rFont val="Arial"/>
        <charset val="134"/>
      </rPr>
      <t>HK
(10</t>
    </r>
    <r>
      <rPr>
        <b/>
        <vertAlign val="superscript"/>
        <sz val="10"/>
        <rFont val="Arial"/>
        <charset val="134"/>
      </rPr>
      <t>7</t>
    </r>
    <r>
      <rPr>
        <b/>
        <sz val="10"/>
        <rFont val="Arial"/>
        <charset val="134"/>
      </rPr>
      <t>Pa)</t>
    </r>
  </si>
  <si>
    <r>
      <rPr>
        <b/>
        <sz val="10"/>
        <rFont val="Arial"/>
        <charset val="134"/>
      </rPr>
      <t>F</t>
    </r>
    <r>
      <rPr>
        <b/>
        <vertAlign val="subscript"/>
        <sz val="10"/>
        <rFont val="Arial"/>
        <charset val="134"/>
      </rPr>
      <t>A</t>
    </r>
  </si>
  <si>
    <t>E
(GPa)</t>
  </si>
  <si>
    <t>G
(GPa)</t>
  </si>
  <si>
    <t>μ</t>
  </si>
  <si>
    <r>
      <rPr>
        <b/>
        <sz val="10"/>
        <rFont val="Arial"/>
        <charset val="134"/>
      </rPr>
      <t>σ</t>
    </r>
    <r>
      <rPr>
        <b/>
        <vertAlign val="subscript"/>
        <sz val="10"/>
        <rFont val="Arial"/>
        <charset val="134"/>
      </rPr>
      <t>b</t>
    </r>
    <r>
      <rPr>
        <b/>
        <sz val="10"/>
        <rFont val="Arial"/>
        <charset val="134"/>
      </rPr>
      <t xml:space="preserve">
(MPa)</t>
    </r>
  </si>
  <si>
    <r>
      <rPr>
        <b/>
        <sz val="10"/>
        <rFont val="Arial"/>
        <charset val="134"/>
      </rPr>
      <t>B
(10</t>
    </r>
    <r>
      <rPr>
        <b/>
        <vertAlign val="superscript"/>
        <sz val="10"/>
        <rFont val="Arial"/>
        <charset val="134"/>
      </rPr>
      <t>-12</t>
    </r>
    <r>
      <rPr>
        <b/>
        <sz val="10"/>
        <rFont val="Arial"/>
        <charset val="134"/>
      </rPr>
      <t>/Pa)</t>
    </r>
  </si>
  <si>
    <r>
      <rPr>
        <b/>
        <sz val="10"/>
        <rFont val="Arial"/>
        <charset val="134"/>
      </rPr>
      <t>ρ
(g/cm</t>
    </r>
    <r>
      <rPr>
        <b/>
        <vertAlign val="superscript"/>
        <sz val="10"/>
        <rFont val="Arial"/>
        <charset val="134"/>
      </rPr>
      <t>3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</si>
  <si>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λ</t>
    </r>
    <r>
      <rPr>
        <b/>
        <vertAlign val="subscript"/>
        <sz val="10"/>
        <rFont val="Arial"/>
        <charset val="134"/>
      </rPr>
      <t>80</t>
    </r>
    <r>
      <rPr>
        <b/>
        <sz val="10"/>
        <rFont val="Arial"/>
        <charset val="134"/>
      </rPr>
      <t>(λ</t>
    </r>
    <r>
      <rPr>
        <b/>
        <vertAlign val="subscript"/>
        <sz val="10"/>
        <rFont val="Arial"/>
        <charset val="134"/>
      </rPr>
      <t>70</t>
    </r>
    <r>
      <rPr>
        <b/>
        <sz val="10"/>
        <rFont val="Arial"/>
        <charset val="134"/>
      </rPr>
      <t>)/λ</t>
    </r>
    <r>
      <rPr>
        <b/>
        <vertAlign val="subscript"/>
        <sz val="10"/>
        <rFont val="Arial"/>
        <charset val="134"/>
      </rPr>
      <t>5</t>
    </r>
  </si>
  <si>
    <r>
      <rPr>
        <b/>
        <sz val="10"/>
        <rFont val="Arial"/>
        <charset val="134"/>
      </rPr>
      <t>λτ</t>
    </r>
    <r>
      <rPr>
        <b/>
        <vertAlign val="subscript"/>
        <sz val="10"/>
        <rFont val="Arial"/>
        <charset val="134"/>
      </rPr>
      <t>80</t>
    </r>
    <r>
      <rPr>
        <b/>
        <sz val="10"/>
        <rFont val="Arial"/>
        <charset val="134"/>
      </rPr>
      <t>/λτ</t>
    </r>
    <r>
      <rPr>
        <b/>
        <vertAlign val="subscript"/>
        <sz val="10"/>
        <rFont val="Arial"/>
        <charset val="134"/>
      </rPr>
      <t>5</t>
    </r>
  </si>
  <si>
    <r>
      <rPr>
        <b/>
        <sz val="10"/>
        <rFont val="宋体"/>
        <charset val="134"/>
      </rPr>
      <t>△</t>
    </r>
    <r>
      <rPr>
        <b/>
        <sz val="10"/>
        <rFont val="Arial"/>
        <charset val="134"/>
      </rPr>
      <t>λ(%)</t>
    </r>
  </si>
  <si>
    <t>2400nm</t>
  </si>
  <si>
    <t>2200nm</t>
  </si>
  <si>
    <t>2000nm</t>
  </si>
  <si>
    <t>1800nm</t>
  </si>
  <si>
    <t>1600nm</t>
  </si>
  <si>
    <t>1400nm</t>
  </si>
  <si>
    <t>1200nm</t>
  </si>
  <si>
    <t>1060nm</t>
  </si>
  <si>
    <t>1000nm</t>
  </si>
  <si>
    <t>950nm</t>
  </si>
  <si>
    <t>900nm</t>
  </si>
  <si>
    <t>850nm</t>
  </si>
  <si>
    <t>800nm</t>
  </si>
  <si>
    <t>750nm</t>
  </si>
  <si>
    <t>700nm</t>
  </si>
  <si>
    <t>650nm</t>
  </si>
  <si>
    <t>600nm</t>
  </si>
  <si>
    <t>550nm</t>
  </si>
  <si>
    <t>500nm</t>
  </si>
  <si>
    <t>480nm</t>
  </si>
  <si>
    <t>460nm</t>
  </si>
  <si>
    <t>440nm</t>
  </si>
  <si>
    <t>420nm</t>
  </si>
  <si>
    <t>400nm</t>
  </si>
  <si>
    <t>390nm</t>
  </si>
  <si>
    <t>380nm</t>
  </si>
  <si>
    <t>370nm</t>
  </si>
  <si>
    <t>360nm</t>
  </si>
  <si>
    <t>350nm</t>
  </si>
  <si>
    <t>340nm</t>
  </si>
  <si>
    <t>330nm</t>
  </si>
  <si>
    <t>320nm</t>
  </si>
  <si>
    <t>310nm</t>
  </si>
  <si>
    <t>300nm</t>
  </si>
  <si>
    <t>290nm</t>
  </si>
  <si>
    <t>280nm</t>
  </si>
  <si>
    <t>Weight</t>
  </si>
  <si>
    <t>Volume</t>
  </si>
  <si>
    <t>Glass Type</t>
  </si>
  <si>
    <t>★★★</t>
  </si>
  <si>
    <t>H-FK61</t>
  </si>
  <si>
    <t>340/285</t>
  </si>
  <si>
    <t>332/284</t>
  </si>
  <si>
    <t xml:space="preserve"> PG   RP</t>
  </si>
  <si>
    <t>MA</t>
  </si>
  <si>
    <t>S-FPL51</t>
  </si>
  <si>
    <t>497816</t>
  </si>
  <si>
    <t>H-FK61B</t>
  </si>
  <si>
    <t>FCD1</t>
  </si>
  <si>
    <t>K-PFK80</t>
  </si>
  <si>
    <t>497815</t>
  </si>
  <si>
    <t>N-PK52A</t>
  </si>
  <si>
    <t>H-FK69</t>
  </si>
  <si>
    <t>360/290</t>
  </si>
  <si>
    <t>345/281</t>
  </si>
  <si>
    <t>(S-FPM2)</t>
  </si>
  <si>
    <t>595677</t>
  </si>
  <si>
    <t>H-ZPK5</t>
  </si>
  <si>
    <t>593683</t>
  </si>
  <si>
    <t>FCD515</t>
  </si>
  <si>
    <t>K-GFK68</t>
  </si>
  <si>
    <t>592683</t>
  </si>
  <si>
    <t>★★</t>
  </si>
  <si>
    <t>H-FK76</t>
  </si>
  <si>
    <t>327/280</t>
  </si>
  <si>
    <t>B</t>
  </si>
  <si>
    <t>H-FK55</t>
  </si>
  <si>
    <t>550752</t>
  </si>
  <si>
    <t>FCD705</t>
  </si>
  <si>
    <t>H-FK90</t>
  </si>
  <si>
    <t>310/260</t>
  </si>
  <si>
    <t>300/260</t>
  </si>
  <si>
    <t>(H-FK71)</t>
  </si>
  <si>
    <t>457903</t>
  </si>
  <si>
    <t>FCD10A</t>
  </si>
  <si>
    <t>K-PFK90</t>
  </si>
  <si>
    <t>459900</t>
  </si>
  <si>
    <t>(N-FK58)</t>
  </si>
  <si>
    <t>456909</t>
  </si>
  <si>
    <t>H-FK95</t>
  </si>
  <si>
    <t>330/280</t>
  </si>
  <si>
    <t>326/280</t>
  </si>
  <si>
    <t>(S-FPL53)</t>
  </si>
  <si>
    <t>439950</t>
  </si>
  <si>
    <t>(H-FK95N)</t>
  </si>
  <si>
    <t>438945</t>
  </si>
  <si>
    <t>FCD100</t>
  </si>
  <si>
    <t>(K-CaFK95)</t>
  </si>
  <si>
    <t>434950</t>
  </si>
  <si>
    <t>H-QK3L</t>
  </si>
  <si>
    <t>300/265</t>
  </si>
  <si>
    <t>295/265</t>
  </si>
  <si>
    <t>S-FSL5</t>
  </si>
  <si>
    <t>487702</t>
  </si>
  <si>
    <t>487704</t>
  </si>
  <si>
    <t>FC5</t>
  </si>
  <si>
    <t>K-FK5</t>
  </si>
  <si>
    <t>N-FK5</t>
  </si>
  <si>
    <t>H-PK60</t>
  </si>
  <si>
    <t>340/265</t>
  </si>
  <si>
    <t>328/264</t>
  </si>
  <si>
    <t>A</t>
  </si>
  <si>
    <t>H-ZPK3</t>
  </si>
  <si>
    <t>593673</t>
  </si>
  <si>
    <t>PCD51</t>
  </si>
  <si>
    <t>(K-PSK400)</t>
  </si>
  <si>
    <t>595678</t>
  </si>
  <si>
    <t>※</t>
  </si>
  <si>
    <t>H-PK60A</t>
  </si>
  <si>
    <t>340/270</t>
  </si>
  <si>
    <t xml:space="preserve">328/267 </t>
  </si>
  <si>
    <t>H-PK62A</t>
  </si>
  <si>
    <t>360/280</t>
  </si>
  <si>
    <t>348/276</t>
  </si>
  <si>
    <t>S-PHM52</t>
  </si>
  <si>
    <t>618634</t>
  </si>
  <si>
    <t>H-ZPK1A</t>
  </si>
  <si>
    <t>PCD4</t>
  </si>
  <si>
    <t>K-PSKn2</t>
  </si>
  <si>
    <t>N-PSK53A</t>
  </si>
  <si>
    <t>H-PK63</t>
  </si>
  <si>
    <t>345/275</t>
  </si>
  <si>
    <t>333/274</t>
  </si>
  <si>
    <t>S-PHM53</t>
  </si>
  <si>
    <t>603655</t>
  </si>
  <si>
    <t>H-ZPK2A</t>
  </si>
  <si>
    <t>(K-PSK300)</t>
  </si>
  <si>
    <t>600656</t>
  </si>
  <si>
    <t>H-PK65</t>
  </si>
  <si>
    <t>365/295</t>
  </si>
  <si>
    <t>335/278</t>
  </si>
  <si>
    <t>(S-PHM52)</t>
  </si>
  <si>
    <t>(H-ZPK1A)</t>
  </si>
  <si>
    <t>PCD40</t>
  </si>
  <si>
    <t>(K-PSKn2)</t>
  </si>
  <si>
    <t>(N-PSK53A)</t>
  </si>
  <si>
    <t/>
  </si>
  <si>
    <t>H-PK71</t>
  </si>
  <si>
    <t>330/275</t>
  </si>
  <si>
    <t>318/267</t>
  </si>
  <si>
    <t>H-ZPK7</t>
  </si>
  <si>
    <t>569713</t>
  </si>
  <si>
    <t>(FCD615)</t>
  </si>
  <si>
    <t>K-GFK70</t>
  </si>
  <si>
    <t>H-K6</t>
  </si>
  <si>
    <t>330/290</t>
  </si>
  <si>
    <t>312/283</t>
  </si>
  <si>
    <t>511605</t>
  </si>
  <si>
    <t>K7</t>
  </si>
  <si>
    <t>511604</t>
  </si>
  <si>
    <t>H-K9L</t>
  </si>
  <si>
    <t>325/280</t>
  </si>
  <si>
    <t>317/280</t>
  </si>
  <si>
    <t>S-BSL7</t>
  </si>
  <si>
    <t>516641</t>
  </si>
  <si>
    <t>517642</t>
  </si>
  <si>
    <t>BSC7</t>
  </si>
  <si>
    <t>K-BK7</t>
  </si>
  <si>
    <t>N-BK7</t>
  </si>
  <si>
    <t>H-K9LGT</t>
  </si>
  <si>
    <t>310/280</t>
  </si>
  <si>
    <t>312/279</t>
  </si>
  <si>
    <t>N-BK7HT</t>
  </si>
  <si>
    <t>H-K10</t>
  </si>
  <si>
    <t>345/315</t>
  </si>
  <si>
    <t>342/315</t>
  </si>
  <si>
    <t>S-NSL3</t>
  </si>
  <si>
    <t>518590</t>
  </si>
  <si>
    <t>E-C3</t>
  </si>
  <si>
    <t>(N-K5)</t>
  </si>
  <si>
    <t>522595</t>
  </si>
  <si>
    <t>H-K12</t>
  </si>
  <si>
    <t>355/320</t>
  </si>
  <si>
    <t>347/318</t>
  </si>
  <si>
    <t>D</t>
  </si>
  <si>
    <t>534555</t>
  </si>
  <si>
    <t>H-K51</t>
  </si>
  <si>
    <t>350/310</t>
  </si>
  <si>
    <t>337/304</t>
  </si>
  <si>
    <t>(S-NSL3)</t>
  </si>
  <si>
    <t>523586</t>
  </si>
  <si>
    <t>(E-C3)</t>
  </si>
  <si>
    <t>H-BaK2</t>
  </si>
  <si>
    <t>313/281</t>
  </si>
  <si>
    <t>S-BAL12</t>
  </si>
  <si>
    <t>540595</t>
  </si>
  <si>
    <t>540597</t>
  </si>
  <si>
    <t>N-BAK2</t>
  </si>
  <si>
    <t>H-BaK7B</t>
  </si>
  <si>
    <t>347/321</t>
  </si>
  <si>
    <t>S-BAL14</t>
  </si>
  <si>
    <t>569563</t>
  </si>
  <si>
    <t>H-BaK7</t>
  </si>
  <si>
    <t>569560</t>
  </si>
  <si>
    <t>BAC4</t>
  </si>
  <si>
    <t>N-BAK4</t>
  </si>
  <si>
    <t>H-BaK8</t>
  </si>
  <si>
    <t>335/285</t>
  </si>
  <si>
    <t>324/284</t>
  </si>
  <si>
    <t>573575</t>
  </si>
  <si>
    <t>N-BAK1</t>
  </si>
  <si>
    <t>573576</t>
  </si>
  <si>
    <t>H-ZK3A</t>
  </si>
  <si>
    <t>4a</t>
  </si>
  <si>
    <t>345/290</t>
  </si>
  <si>
    <t>338/290</t>
  </si>
  <si>
    <t>S-BAL35</t>
  </si>
  <si>
    <t>589612</t>
  </si>
  <si>
    <t>589613</t>
  </si>
  <si>
    <t>BACD5</t>
  </si>
  <si>
    <t>K-SK5</t>
  </si>
  <si>
    <t>N-SK5</t>
  </si>
  <si>
    <t>H-ZK6</t>
  </si>
  <si>
    <t>360/300</t>
  </si>
  <si>
    <t>345/299</t>
  </si>
  <si>
    <t>613586</t>
  </si>
  <si>
    <t>BACD4</t>
  </si>
  <si>
    <t>K-SK4</t>
  </si>
  <si>
    <t>N-SK4</t>
  </si>
  <si>
    <t>H-ZK7</t>
  </si>
  <si>
    <t>350/290</t>
  </si>
  <si>
    <t>341/292</t>
  </si>
  <si>
    <t>H-ZK7A</t>
  </si>
  <si>
    <t>613604</t>
  </si>
  <si>
    <t>H-ZK9A</t>
  </si>
  <si>
    <t>345/297</t>
  </si>
  <si>
    <t>S-BSM16</t>
  </si>
  <si>
    <t>620603</t>
  </si>
  <si>
    <t>BACD16</t>
  </si>
  <si>
    <t>K-SK16RH</t>
  </si>
  <si>
    <t>N-SK16</t>
  </si>
  <si>
    <t>H-ZK10</t>
  </si>
  <si>
    <t>360/320</t>
  </si>
  <si>
    <t>353/322</t>
  </si>
  <si>
    <t>(S-BSM10)</t>
  </si>
  <si>
    <t>623570</t>
  </si>
  <si>
    <t>622567</t>
  </si>
  <si>
    <t>(E-BACD10)</t>
  </si>
  <si>
    <t>(N-SK10)</t>
  </si>
  <si>
    <t>H-ZK10N</t>
  </si>
  <si>
    <t>353/320</t>
  </si>
  <si>
    <t>S-BSM10</t>
  </si>
  <si>
    <t>H-ZK10L</t>
  </si>
  <si>
    <t>623569</t>
  </si>
  <si>
    <t>E-BACD10</t>
  </si>
  <si>
    <t>N-SK10</t>
  </si>
  <si>
    <t>H-ZK11</t>
  </si>
  <si>
    <t>365/325</t>
  </si>
  <si>
    <t>358/326</t>
  </si>
  <si>
    <t>S-BSM18</t>
  </si>
  <si>
    <t>639554</t>
  </si>
  <si>
    <t>639555</t>
  </si>
  <si>
    <t>BACD18</t>
  </si>
  <si>
    <t>K-SK18RH</t>
  </si>
  <si>
    <t>H-ZK14</t>
  </si>
  <si>
    <t>4b</t>
  </si>
  <si>
    <t>334/290</t>
  </si>
  <si>
    <t>S-BSM14</t>
  </si>
  <si>
    <t>603607</t>
  </si>
  <si>
    <t>603606</t>
  </si>
  <si>
    <t>BACD14</t>
  </si>
  <si>
    <t>K-SK14</t>
  </si>
  <si>
    <t>N-SK14</t>
  </si>
  <si>
    <t>H-ZK20</t>
  </si>
  <si>
    <t>350/295</t>
  </si>
  <si>
    <t>337/290</t>
  </si>
  <si>
    <t>K-SSK1</t>
  </si>
  <si>
    <t>617540</t>
  </si>
  <si>
    <t>H-ZK21</t>
  </si>
  <si>
    <t>355/323</t>
  </si>
  <si>
    <t>S-BSM15</t>
  </si>
  <si>
    <t>623582</t>
  </si>
  <si>
    <t>623581</t>
  </si>
  <si>
    <t>BACD15</t>
  </si>
  <si>
    <t>K-SK15</t>
  </si>
  <si>
    <t>N-SK15</t>
  </si>
  <si>
    <t>623580</t>
  </si>
  <si>
    <t>H-ZK50</t>
  </si>
  <si>
    <t>4c</t>
  </si>
  <si>
    <t>339/292</t>
  </si>
  <si>
    <t>S-BSM2</t>
  </si>
  <si>
    <t>607568</t>
  </si>
  <si>
    <t>607567</t>
  </si>
  <si>
    <t>BACD2</t>
  </si>
  <si>
    <t>N-SK2</t>
  </si>
  <si>
    <t>H-LaK1</t>
  </si>
  <si>
    <t>350/270</t>
  </si>
  <si>
    <t>334/272</t>
  </si>
  <si>
    <t>660574</t>
  </si>
  <si>
    <t>(K-LaK11)</t>
  </si>
  <si>
    <t>658573</t>
  </si>
  <si>
    <t>H-LaK2</t>
  </si>
  <si>
    <t>335/287</t>
  </si>
  <si>
    <t>S-LAL9</t>
  </si>
  <si>
    <t>691548</t>
  </si>
  <si>
    <t>H-LaK59A</t>
  </si>
  <si>
    <t>LAC9</t>
  </si>
  <si>
    <t>K-LaK9</t>
  </si>
  <si>
    <t>N-LAK9</t>
  </si>
  <si>
    <t>691547</t>
  </si>
  <si>
    <t>H-LaK2H</t>
  </si>
  <si>
    <t>360/270</t>
  </si>
  <si>
    <t>333/265</t>
  </si>
  <si>
    <t>(S-LAL9)</t>
  </si>
  <si>
    <t>H-LaK2A</t>
  </si>
  <si>
    <t>692545</t>
  </si>
  <si>
    <t>(LAC9)</t>
  </si>
  <si>
    <t>(N-LAK9)</t>
  </si>
  <si>
    <t>H-LaK3</t>
  </si>
  <si>
    <t>370/300</t>
  </si>
  <si>
    <t>332/264</t>
  </si>
  <si>
    <t>(S-LAM60)</t>
  </si>
  <si>
    <t>743493</t>
  </si>
  <si>
    <t>747510</t>
  </si>
  <si>
    <t>(N-LAK28)</t>
  </si>
  <si>
    <t>744508</t>
  </si>
  <si>
    <t>H-LaK4L</t>
  </si>
  <si>
    <t>355/270</t>
  </si>
  <si>
    <t>334/266</t>
  </si>
  <si>
    <t>S-BSM81</t>
  </si>
  <si>
    <t>640601</t>
  </si>
  <si>
    <t>640602</t>
  </si>
  <si>
    <t>LACL60</t>
  </si>
  <si>
    <t>(K-LaKn2)</t>
  </si>
  <si>
    <t>641601</t>
  </si>
  <si>
    <t>N-LAK21</t>
  </si>
  <si>
    <t>H-LaK5A</t>
  </si>
  <si>
    <t>360/275</t>
  </si>
  <si>
    <t>339/274</t>
  </si>
  <si>
    <t>S-LAL12Q</t>
  </si>
  <si>
    <t>678553</t>
  </si>
  <si>
    <t>678555</t>
  </si>
  <si>
    <t>LAC12</t>
  </si>
  <si>
    <t>K-LaK12</t>
  </si>
  <si>
    <t>N-LAK12</t>
  </si>
  <si>
    <t>678552</t>
  </si>
  <si>
    <t>H-LaK6</t>
  </si>
  <si>
    <t>338/297</t>
  </si>
  <si>
    <t>L-LAL13</t>
  </si>
  <si>
    <t>694532</t>
  </si>
  <si>
    <t>H-LaK6A</t>
  </si>
  <si>
    <t>694534</t>
  </si>
  <si>
    <t>LAC13</t>
  </si>
  <si>
    <t>H-LaK7</t>
  </si>
  <si>
    <t>337/268</t>
  </si>
  <si>
    <t>S-LAL8</t>
  </si>
  <si>
    <t>713539</t>
  </si>
  <si>
    <t>H-LaK7A</t>
  </si>
  <si>
    <t>713538</t>
  </si>
  <si>
    <t>LAC8</t>
  </si>
  <si>
    <t>K-LaK8</t>
  </si>
  <si>
    <t>N-LAK8</t>
  </si>
  <si>
    <t>H-LaK8A</t>
  </si>
  <si>
    <t>370/305</t>
  </si>
  <si>
    <t>345/305</t>
  </si>
  <si>
    <t>S-LAL10</t>
  </si>
  <si>
    <t>720502</t>
  </si>
  <si>
    <t>720503</t>
  </si>
  <si>
    <t>LAC10</t>
  </si>
  <si>
    <t>K-LaK10</t>
  </si>
  <si>
    <t>N-LAK10</t>
  </si>
  <si>
    <t>720506</t>
  </si>
  <si>
    <t>H-LaK8B</t>
  </si>
  <si>
    <t>365/300</t>
  </si>
  <si>
    <t>341/295</t>
  </si>
  <si>
    <t>H-LaK9</t>
  </si>
  <si>
    <t>370/310</t>
  </si>
  <si>
    <t>355/304</t>
  </si>
  <si>
    <t>S-LAL20</t>
  </si>
  <si>
    <t>699511</t>
  </si>
  <si>
    <t>H-LaK10</t>
  </si>
  <si>
    <t>350/275</t>
  </si>
  <si>
    <t>329/275</t>
  </si>
  <si>
    <t>S-LAL54Q</t>
  </si>
  <si>
    <t>651562</t>
  </si>
  <si>
    <t>651559</t>
  </si>
  <si>
    <t>N-LAK22</t>
  </si>
  <si>
    <t>H-LaK11</t>
  </si>
  <si>
    <t>342/277</t>
  </si>
  <si>
    <t>C</t>
  </si>
  <si>
    <t>H-LaK12</t>
  </si>
  <si>
    <t>334/268</t>
  </si>
  <si>
    <t>(S-LAL14)</t>
  </si>
  <si>
    <t>697555</t>
  </si>
  <si>
    <t>697562</t>
  </si>
  <si>
    <t>(K-LaK14)</t>
  </si>
  <si>
    <t>697556</t>
  </si>
  <si>
    <t>(N-LAK14)</t>
  </si>
  <si>
    <t>697554</t>
  </si>
  <si>
    <t>H-LaK50A</t>
  </si>
  <si>
    <t>332/270</t>
  </si>
  <si>
    <t>S-LAL7Q</t>
  </si>
  <si>
    <t>652585</t>
  </si>
  <si>
    <t>652584</t>
  </si>
  <si>
    <t>LAC7</t>
  </si>
  <si>
    <t>K-LaK7</t>
  </si>
  <si>
    <t>652583</t>
  </si>
  <si>
    <t>N-LAK7</t>
  </si>
  <si>
    <t>H-LaK51</t>
  </si>
  <si>
    <t>S-LAL14</t>
  </si>
  <si>
    <t>H-LaK51A</t>
  </si>
  <si>
    <t>LAC14</t>
  </si>
  <si>
    <t>K-LaK14</t>
  </si>
  <si>
    <t>N-LAK14</t>
  </si>
  <si>
    <t>335/273</t>
  </si>
  <si>
    <t>H-LaK52</t>
  </si>
  <si>
    <t>335/275</t>
  </si>
  <si>
    <t>S-LAL18</t>
  </si>
  <si>
    <t>729547</t>
  </si>
  <si>
    <t>TAC8</t>
  </si>
  <si>
    <t>K-LaK18</t>
  </si>
  <si>
    <t>N-LAK34</t>
  </si>
  <si>
    <t>729545</t>
  </si>
  <si>
    <t>H-LaK53A</t>
  </si>
  <si>
    <t>370/280</t>
  </si>
  <si>
    <t>340/276</t>
  </si>
  <si>
    <t>S-LAH97</t>
  </si>
  <si>
    <t>755523</t>
  </si>
  <si>
    <t>TAC6</t>
  </si>
  <si>
    <t>K-LaSKn1</t>
  </si>
  <si>
    <t>755524</t>
  </si>
  <si>
    <t>N-LAK33B</t>
  </si>
  <si>
    <t>H-LaK53B</t>
  </si>
  <si>
    <t>333/272</t>
  </si>
  <si>
    <t>TAC6L</t>
  </si>
  <si>
    <t>H-LaK54</t>
  </si>
  <si>
    <t>343/291</t>
  </si>
  <si>
    <t>S-LAL59</t>
  </si>
  <si>
    <t>734515</t>
  </si>
  <si>
    <t>TAC4</t>
  </si>
  <si>
    <t>H-LaK61</t>
  </si>
  <si>
    <t>336/265</t>
  </si>
  <si>
    <t>S-LAL61</t>
  </si>
  <si>
    <t>741527</t>
  </si>
  <si>
    <t>741526</t>
  </si>
  <si>
    <t>TAC2</t>
  </si>
  <si>
    <t>K-LaKn14</t>
  </si>
  <si>
    <t>H-LaK68</t>
  </si>
  <si>
    <t>375/335</t>
  </si>
  <si>
    <t>361/333</t>
  </si>
  <si>
    <t>H-LaK77</t>
  </si>
  <si>
    <t>365/280</t>
  </si>
  <si>
    <t>333/276</t>
  </si>
  <si>
    <t>(S-LAH66)</t>
  </si>
  <si>
    <t>773496</t>
  </si>
  <si>
    <t>(TAF1)</t>
  </si>
  <si>
    <t>(K-LaFK50)</t>
  </si>
  <si>
    <t>772500</t>
  </si>
  <si>
    <t>(N-LAF34)</t>
  </si>
  <si>
    <t>H-KF6</t>
  </si>
  <si>
    <t>360/340</t>
  </si>
  <si>
    <t>356/336</t>
  </si>
  <si>
    <t>S-NSL36</t>
  </si>
  <si>
    <t>517524</t>
  </si>
  <si>
    <t>517522</t>
  </si>
  <si>
    <t>E-CF6</t>
  </si>
  <si>
    <t>H-QF14</t>
  </si>
  <si>
    <t>370/350</t>
  </si>
  <si>
    <t>369/350</t>
  </si>
  <si>
    <t>596392</t>
  </si>
  <si>
    <t>E-F8</t>
  </si>
  <si>
    <t>H-QF50</t>
  </si>
  <si>
    <t>380/350</t>
  </si>
  <si>
    <t>S-TIL25</t>
  </si>
  <si>
    <t>581407</t>
  </si>
  <si>
    <t>H-QF50A</t>
  </si>
  <si>
    <t>581408</t>
  </si>
  <si>
    <t>E-FL5</t>
  </si>
  <si>
    <t>LF5</t>
  </si>
  <si>
    <t>581409</t>
  </si>
  <si>
    <t>H-F1</t>
  </si>
  <si>
    <t>380/355</t>
  </si>
  <si>
    <t>375/354</t>
  </si>
  <si>
    <t>S-TIM5</t>
  </si>
  <si>
    <t>603380</t>
  </si>
  <si>
    <t>E-F5</t>
  </si>
  <si>
    <t>F5</t>
  </si>
  <si>
    <t>H-F4</t>
  </si>
  <si>
    <t>390/360</t>
  </si>
  <si>
    <t>377/356</t>
  </si>
  <si>
    <t>S-TIM2</t>
  </si>
  <si>
    <t>620363</t>
  </si>
  <si>
    <t>620364</t>
  </si>
  <si>
    <t>E-F2</t>
  </si>
  <si>
    <t>N-F2</t>
  </si>
  <si>
    <t>H-F13</t>
  </si>
  <si>
    <t>382/358</t>
  </si>
  <si>
    <t>626357</t>
  </si>
  <si>
    <t>E-F1</t>
  </si>
  <si>
    <t>H-ZF1B</t>
  </si>
  <si>
    <t>379/356</t>
  </si>
  <si>
    <t>H-ZF1A</t>
  </si>
  <si>
    <t>648339</t>
  </si>
  <si>
    <t>E-FD2</t>
  </si>
  <si>
    <t>N-SF2</t>
  </si>
  <si>
    <t>648338</t>
  </si>
  <si>
    <t>H-ZF2</t>
  </si>
  <si>
    <t>395/360</t>
  </si>
  <si>
    <t>382/360</t>
  </si>
  <si>
    <t>S-TIM25</t>
  </si>
  <si>
    <t>673321</t>
  </si>
  <si>
    <t>673322</t>
  </si>
  <si>
    <t>E-FD5</t>
  </si>
  <si>
    <t>N-SF5</t>
  </si>
  <si>
    <t>673323</t>
  </si>
  <si>
    <t>H-ZF3</t>
  </si>
  <si>
    <t>405/360</t>
  </si>
  <si>
    <t>387/362</t>
  </si>
  <si>
    <t>S-TIH1</t>
  </si>
  <si>
    <t>717295</t>
  </si>
  <si>
    <t>E-FD1L</t>
  </si>
  <si>
    <t>K-SFLD1</t>
  </si>
  <si>
    <t>N-SF1</t>
  </si>
  <si>
    <t>717296</t>
  </si>
  <si>
    <t>H-ZF4A</t>
  </si>
  <si>
    <t>410/365</t>
  </si>
  <si>
    <t>391/364</t>
  </si>
  <si>
    <t>S-TIH10</t>
  </si>
  <si>
    <t>728285</t>
  </si>
  <si>
    <t>728283</t>
  </si>
  <si>
    <t>E-FD10L</t>
  </si>
  <si>
    <t>N-SF10</t>
  </si>
  <si>
    <t>H-ZF4AGT</t>
  </si>
  <si>
    <t>390/364</t>
  </si>
  <si>
    <t>H-ZF5</t>
  </si>
  <si>
    <t>415/365</t>
  </si>
  <si>
    <t>389/362</t>
  </si>
  <si>
    <t>S-TIH3</t>
  </si>
  <si>
    <t>740283</t>
  </si>
  <si>
    <t>(E-FD13)</t>
  </si>
  <si>
    <t>H-ZF5GT</t>
  </si>
  <si>
    <t>388/362</t>
  </si>
  <si>
    <t>H-ZF6</t>
  </si>
  <si>
    <t>389/363</t>
  </si>
  <si>
    <t>S-TIH4</t>
  </si>
  <si>
    <t>755275</t>
  </si>
  <si>
    <t>E-FD4L</t>
  </si>
  <si>
    <t>K-SFLD4</t>
  </si>
  <si>
    <t>N-SF4</t>
  </si>
  <si>
    <t>755274</t>
  </si>
  <si>
    <t>H-ZF6GT</t>
  </si>
  <si>
    <t>387/363</t>
  </si>
  <si>
    <t>H-ZF7L</t>
  </si>
  <si>
    <t>425/365</t>
  </si>
  <si>
    <t>388/361</t>
  </si>
  <si>
    <t>S-TIH6</t>
  </si>
  <si>
    <t>805254</t>
  </si>
  <si>
    <t>H-ZF7LA</t>
  </si>
  <si>
    <t>805255</t>
  </si>
  <si>
    <t>FD60</t>
  </si>
  <si>
    <t>K-SFLD6</t>
  </si>
  <si>
    <t>N-SF6</t>
  </si>
  <si>
    <t>H-ZF7LGT</t>
  </si>
  <si>
    <t>420/365</t>
  </si>
  <si>
    <t>387/361</t>
  </si>
  <si>
    <t>H-ZF7LAGT</t>
  </si>
  <si>
    <t>FD60-W</t>
  </si>
  <si>
    <t>N-SF6HTultra</t>
  </si>
  <si>
    <t>H-ZF8</t>
  </si>
  <si>
    <t>405/370</t>
  </si>
  <si>
    <t>393/369</t>
  </si>
  <si>
    <t>(FD300)</t>
  </si>
  <si>
    <t>H-ZF10</t>
  </si>
  <si>
    <t>400/360</t>
  </si>
  <si>
    <t>383/359</t>
  </si>
  <si>
    <t>S-TIM28</t>
  </si>
  <si>
    <t>689311</t>
  </si>
  <si>
    <t>689312</t>
  </si>
  <si>
    <t>E-FD8</t>
  </si>
  <si>
    <t>K-SFLD8W</t>
  </si>
  <si>
    <t>N-SF8</t>
  </si>
  <si>
    <t>689313</t>
  </si>
  <si>
    <t>H-ZF11</t>
  </si>
  <si>
    <t>405/365</t>
  </si>
  <si>
    <t>S-TIM35</t>
  </si>
  <si>
    <t>699301</t>
  </si>
  <si>
    <t>E-FD15L</t>
  </si>
  <si>
    <t>N-SF15</t>
  </si>
  <si>
    <t>699302</t>
  </si>
  <si>
    <t>H-ZF12</t>
  </si>
  <si>
    <t>391/365</t>
  </si>
  <si>
    <t>S-TIH14</t>
  </si>
  <si>
    <t>762265</t>
  </si>
  <si>
    <t>762266</t>
  </si>
  <si>
    <t>FD140</t>
  </si>
  <si>
    <t>K-SFLD14</t>
  </si>
  <si>
    <t>N-SF14</t>
  </si>
  <si>
    <t>H-ZF12GT</t>
  </si>
  <si>
    <t>H-ZF13</t>
  </si>
  <si>
    <t>393/365</t>
  </si>
  <si>
    <t>S-TIH11</t>
  </si>
  <si>
    <t>785257</t>
  </si>
  <si>
    <t>FD110</t>
  </si>
  <si>
    <t>K-SFLD11</t>
  </si>
  <si>
    <t>785259</t>
  </si>
  <si>
    <t>N-SF11</t>
  </si>
  <si>
    <t>H-ZF13GT</t>
  </si>
  <si>
    <t>H-ZF16</t>
  </si>
  <si>
    <t>425/375</t>
  </si>
  <si>
    <t>400/372</t>
  </si>
  <si>
    <t>H-ZF50</t>
  </si>
  <si>
    <t>389/364</t>
  </si>
  <si>
    <t>S-TIH13</t>
  </si>
  <si>
    <t>741278</t>
  </si>
  <si>
    <t>E-FD13</t>
  </si>
  <si>
    <t>H-ZF50GT</t>
  </si>
  <si>
    <t>H-ZF52N</t>
  </si>
  <si>
    <t>(404)/368</t>
  </si>
  <si>
    <t>398/368</t>
  </si>
  <si>
    <t>S-TIH53W</t>
  </si>
  <si>
    <t>847238</t>
  </si>
  <si>
    <t>H-ZF52GT</t>
  </si>
  <si>
    <t>FDS90-SG</t>
  </si>
  <si>
    <t>K-SFLDn3W</t>
  </si>
  <si>
    <t>N-SF57HT</t>
  </si>
  <si>
    <t>H-ZF52NGT</t>
  </si>
  <si>
    <t>(399)/369</t>
  </si>
  <si>
    <t>395/368</t>
  </si>
  <si>
    <t>H-ZF52TT</t>
  </si>
  <si>
    <t>N-SF57HTultra</t>
  </si>
  <si>
    <t>H-ZF52B</t>
  </si>
  <si>
    <t>(420)/375</t>
  </si>
  <si>
    <t>412/372</t>
  </si>
  <si>
    <t>H-ZF56</t>
  </si>
  <si>
    <t>(395)/360</t>
  </si>
  <si>
    <t>390/355</t>
  </si>
  <si>
    <t>S-NBH56</t>
  </si>
  <si>
    <t>855248</t>
  </si>
  <si>
    <t>NBFD25</t>
  </si>
  <si>
    <t>H-ZF62</t>
  </si>
  <si>
    <t>(435)/385</t>
  </si>
  <si>
    <t>415/382</t>
  </si>
  <si>
    <t>923209</t>
  </si>
  <si>
    <t>E-FDS1</t>
  </si>
  <si>
    <t>N-SF66</t>
  </si>
  <si>
    <t>H-ZF62GT</t>
  </si>
  <si>
    <t>(415)/382</t>
  </si>
  <si>
    <t>408/380</t>
  </si>
  <si>
    <t>E-FDS1-W</t>
  </si>
  <si>
    <t>H-ZF72B</t>
  </si>
  <si>
    <t>(440)/385</t>
  </si>
  <si>
    <t>422/389</t>
  </si>
  <si>
    <t>S-NPH2</t>
  </si>
  <si>
    <t>923189</t>
  </si>
  <si>
    <t>H-ZF72A</t>
  </si>
  <si>
    <t>H-ZF72GT</t>
  </si>
  <si>
    <t>(420)/385</t>
  </si>
  <si>
    <t>417/387</t>
  </si>
  <si>
    <t>H-ZF72AGT</t>
  </si>
  <si>
    <t>H-ZF75A</t>
  </si>
  <si>
    <t>(450)/390</t>
  </si>
  <si>
    <t>424/391</t>
  </si>
  <si>
    <t>H-ZF88</t>
  </si>
  <si>
    <t>946179</t>
  </si>
  <si>
    <t>FDS18</t>
  </si>
  <si>
    <t>H-ZF75GT</t>
  </si>
  <si>
    <t>(430)/392</t>
  </si>
  <si>
    <t>417/389</t>
  </si>
  <si>
    <t>H-ZF88GT</t>
  </si>
  <si>
    <t>FDS18-W</t>
  </si>
  <si>
    <t>H-ZF76</t>
  </si>
  <si>
    <t>(460)/395</t>
  </si>
  <si>
    <t>438/397</t>
  </si>
  <si>
    <t>S-NPH3</t>
  </si>
  <si>
    <t>H-ZF73</t>
  </si>
  <si>
    <t>H-TF3L</t>
  </si>
  <si>
    <t>349/321</t>
  </si>
  <si>
    <t>S-NBM51</t>
  </si>
  <si>
    <t>613443</t>
  </si>
  <si>
    <t>613441</t>
  </si>
  <si>
    <t>E-ADF10</t>
  </si>
  <si>
    <t>N-KZFS4</t>
  </si>
  <si>
    <t>613445</t>
  </si>
  <si>
    <t>H-ZBaF3</t>
  </si>
  <si>
    <t>360/330</t>
  </si>
  <si>
    <t>(S-BSM25)</t>
  </si>
  <si>
    <t>658509</t>
  </si>
  <si>
    <t>657511</t>
  </si>
  <si>
    <t>(BACED5)</t>
  </si>
  <si>
    <t>(N-SSK5)</t>
  </si>
  <si>
    <t>H-ZBaF5</t>
  </si>
  <si>
    <t>380/340</t>
  </si>
  <si>
    <t>370/340</t>
  </si>
  <si>
    <t>671473</t>
  </si>
  <si>
    <t>(BAF10)</t>
  </si>
  <si>
    <t>(N-BAF10)</t>
  </si>
  <si>
    <t>670471</t>
  </si>
  <si>
    <t>H-ZBaF10</t>
  </si>
  <si>
    <t>385/345</t>
  </si>
  <si>
    <t>370/341</t>
  </si>
  <si>
    <t>S-BSM28</t>
  </si>
  <si>
    <t>618498</t>
  </si>
  <si>
    <t>(K-SSK9)</t>
  </si>
  <si>
    <t>620498</t>
  </si>
  <si>
    <t>N-SSK8</t>
  </si>
  <si>
    <t>H-ZBaF16A</t>
  </si>
  <si>
    <t>370/330</t>
  </si>
  <si>
    <t>353/324</t>
  </si>
  <si>
    <t>S-BAH11</t>
  </si>
  <si>
    <t>667483</t>
  </si>
  <si>
    <t>H-ZBaF16</t>
  </si>
  <si>
    <t>667484</t>
  </si>
  <si>
    <t>BAF11</t>
  </si>
  <si>
    <t>(K-BaFn3)</t>
  </si>
  <si>
    <t>664492</t>
  </si>
  <si>
    <t>H-ZBaF20</t>
  </si>
  <si>
    <t>390/350</t>
  </si>
  <si>
    <t>373/347</t>
  </si>
  <si>
    <t>S-BAH27</t>
  </si>
  <si>
    <t>702412</t>
  </si>
  <si>
    <t>BAFD7</t>
  </si>
  <si>
    <t>(N-BASF64)</t>
  </si>
  <si>
    <t>704394</t>
  </si>
  <si>
    <t>H-ZBaF21</t>
  </si>
  <si>
    <t>400/355</t>
  </si>
  <si>
    <t>383/355</t>
  </si>
  <si>
    <t>S-BAH28</t>
  </si>
  <si>
    <t>723380</t>
  </si>
  <si>
    <t>BAFD8</t>
  </si>
  <si>
    <t>H-ZBaF50</t>
  </si>
  <si>
    <t>380/335</t>
  </si>
  <si>
    <t>S-BSM25</t>
  </si>
  <si>
    <t>BACED5</t>
  </si>
  <si>
    <t>N-SSK5</t>
  </si>
  <si>
    <t>H-ZBaF52</t>
  </si>
  <si>
    <t>369/340</t>
  </si>
  <si>
    <t>670472</t>
  </si>
  <si>
    <t>BAF10</t>
  </si>
  <si>
    <t>(K-LCV93)</t>
  </si>
  <si>
    <t>665473</t>
  </si>
  <si>
    <t>N-BAF10</t>
  </si>
  <si>
    <t>H-ZBaF65</t>
  </si>
  <si>
    <t>370/335</t>
  </si>
  <si>
    <t>360/336</t>
  </si>
  <si>
    <t>S-NBH5</t>
  </si>
  <si>
    <t>654397</t>
  </si>
  <si>
    <t>H-TF5</t>
  </si>
  <si>
    <t>654395</t>
  </si>
  <si>
    <t>E-ADF50</t>
  </si>
  <si>
    <t>N-KZFS5</t>
  </si>
  <si>
    <t>H-LaF1</t>
  </si>
  <si>
    <t>380/330</t>
  </si>
  <si>
    <t>363/334</t>
  </si>
  <si>
    <t>(S-LAL58)</t>
  </si>
  <si>
    <t>694508</t>
  </si>
  <si>
    <t>694492</t>
  </si>
  <si>
    <t>H-LaF2A</t>
  </si>
  <si>
    <t xml:space="preserve">360/332 </t>
  </si>
  <si>
    <t>S-LAM3</t>
  </si>
  <si>
    <t>717479</t>
  </si>
  <si>
    <t>H-LaF2</t>
  </si>
  <si>
    <t>LAF3</t>
  </si>
  <si>
    <t>N-LAF3</t>
  </si>
  <si>
    <t>717480</t>
  </si>
  <si>
    <t>H-LaF3B</t>
  </si>
  <si>
    <t>365/310</t>
  </si>
  <si>
    <t>345/310</t>
  </si>
  <si>
    <t>S-LAM2</t>
  </si>
  <si>
    <t>744448</t>
  </si>
  <si>
    <t>744449</t>
  </si>
  <si>
    <t>LAF2</t>
  </si>
  <si>
    <t>K-LaF2</t>
  </si>
  <si>
    <t>N-LAF2</t>
  </si>
  <si>
    <t>H-LaF3C</t>
  </si>
  <si>
    <t>355/331</t>
  </si>
  <si>
    <t>H-LaF4A</t>
  </si>
  <si>
    <t>415/355</t>
  </si>
  <si>
    <t>387/353</t>
  </si>
  <si>
    <t>S-LAM7</t>
  </si>
  <si>
    <t>750353</t>
  </si>
  <si>
    <t>H-LaF4</t>
  </si>
  <si>
    <t>750350</t>
  </si>
  <si>
    <t>E-LAF7</t>
  </si>
  <si>
    <t>N-LAF7</t>
  </si>
  <si>
    <t>750348</t>
  </si>
  <si>
    <t>H-LaF6LB</t>
  </si>
  <si>
    <t>345/306</t>
  </si>
  <si>
    <t>H-LaF6LA</t>
  </si>
  <si>
    <t>757477</t>
  </si>
  <si>
    <t>H-LaF7</t>
  </si>
  <si>
    <t>420/350</t>
  </si>
  <si>
    <t>384/346</t>
  </si>
  <si>
    <t>782371</t>
  </si>
  <si>
    <t>H-LaF10A</t>
  </si>
  <si>
    <t>380/315</t>
  </si>
  <si>
    <t>347/314</t>
  </si>
  <si>
    <t>S-LAH64</t>
  </si>
  <si>
    <t>788474</t>
  </si>
  <si>
    <t>H-LaF10LA</t>
  </si>
  <si>
    <t>788475</t>
  </si>
  <si>
    <t>TAF4</t>
  </si>
  <si>
    <t>K-LaSFn16</t>
  </si>
  <si>
    <t>N-LAF21</t>
  </si>
  <si>
    <t>H-LaF50B</t>
  </si>
  <si>
    <t>375/310</t>
  </si>
  <si>
    <t>352/307</t>
  </si>
  <si>
    <t>S-LAH66</t>
  </si>
  <si>
    <t>TAF1</t>
  </si>
  <si>
    <t>K-LaSFn7</t>
  </si>
  <si>
    <t>N-LAF34</t>
  </si>
  <si>
    <t>H-LaF51</t>
  </si>
  <si>
    <t>358/332</t>
  </si>
  <si>
    <t>700481</t>
  </si>
  <si>
    <t>K-LaFn3</t>
  </si>
  <si>
    <t>700480</t>
  </si>
  <si>
    <t>H-LaF52</t>
  </si>
  <si>
    <t>380/320</t>
  </si>
  <si>
    <t>350/316</t>
  </si>
  <si>
    <t>S-LAH51</t>
  </si>
  <si>
    <t>786442</t>
  </si>
  <si>
    <t>NBFD11</t>
  </si>
  <si>
    <t>(K-LaSFn4)</t>
  </si>
  <si>
    <t>785437</t>
  </si>
  <si>
    <t>N-LAF33</t>
  </si>
  <si>
    <t>786441</t>
  </si>
  <si>
    <t>H-LaF53</t>
  </si>
  <si>
    <t>342/301</t>
  </si>
  <si>
    <t>S-LAM60</t>
  </si>
  <si>
    <t>743492</t>
  </si>
  <si>
    <t>NBF1</t>
  </si>
  <si>
    <t>K-LaFn5</t>
  </si>
  <si>
    <t>N-LAF35</t>
  </si>
  <si>
    <t>743494</t>
  </si>
  <si>
    <t>H-LaF54</t>
  </si>
  <si>
    <t>390/330</t>
  </si>
  <si>
    <t>358/327</t>
  </si>
  <si>
    <t>S-LAH52</t>
  </si>
  <si>
    <t>800422</t>
  </si>
  <si>
    <t>NBFD12</t>
  </si>
  <si>
    <t>K-LaSFn3</t>
  </si>
  <si>
    <t>800423</t>
  </si>
  <si>
    <t>N-LAF36</t>
  </si>
  <si>
    <t>800424</t>
  </si>
  <si>
    <t>H-LaF55</t>
  </si>
  <si>
    <t>390/325</t>
  </si>
  <si>
    <t>354/324</t>
  </si>
  <si>
    <t>S-NBH51</t>
  </si>
  <si>
    <t>H-LaF56</t>
  </si>
  <si>
    <t>390/335</t>
  </si>
  <si>
    <t>363/336</t>
  </si>
  <si>
    <t>S-LAH52Q</t>
  </si>
  <si>
    <t>H-LaF62</t>
  </si>
  <si>
    <t>365/342</t>
  </si>
  <si>
    <t>720437</t>
  </si>
  <si>
    <t>H-LaF72</t>
  </si>
  <si>
    <t>366/337</t>
  </si>
  <si>
    <t>(LAF3)</t>
  </si>
  <si>
    <t>K-LaFn11</t>
  </si>
  <si>
    <t>720460</t>
  </si>
  <si>
    <t>H-LaF76</t>
  </si>
  <si>
    <t>400/350</t>
  </si>
  <si>
    <t>374/347</t>
  </si>
  <si>
    <t>S-LAM55</t>
  </si>
  <si>
    <t>762401</t>
  </si>
  <si>
    <t>(K-LaFn9)</t>
  </si>
  <si>
    <t>764403</t>
  </si>
  <si>
    <t>H-ZLaF1</t>
  </si>
  <si>
    <t>390/340</t>
  </si>
  <si>
    <t>802443</t>
  </si>
  <si>
    <t>(K-VC100)</t>
  </si>
  <si>
    <t>804436</t>
  </si>
  <si>
    <t>H-ZLaF2</t>
  </si>
  <si>
    <t>(S-LAH65V)</t>
  </si>
  <si>
    <t>804466</t>
  </si>
  <si>
    <t>H-ZLaF2A</t>
  </si>
  <si>
    <t>803468</t>
  </si>
  <si>
    <t>(TAF3)</t>
  </si>
  <si>
    <t>(K-LaSFn6)</t>
  </si>
  <si>
    <t>(N-LASF44)</t>
  </si>
  <si>
    <t>804465</t>
  </si>
  <si>
    <t>H-ZLaF3</t>
  </si>
  <si>
    <t>(390)/350</t>
  </si>
  <si>
    <t>378/345</t>
  </si>
  <si>
    <t>855366</t>
  </si>
  <si>
    <t>H-ZLaF50</t>
  </si>
  <si>
    <t>351/312</t>
  </si>
  <si>
    <t>S-LAH65V</t>
  </si>
  <si>
    <t>H-ZLaF50E</t>
  </si>
  <si>
    <t>TAF3D</t>
  </si>
  <si>
    <t>K-LaSFn6</t>
  </si>
  <si>
    <t>N-LASF44</t>
  </si>
  <si>
    <t>H-ZLaF50C</t>
  </si>
  <si>
    <t>359/331</t>
  </si>
  <si>
    <t>H-ZLaF51</t>
  </si>
  <si>
    <t>410/350</t>
  </si>
  <si>
    <t>378/347</t>
  </si>
  <si>
    <t>S-LAH63Q</t>
  </si>
  <si>
    <t>804396</t>
  </si>
  <si>
    <t>805396</t>
  </si>
  <si>
    <t>NBFD3</t>
  </si>
  <si>
    <t>K-LaSFn2</t>
  </si>
  <si>
    <t>(N-LASF43)</t>
  </si>
  <si>
    <t>806406</t>
  </si>
  <si>
    <t>H-ZLaF51A</t>
  </si>
  <si>
    <t>405/345</t>
  </si>
  <si>
    <t>372/341</t>
  </si>
  <si>
    <t>H-ZLaF52</t>
  </si>
  <si>
    <t>400/340</t>
  </si>
  <si>
    <t>368/339</t>
  </si>
  <si>
    <t>S-LAH53</t>
  </si>
  <si>
    <t>806409</t>
  </si>
  <si>
    <t>H-ZLaF52A</t>
  </si>
  <si>
    <t>806410</t>
  </si>
  <si>
    <t>NBFD13</t>
  </si>
  <si>
    <t>K-LaSFn1</t>
  </si>
  <si>
    <t>806407</t>
  </si>
  <si>
    <t>N-LASF43</t>
  </si>
  <si>
    <t>H-ZLaF53</t>
  </si>
  <si>
    <t>425/350</t>
  </si>
  <si>
    <t>S-LAH60</t>
  </si>
  <si>
    <t>834372</t>
  </si>
  <si>
    <t>H-ZLaF53B</t>
  </si>
  <si>
    <t>NBFD10</t>
  </si>
  <si>
    <t>K-LaSFn14</t>
  </si>
  <si>
    <t>834373</t>
  </si>
  <si>
    <t>N-LASF40</t>
  </si>
  <si>
    <t>H-ZLaF53A</t>
  </si>
  <si>
    <t>415/350</t>
  </si>
  <si>
    <t>380/349</t>
  </si>
  <si>
    <t>H-ZLaF54</t>
  </si>
  <si>
    <t>380/290</t>
  </si>
  <si>
    <t>334/281</t>
  </si>
  <si>
    <t>S-LAH59</t>
  </si>
  <si>
    <t>816466</t>
  </si>
  <si>
    <t>H-ZLaF69</t>
  </si>
  <si>
    <t>TAF5</t>
  </si>
  <si>
    <t>K-LaSFn9</t>
  </si>
  <si>
    <t>816467</t>
  </si>
  <si>
    <t>H-ZLaF54A</t>
  </si>
  <si>
    <t>385/325</t>
  </si>
  <si>
    <t>355/322</t>
  </si>
  <si>
    <t>H-ZLaF69A</t>
  </si>
  <si>
    <t>H-ZLaF55F</t>
  </si>
  <si>
    <t>390/320</t>
  </si>
  <si>
    <t>359/320</t>
  </si>
  <si>
    <t>S-LAH55V</t>
  </si>
  <si>
    <t>835427</t>
  </si>
  <si>
    <t>H-ZLaF55D</t>
  </si>
  <si>
    <t>TAFD5G</t>
  </si>
  <si>
    <t>K-LaSFn8</t>
  </si>
  <si>
    <t>N-LASF41</t>
  </si>
  <si>
    <t>835431</t>
  </si>
  <si>
    <t>H-ZLaF55B</t>
  </si>
  <si>
    <t>H-ZLaF56B</t>
  </si>
  <si>
    <t>415/360</t>
  </si>
  <si>
    <t>386/355</t>
  </si>
  <si>
    <t>806333</t>
  </si>
  <si>
    <t>NBFD15</t>
  </si>
  <si>
    <t>H-ZLaF57</t>
  </si>
  <si>
    <t>430/360</t>
  </si>
  <si>
    <t>383/356</t>
  </si>
  <si>
    <t>S-NBH55</t>
  </si>
  <si>
    <t>800299</t>
  </si>
  <si>
    <t>H-ZLaF59</t>
  </si>
  <si>
    <t>(380)/340</t>
  </si>
  <si>
    <t>367/335</t>
  </si>
  <si>
    <t>S-LAH89</t>
  </si>
  <si>
    <t>852408</t>
  </si>
  <si>
    <t>(K-VC185)</t>
  </si>
  <si>
    <t>854406</t>
  </si>
  <si>
    <t>H-ZLaF60GT</t>
  </si>
  <si>
    <t>(395)/355</t>
  </si>
  <si>
    <t>H-ZLaF71AGT</t>
  </si>
  <si>
    <t>850322</t>
  </si>
  <si>
    <t>N-LASF9HT</t>
  </si>
  <si>
    <t>H-ZLaF60A</t>
  </si>
  <si>
    <t>(400)/360</t>
  </si>
  <si>
    <t>395/357</t>
  </si>
  <si>
    <t>S-LAH71</t>
  </si>
  <si>
    <t>850323</t>
  </si>
  <si>
    <t>H-ZLaF71</t>
  </si>
  <si>
    <t>K-LaSFn21</t>
  </si>
  <si>
    <t>850324</t>
  </si>
  <si>
    <t>N-LASF9</t>
  </si>
  <si>
    <t>H-ZLaF64</t>
  </si>
  <si>
    <t>(375)/325</t>
  </si>
  <si>
    <t>368/322</t>
  </si>
  <si>
    <t>TAFD32</t>
  </si>
  <si>
    <t>H-ZLaF65</t>
  </si>
  <si>
    <t>(410)/360</t>
  </si>
  <si>
    <t>399/360</t>
  </si>
  <si>
    <t>H-ZLaF66A</t>
  </si>
  <si>
    <t>425/355</t>
  </si>
  <si>
    <t>387/354</t>
  </si>
  <si>
    <t>S-LAM66</t>
  </si>
  <si>
    <t>801350</t>
  </si>
  <si>
    <t>H-ZLaF66</t>
  </si>
  <si>
    <t>N-LASF45</t>
  </si>
  <si>
    <t>H-ZLaF67</t>
  </si>
  <si>
    <t>(390)/340</t>
  </si>
  <si>
    <t>380/336</t>
  </si>
  <si>
    <t>(S-LAH58)</t>
  </si>
  <si>
    <t>883408</t>
  </si>
  <si>
    <t>H-ZLaF73</t>
  </si>
  <si>
    <t>881402</t>
  </si>
  <si>
    <t>TAFD33</t>
  </si>
  <si>
    <t>(K-LaSFn17)</t>
  </si>
  <si>
    <t>(N-LASF31A)</t>
  </si>
  <si>
    <t>H-ZLaF68A</t>
  </si>
  <si>
    <t>(370)/315</t>
  </si>
  <si>
    <t>368/313</t>
  </si>
  <si>
    <t>S-LAH58</t>
  </si>
  <si>
    <t>H-ZLaF68B</t>
  </si>
  <si>
    <t>TAFD30</t>
  </si>
  <si>
    <t>K-LaSFn17</t>
  </si>
  <si>
    <t>N-LASF31A</t>
  </si>
  <si>
    <t>H-ZLaF68L</t>
  </si>
  <si>
    <t>377/338</t>
  </si>
  <si>
    <t>H-ZLaF68N</t>
  </si>
  <si>
    <t>883392</t>
  </si>
  <si>
    <t>H-ZLaF70</t>
  </si>
  <si>
    <t>(405)/360</t>
  </si>
  <si>
    <t>392/360</t>
  </si>
  <si>
    <t>S-LAH95</t>
  </si>
  <si>
    <t>904313</t>
  </si>
  <si>
    <t>H-ZLaF75A</t>
  </si>
  <si>
    <t>TAFD25</t>
  </si>
  <si>
    <t>N-LASF46A</t>
  </si>
  <si>
    <t>H-ZLaF70GT</t>
  </si>
  <si>
    <t>(395)/361</t>
  </si>
  <si>
    <t>389/360</t>
  </si>
  <si>
    <t>H-ZLaF70B</t>
  </si>
  <si>
    <t>(405)/365</t>
  </si>
  <si>
    <t>398/361</t>
  </si>
  <si>
    <t>TAFD25L</t>
  </si>
  <si>
    <t>(420)/365</t>
  </si>
  <si>
    <t>412/362</t>
  </si>
  <si>
    <t>H-ZLaF72</t>
  </si>
  <si>
    <t>(400)/350</t>
  </si>
  <si>
    <t>393/350</t>
  </si>
  <si>
    <t>(S-LAH93)</t>
  </si>
  <si>
    <t>905350</t>
  </si>
  <si>
    <t>H-ZLaF4LA</t>
  </si>
  <si>
    <t>911353</t>
  </si>
  <si>
    <t>TAFD35L</t>
  </si>
  <si>
    <t>K-LaSFn23</t>
  </si>
  <si>
    <t>911352</t>
  </si>
  <si>
    <t>H-ZLaF72A</t>
  </si>
  <si>
    <t>(400)/355</t>
  </si>
  <si>
    <t>392/351</t>
  </si>
  <si>
    <t>H-ZLaF4LB</t>
  </si>
  <si>
    <t>TAFD35</t>
  </si>
  <si>
    <t>H-ZLaF75</t>
  </si>
  <si>
    <t>(430)/370</t>
  </si>
  <si>
    <t>426/370</t>
  </si>
  <si>
    <t>(N-LASF55)</t>
  </si>
  <si>
    <t>954306</t>
  </si>
  <si>
    <t>H-ZLaF76A</t>
  </si>
  <si>
    <t>394/361</t>
  </si>
  <si>
    <t>S-NBH57</t>
  </si>
  <si>
    <t>850300</t>
  </si>
  <si>
    <t>H-ZLaF76</t>
  </si>
  <si>
    <t>(N-LASF9)</t>
  </si>
  <si>
    <t>H-ZLaF77A</t>
  </si>
  <si>
    <t>(405)/355</t>
  </si>
  <si>
    <t>390/352</t>
  </si>
  <si>
    <t>S-LAH98</t>
  </si>
  <si>
    <t>954323</t>
  </si>
  <si>
    <t>H-ZLaF89LA</t>
  </si>
  <si>
    <t>TAFD45L</t>
  </si>
  <si>
    <t>H-ZLaF78</t>
  </si>
  <si>
    <t>(390)/345</t>
  </si>
  <si>
    <t>389/343</t>
  </si>
  <si>
    <t>H-ZLaF78B</t>
  </si>
  <si>
    <t>901371</t>
  </si>
  <si>
    <t>TAFD37A</t>
  </si>
  <si>
    <t>H-ZLaF79</t>
  </si>
  <si>
    <t>(435)/370</t>
  </si>
  <si>
    <t>422/371</t>
  </si>
  <si>
    <t>FDS24</t>
  </si>
  <si>
    <t>(SCHOTT RealView® 1.9 lightweight)</t>
  </si>
  <si>
    <t>H-ZLaF80</t>
  </si>
  <si>
    <t>001255</t>
  </si>
  <si>
    <t>(460)/375</t>
  </si>
  <si>
    <t>440/373</t>
  </si>
  <si>
    <t>H-ZLaF90</t>
  </si>
  <si>
    <t>001254</t>
  </si>
  <si>
    <t>TAFD40</t>
  </si>
  <si>
    <t>H-ZLaF80A</t>
  </si>
  <si>
    <t>(440)/370</t>
  </si>
  <si>
    <t>419/369</t>
  </si>
  <si>
    <t>H-ZLaF90A</t>
  </si>
  <si>
    <t>H-ZLaF82</t>
  </si>
  <si>
    <t>001291</t>
  </si>
  <si>
    <t>(415)/365</t>
  </si>
  <si>
    <t>397/361</t>
  </si>
  <si>
    <t>S-LAH99</t>
  </si>
  <si>
    <t>H-ZLaF91</t>
  </si>
  <si>
    <t>003283</t>
  </si>
  <si>
    <t>TAFD55</t>
  </si>
  <si>
    <t xml:space="preserve">SCHOTT RealView® 2.0 </t>
  </si>
  <si>
    <t>H-ZLaF82GT</t>
  </si>
  <si>
    <t>(409)/363</t>
  </si>
  <si>
    <t>381/360</t>
  </si>
  <si>
    <t>S-LAH99W</t>
  </si>
  <si>
    <t>TAFD55-W</t>
  </si>
  <si>
    <t>H-ZLaF86</t>
  </si>
  <si>
    <t>418/370</t>
  </si>
  <si>
    <t>H-ZLaF95</t>
  </si>
  <si>
    <t>051269</t>
  </si>
  <si>
    <t>(470)/370</t>
  </si>
  <si>
    <t>432/369</t>
  </si>
  <si>
    <t>H-ZLaF96</t>
  </si>
  <si>
    <t>051270</t>
  </si>
  <si>
    <t>TAFD65</t>
  </si>
  <si>
    <t>H-BiF200</t>
  </si>
  <si>
    <t>003193</t>
  </si>
  <si>
    <t>(470)/400</t>
  </si>
  <si>
    <t>446/399</t>
  </si>
  <si>
    <t>E-FDS2</t>
  </si>
  <si>
    <t>D-FK61</t>
  </si>
  <si>
    <t xml:space="preserve"> PG   RP   MO</t>
  </si>
  <si>
    <t>D-FK61A-25</t>
  </si>
  <si>
    <t>M-FCD1</t>
  </si>
  <si>
    <t>D-FK90</t>
  </si>
  <si>
    <t>D-FK95</t>
  </si>
  <si>
    <t>(D-FK95-25)</t>
  </si>
  <si>
    <t>437944</t>
  </si>
  <si>
    <t>D-K9</t>
  </si>
  <si>
    <t>320/280</t>
  </si>
  <si>
    <t>L-BSL7</t>
  </si>
  <si>
    <t>(D-K9-25)</t>
  </si>
  <si>
    <t>516640</t>
  </si>
  <si>
    <t>P-BK7</t>
  </si>
  <si>
    <t>D-PK60</t>
  </si>
  <si>
    <t>(D-ZPK3-25)</t>
  </si>
  <si>
    <t>593672</t>
  </si>
  <si>
    <t>M-PCD51</t>
  </si>
  <si>
    <t>D-PK60A</t>
  </si>
  <si>
    <t>D-PK62</t>
  </si>
  <si>
    <t>345/265</t>
  </si>
  <si>
    <t>326/269</t>
  </si>
  <si>
    <t>(D-ZPK1A-25)</t>
  </si>
  <si>
    <t>620638</t>
  </si>
  <si>
    <t>M-PCD4</t>
  </si>
  <si>
    <t>D-PK70</t>
  </si>
  <si>
    <t>318/274</t>
  </si>
  <si>
    <t>(D-PK3-25)</t>
  </si>
  <si>
    <t>524703</t>
  </si>
  <si>
    <t>K-PMK30</t>
  </si>
  <si>
    <t>525704</t>
  </si>
  <si>
    <t>D-ZK2N</t>
  </si>
  <si>
    <t>335/280</t>
  </si>
  <si>
    <t>323/275</t>
  </si>
  <si>
    <t>(L-BAL42)</t>
  </si>
  <si>
    <t>583594</t>
  </si>
  <si>
    <t>(D-ZK2L-25)</t>
  </si>
  <si>
    <t>586595</t>
  </si>
  <si>
    <t>(M-BACD12)</t>
  </si>
  <si>
    <t>K-CSK120</t>
  </si>
  <si>
    <t>587596</t>
  </si>
  <si>
    <t>P-SK57</t>
  </si>
  <si>
    <t>D-ZK3L</t>
  </si>
  <si>
    <t>340/275</t>
  </si>
  <si>
    <t>331/275</t>
  </si>
  <si>
    <t>L-BAL35</t>
  </si>
  <si>
    <t>(D-ZK3-25)</t>
  </si>
  <si>
    <t>588613</t>
  </si>
  <si>
    <t>M-BACD5N</t>
  </si>
  <si>
    <t>K-SKLD5</t>
  </si>
  <si>
    <t>P-SK58A</t>
  </si>
  <si>
    <t>D-ZK3L-M90</t>
  </si>
  <si>
    <t>327/275</t>
  </si>
  <si>
    <t>(L-BAL35)</t>
  </si>
  <si>
    <t>D-ZK3-25</t>
  </si>
  <si>
    <t>(M-BACD5N)</t>
  </si>
  <si>
    <t>(K-SKLD5)</t>
  </si>
  <si>
    <t>(P-SK58A)</t>
  </si>
  <si>
    <t>D-ZK50</t>
  </si>
  <si>
    <t>350/305</t>
  </si>
  <si>
    <t>337/300</t>
  </si>
  <si>
    <t>(D-ZK79-25)</t>
  </si>
  <si>
    <t>608578</t>
  </si>
  <si>
    <t>(K-VC79)</t>
  </si>
  <si>
    <t>610579</t>
  </si>
  <si>
    <t>(P-SK60)</t>
  </si>
  <si>
    <t>D-LaK6</t>
  </si>
  <si>
    <t>355/290</t>
  </si>
  <si>
    <t>336/288</t>
  </si>
  <si>
    <t>(D-LaK6-25)</t>
  </si>
  <si>
    <t>693531</t>
  </si>
  <si>
    <t>M-LAC130</t>
  </si>
  <si>
    <t>K-VC80</t>
  </si>
  <si>
    <t>694531</t>
  </si>
  <si>
    <t>P-LAK35</t>
  </si>
  <si>
    <t>D-ZF10A</t>
  </si>
  <si>
    <t>382/355</t>
  </si>
  <si>
    <t>(L-TIM28)</t>
  </si>
  <si>
    <t>689310</t>
  </si>
  <si>
    <t>(D-ZF10-25)</t>
  </si>
  <si>
    <t>687312</t>
  </si>
  <si>
    <t>M-FD80</t>
  </si>
  <si>
    <t>K-SFLD8</t>
  </si>
  <si>
    <t>P-SF8</t>
  </si>
  <si>
    <t>D-LaF050</t>
  </si>
  <si>
    <t>340/277</t>
  </si>
  <si>
    <t>(L-LAH91)</t>
  </si>
  <si>
    <t>765491</t>
  </si>
  <si>
    <t>(D-LaF050-25)</t>
  </si>
  <si>
    <t>767492</t>
  </si>
  <si>
    <t>M-TAF101</t>
  </si>
  <si>
    <t>(K-LaFK50T)</t>
  </si>
  <si>
    <t>766498</t>
  </si>
  <si>
    <t>D-LaF50</t>
  </si>
  <si>
    <t>338/277</t>
  </si>
  <si>
    <t>D-LaF50-25</t>
  </si>
  <si>
    <t>773495</t>
  </si>
  <si>
    <t>M-TAF105</t>
  </si>
  <si>
    <t>K-LaFK50</t>
  </si>
  <si>
    <t>D-LaF50-170</t>
  </si>
  <si>
    <t>336/276</t>
  </si>
  <si>
    <t>(D-LaF50-25)</t>
  </si>
  <si>
    <t>(M-TAF105)</t>
  </si>
  <si>
    <t>D-LaF50A</t>
  </si>
  <si>
    <t>353/296</t>
  </si>
  <si>
    <t>D-LaF731</t>
  </si>
  <si>
    <t>364/335</t>
  </si>
  <si>
    <t>L-LAM69</t>
  </si>
  <si>
    <t>731405</t>
  </si>
  <si>
    <t>(D-LaF79-25)</t>
  </si>
  <si>
    <t>730405</t>
  </si>
  <si>
    <t>M-LAF81</t>
  </si>
  <si>
    <t>D-LaF743</t>
  </si>
  <si>
    <t>331/262</t>
  </si>
  <si>
    <t>L-LAM60</t>
  </si>
  <si>
    <t>(D-LaF53-25)</t>
  </si>
  <si>
    <t>742493</t>
  </si>
  <si>
    <t>M-NBF1</t>
  </si>
  <si>
    <t>D-ZLaF50</t>
  </si>
  <si>
    <t>375/320</t>
  </si>
  <si>
    <t>349/316</t>
  </si>
  <si>
    <t>(D-ZLaF50-25)</t>
  </si>
  <si>
    <t>802455</t>
  </si>
  <si>
    <t>M-TAF31</t>
  </si>
  <si>
    <t>D-ZLaF52L</t>
  </si>
  <si>
    <t>395/330</t>
  </si>
  <si>
    <t>357/327</t>
  </si>
  <si>
    <t>L-LAH53</t>
  </si>
  <si>
    <t>(D-ZLaF81-25)</t>
  </si>
  <si>
    <t>808410</t>
  </si>
  <si>
    <t>M-NBFD130</t>
  </si>
  <si>
    <t>D-ZLaF52N</t>
  </si>
  <si>
    <t>360/327</t>
  </si>
  <si>
    <t>(L-LAH53)</t>
  </si>
  <si>
    <t>(D-ZLaF52LA-25)</t>
  </si>
  <si>
    <t>809410</t>
  </si>
  <si>
    <t>(M-NBFD130)</t>
  </si>
  <si>
    <t>K-VC89</t>
  </si>
  <si>
    <t>810410</t>
  </si>
  <si>
    <t>P-LASF51</t>
  </si>
  <si>
    <t>810409</t>
  </si>
  <si>
    <t>D-ZLaF52N-M170</t>
  </si>
  <si>
    <t>L-LAH84</t>
  </si>
  <si>
    <t>808405</t>
  </si>
  <si>
    <t>D-ZLaF52LA-25</t>
  </si>
  <si>
    <t>MC-NBFD135</t>
  </si>
  <si>
    <t>(K-LaSFn1)</t>
  </si>
  <si>
    <t>(P-LASF47)</t>
  </si>
  <si>
    <t>D-ZLaF52NC</t>
  </si>
  <si>
    <t>1</t>
  </si>
  <si>
    <t>395/320</t>
  </si>
  <si>
    <t>D-ZLaF53</t>
  </si>
  <si>
    <t>430/350</t>
  </si>
  <si>
    <t>382/347</t>
  </si>
  <si>
    <t>M-NBFD10</t>
  </si>
  <si>
    <t>D-ZLaF814</t>
  </si>
  <si>
    <t>430/345</t>
  </si>
  <si>
    <t>380/342</t>
  </si>
  <si>
    <t xml:space="preserve"> PG   MO</t>
  </si>
  <si>
    <t>D-ZLaF851</t>
  </si>
  <si>
    <t>371/340</t>
  </si>
  <si>
    <t>(L-LAH85V)</t>
  </si>
  <si>
    <t>854404</t>
  </si>
  <si>
    <t>D-ZLaF85A-25</t>
  </si>
  <si>
    <t>851401</t>
  </si>
  <si>
    <t>M-TAFD305</t>
  </si>
  <si>
    <t>F4</t>
  </si>
  <si>
    <t>350/320</t>
  </si>
  <si>
    <t>342/320</t>
  </si>
  <si>
    <t>F2</t>
  </si>
  <si>
    <t>H-ZF53</t>
  </si>
  <si>
    <t>D-ZF10</t>
  </si>
  <si>
    <t>D-ZF52N</t>
  </si>
  <si>
    <t>NHG</t>
  </si>
  <si>
    <r>
      <rPr>
        <sz val="14"/>
        <rFont val="Times New Roman"/>
        <charset val="134"/>
      </rPr>
      <t>n</t>
    </r>
    <r>
      <rPr>
        <vertAlign val="subscript"/>
        <sz val="14"/>
        <rFont val="Times New Roman"/>
        <charset val="134"/>
      </rPr>
      <t>d</t>
    </r>
    <r>
      <rPr>
        <sz val="14"/>
        <rFont val="Times New Roman"/>
        <charset val="134"/>
      </rPr>
      <t xml:space="preserve"> =</t>
    </r>
  </si>
  <si>
    <r>
      <rPr>
        <sz val="14"/>
        <rFont val="Times New Roman"/>
        <charset val="134"/>
      </rPr>
      <t>υ</t>
    </r>
    <r>
      <rPr>
        <vertAlign val="subscript"/>
        <sz val="14"/>
        <rFont val="Times New Roman"/>
        <charset val="134"/>
      </rPr>
      <t>d</t>
    </r>
    <r>
      <rPr>
        <sz val="14"/>
        <rFont val="Times New Roman"/>
        <charset val="134"/>
      </rPr>
      <t xml:space="preserve"> =</t>
    </r>
  </si>
  <si>
    <r>
      <rPr>
        <sz val="14"/>
        <rFont val="Times New Roman"/>
        <charset val="134"/>
      </rPr>
      <t>n</t>
    </r>
    <r>
      <rPr>
        <vertAlign val="subscript"/>
        <sz val="14"/>
        <rFont val="Times New Roman"/>
        <charset val="134"/>
      </rPr>
      <t>F</t>
    </r>
    <r>
      <rPr>
        <sz val="14"/>
        <rFont val="Times New Roman"/>
        <charset val="134"/>
      </rPr>
      <t xml:space="preserve"> – n</t>
    </r>
    <r>
      <rPr>
        <vertAlign val="subscript"/>
        <sz val="14"/>
        <rFont val="Times New Roman"/>
        <charset val="134"/>
      </rPr>
      <t>C</t>
    </r>
    <r>
      <rPr>
        <sz val="14"/>
        <rFont val="Times New Roman"/>
        <charset val="134"/>
      </rPr>
      <t xml:space="preserve"> =</t>
    </r>
  </si>
  <si>
    <r>
      <rPr>
        <sz val="14"/>
        <rFont val="Times New Roman"/>
        <charset val="134"/>
      </rPr>
      <t>n</t>
    </r>
    <r>
      <rPr>
        <vertAlign val="subscript"/>
        <sz val="14"/>
        <rFont val="Times New Roman"/>
        <charset val="134"/>
      </rPr>
      <t>e</t>
    </r>
    <r>
      <rPr>
        <sz val="14"/>
        <rFont val="Times New Roman"/>
        <charset val="134"/>
      </rPr>
      <t xml:space="preserve"> =</t>
    </r>
  </si>
  <si>
    <r>
      <rPr>
        <sz val="14"/>
        <rFont val="Times New Roman"/>
        <charset val="134"/>
      </rPr>
      <t>υ</t>
    </r>
    <r>
      <rPr>
        <vertAlign val="subscript"/>
        <sz val="14"/>
        <rFont val="Times New Roman"/>
        <charset val="134"/>
      </rPr>
      <t>e</t>
    </r>
    <r>
      <rPr>
        <sz val="14"/>
        <rFont val="Times New Roman"/>
        <charset val="134"/>
      </rPr>
      <t xml:space="preserve"> =</t>
    </r>
  </si>
  <si>
    <r>
      <rPr>
        <sz val="14"/>
        <rFont val="Times New Roman"/>
        <charset val="134"/>
      </rPr>
      <t>n</t>
    </r>
    <r>
      <rPr>
        <vertAlign val="subscript"/>
        <sz val="14"/>
        <rFont val="Times New Roman"/>
        <charset val="134"/>
      </rPr>
      <t>F´</t>
    </r>
    <r>
      <rPr>
        <sz val="14"/>
        <rFont val="Times New Roman"/>
        <charset val="134"/>
      </rPr>
      <t>– n</t>
    </r>
    <r>
      <rPr>
        <vertAlign val="subscript"/>
        <sz val="14"/>
        <rFont val="Times New Roman"/>
        <charset val="134"/>
      </rPr>
      <t>C´</t>
    </r>
    <r>
      <rPr>
        <sz val="14"/>
        <rFont val="Times New Roman"/>
        <charset val="134"/>
      </rPr>
      <t xml:space="preserve"> =</t>
    </r>
  </si>
  <si>
    <t>Chemical Properties 
 (grade)</t>
  </si>
  <si>
    <t>Internal Transmittance</t>
  </si>
  <si>
    <t>λ (nm)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</si>
  <si>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λ</t>
    </r>
  </si>
  <si>
    <t>τ5mm</t>
  </si>
  <si>
    <t>τ10mm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</si>
  <si>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2325</t>
    </r>
  </si>
  <si>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d,C</t>
    </r>
  </si>
  <si>
    <t>RC (S)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</si>
  <si>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1970</t>
    </r>
  </si>
  <si>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e,d</t>
    </r>
  </si>
  <si>
    <t>RA (S)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</si>
  <si>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1530</t>
    </r>
  </si>
  <si>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g,F</t>
    </r>
  </si>
  <si>
    <r>
      <rPr>
        <sz val="12"/>
        <rFont val="Times New Roman"/>
        <charset val="134"/>
      </rPr>
      <t>D</t>
    </r>
    <r>
      <rPr>
        <vertAlign val="subscript"/>
        <sz val="12"/>
        <rFont val="Times New Roman"/>
        <charset val="134"/>
      </rPr>
      <t>W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</si>
  <si>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1129</t>
    </r>
  </si>
  <si>
    <r>
      <rPr>
        <sz val="12"/>
        <rFont val="Times New Roman"/>
        <charset val="134"/>
      </rPr>
      <t>P'</t>
    </r>
    <r>
      <rPr>
        <vertAlign val="subscript"/>
        <sz val="12"/>
        <rFont val="Times New Roman"/>
        <charset val="134"/>
      </rPr>
      <t>d,c´</t>
    </r>
  </si>
  <si>
    <r>
      <rPr>
        <sz val="12"/>
        <rFont val="Times New Roman"/>
        <charset val="134"/>
      </rPr>
      <t>D</t>
    </r>
    <r>
      <rPr>
        <vertAlign val="subscript"/>
        <sz val="12"/>
        <rFont val="Times New Roman"/>
        <charset val="134"/>
      </rPr>
      <t>A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</si>
  <si>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1064</t>
    </r>
  </si>
  <si>
    <r>
      <rPr>
        <sz val="12"/>
        <rFont val="Times New Roman"/>
        <charset val="134"/>
      </rPr>
      <t>P'</t>
    </r>
    <r>
      <rPr>
        <vertAlign val="subscript"/>
        <sz val="12"/>
        <rFont val="Times New Roman"/>
        <charset val="134"/>
      </rPr>
      <t>e,d</t>
    </r>
  </si>
  <si>
    <r>
      <rPr>
        <sz val="12"/>
        <rFont val="Times New Roman"/>
        <charset val="134"/>
      </rPr>
      <t>R</t>
    </r>
    <r>
      <rPr>
        <vertAlign val="subscript"/>
        <sz val="12"/>
        <rFont val="Times New Roman"/>
        <charset val="134"/>
      </rPr>
      <t xml:space="preserve">OH </t>
    </r>
    <r>
      <rPr>
        <sz val="12"/>
        <rFont val="Times New Roman"/>
        <charset val="134"/>
      </rPr>
      <t>(S)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</si>
  <si>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t</t>
    </r>
  </si>
  <si>
    <r>
      <rPr>
        <sz val="12"/>
        <rFont val="Times New Roman"/>
        <charset val="134"/>
      </rPr>
      <t>P'</t>
    </r>
    <r>
      <rPr>
        <vertAlign val="subscript"/>
        <sz val="12"/>
        <rFont val="Times New Roman"/>
        <charset val="134"/>
      </rPr>
      <t>g,F´</t>
    </r>
  </si>
  <si>
    <t>RP (S)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</si>
  <si>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s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</si>
  <si>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A´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</si>
  <si>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r</t>
    </r>
  </si>
  <si>
    <t>Deviation of Relative Partial Dispersions</t>
  </si>
  <si>
    <r>
      <rPr>
        <b/>
        <sz val="11"/>
        <rFont val="Times New Roman"/>
        <charset val="134"/>
      </rPr>
      <t>Expansion Coefficient
α (×10</t>
    </r>
    <r>
      <rPr>
        <b/>
        <vertAlign val="superscript"/>
        <sz val="11"/>
        <rFont val="Times New Roman"/>
        <charset val="134"/>
      </rPr>
      <t>-7</t>
    </r>
    <r>
      <rPr>
        <b/>
        <sz val="11"/>
        <rFont val="Times New Roman"/>
        <charset val="134"/>
      </rPr>
      <t>/K)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</si>
  <si>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C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</si>
  <si>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C´</t>
    </r>
  </si>
  <si>
    <r>
      <rPr>
        <sz val="12"/>
        <rFont val="Arial Unicode MS"/>
        <charset val="134"/>
      </rPr>
      <t>△</t>
    </r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F,e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</si>
  <si>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He-Ne</t>
    </r>
  </si>
  <si>
    <r>
      <rPr>
        <sz val="12"/>
        <rFont val="Arial Unicode MS"/>
        <charset val="134"/>
      </rPr>
      <t>△</t>
    </r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g,F</t>
    </r>
  </si>
  <si>
    <r>
      <rPr>
        <sz val="12"/>
        <rFont val="Arial Unicode MS"/>
        <charset val="134"/>
      </rPr>
      <t>℃</t>
    </r>
  </si>
  <si>
    <t>α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</si>
  <si>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D</t>
    </r>
  </si>
  <si>
    <r>
      <rPr>
        <sz val="12"/>
        <rFont val="Arial Unicode MS"/>
        <charset val="134"/>
      </rPr>
      <t>△</t>
    </r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C,t</t>
    </r>
  </si>
  <si>
    <t>-50/-40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</si>
  <si>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d</t>
    </r>
  </si>
  <si>
    <r>
      <rPr>
        <sz val="12"/>
        <rFont val="Arial Unicode MS"/>
        <charset val="134"/>
      </rPr>
      <t>△</t>
    </r>
    <r>
      <rPr>
        <sz val="12"/>
        <rFont val="Times New Roman"/>
        <charset val="134"/>
      </rPr>
      <t>P</t>
    </r>
    <r>
      <rPr>
        <vertAlign val="subscript"/>
        <sz val="12"/>
        <rFont val="Times New Roman"/>
        <charset val="134"/>
      </rPr>
      <t>C,s</t>
    </r>
  </si>
  <si>
    <t>-40/-30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</si>
  <si>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e</t>
    </r>
  </si>
  <si>
    <t>-30/-20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</si>
  <si>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F</t>
    </r>
  </si>
  <si>
    <t>-20/-10</t>
  </si>
  <si>
    <r>
      <rPr>
        <sz val="10.5"/>
        <rFont val="宋体"/>
        <charset val="134"/>
      </rPr>
      <t>⊙</t>
    </r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</si>
  <si>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F´</t>
    </r>
  </si>
  <si>
    <r>
      <rPr>
        <sz val="12"/>
        <rFont val="Times New Roman"/>
        <charset val="134"/>
      </rPr>
      <t>Tg (</t>
    </r>
    <r>
      <rPr>
        <sz val="12"/>
        <rFont val="Arial Unicode MS"/>
        <charset val="134"/>
      </rPr>
      <t>℃</t>
    </r>
    <r>
      <rPr>
        <sz val="12"/>
        <rFont val="Times New Roman"/>
        <charset val="134"/>
      </rPr>
      <t>)</t>
    </r>
  </si>
  <si>
    <t xml:space="preserve"> -10/0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</si>
  <si>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g</t>
    </r>
  </si>
  <si>
    <r>
      <rPr>
        <sz val="12"/>
        <rFont val="Times New Roman"/>
        <charset val="134"/>
      </rPr>
      <t>Ts (</t>
    </r>
    <r>
      <rPr>
        <sz val="12"/>
        <rFont val="Arial Unicode MS"/>
        <charset val="134"/>
      </rPr>
      <t>℃</t>
    </r>
    <r>
      <rPr>
        <sz val="12"/>
        <rFont val="Times New Roman"/>
        <charset val="134"/>
      </rPr>
      <t>)</t>
    </r>
  </si>
  <si>
    <t xml:space="preserve">  0/10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</si>
  <si>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h</t>
    </r>
  </si>
  <si>
    <r>
      <rPr>
        <sz val="11"/>
        <rFont val="Times New Roman"/>
        <charset val="134"/>
      </rPr>
      <t>T</t>
    </r>
    <r>
      <rPr>
        <vertAlign val="subscript"/>
        <sz val="11"/>
        <rFont val="Times New Roman"/>
        <charset val="134"/>
      </rPr>
      <t>10</t>
    </r>
    <r>
      <rPr>
        <vertAlign val="superscript"/>
        <sz val="11"/>
        <rFont val="Times New Roman"/>
        <charset val="134"/>
      </rPr>
      <t xml:space="preserve">14.5 </t>
    </r>
    <r>
      <rPr>
        <sz val="11"/>
        <rFont val="Times New Roman"/>
        <charset val="134"/>
      </rPr>
      <t>(</t>
    </r>
    <r>
      <rPr>
        <sz val="11"/>
        <rFont val="Arial Unicode MS"/>
        <charset val="134"/>
      </rPr>
      <t>℃</t>
    </r>
    <r>
      <rPr>
        <sz val="11"/>
        <rFont val="Times New Roman"/>
        <charset val="134"/>
      </rPr>
      <t>)</t>
    </r>
  </si>
  <si>
    <t xml:space="preserve"> 10/20</t>
  </si>
  <si>
    <r>
      <rPr>
        <sz val="12"/>
        <rFont val="Times New Roman"/>
        <charset val="134"/>
      </rPr>
      <t>n</t>
    </r>
    <r>
      <rPr>
        <vertAlign val="subscript"/>
        <sz val="12"/>
        <rFont val="Times New Roman"/>
        <charset val="134"/>
      </rPr>
      <t>i</t>
    </r>
  </si>
  <si>
    <r>
      <rPr>
        <sz val="11"/>
        <rFont val="Times New Roman"/>
        <charset val="134"/>
      </rPr>
      <t>T</t>
    </r>
    <r>
      <rPr>
        <vertAlign val="subscript"/>
        <sz val="11"/>
        <rFont val="Times New Roman"/>
        <charset val="134"/>
      </rPr>
      <t>10</t>
    </r>
    <r>
      <rPr>
        <vertAlign val="superscript"/>
        <sz val="11"/>
        <rFont val="Times New Roman"/>
        <charset val="134"/>
      </rPr>
      <t xml:space="preserve">13 </t>
    </r>
    <r>
      <rPr>
        <sz val="11"/>
        <rFont val="Times New Roman"/>
        <charset val="134"/>
      </rPr>
      <t>(</t>
    </r>
    <r>
      <rPr>
        <sz val="11"/>
        <rFont val="Arial Unicode MS"/>
        <charset val="134"/>
      </rPr>
      <t>℃</t>
    </r>
    <r>
      <rPr>
        <sz val="11"/>
        <rFont val="Times New Roman"/>
        <charset val="134"/>
      </rPr>
      <t>)</t>
    </r>
  </si>
  <si>
    <t xml:space="preserve"> 20/30</t>
  </si>
  <si>
    <r>
      <rPr>
        <sz val="12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-50/80</t>
    </r>
    <r>
      <rPr>
        <vertAlign val="subscript"/>
        <sz val="10"/>
        <rFont val="Arial Unicode MS"/>
        <charset val="134"/>
      </rPr>
      <t>℃</t>
    </r>
    <r>
      <rPr>
        <vertAlign val="subscript"/>
        <sz val="9"/>
        <rFont val="Times New Roman"/>
        <charset val="134"/>
      </rPr>
      <t xml:space="preserve"> </t>
    </r>
    <r>
      <rPr>
        <sz val="9"/>
        <rFont val="Times New Roman"/>
        <charset val="134"/>
      </rPr>
      <t>(10</t>
    </r>
    <r>
      <rPr>
        <vertAlign val="superscript"/>
        <sz val="9"/>
        <rFont val="Times New Roman"/>
        <charset val="134"/>
      </rPr>
      <t>-7</t>
    </r>
    <r>
      <rPr>
        <sz val="9"/>
        <rFont val="Times New Roman"/>
        <charset val="134"/>
      </rPr>
      <t>/K)</t>
    </r>
  </si>
  <si>
    <t xml:space="preserve"> 30/40</t>
  </si>
  <si>
    <r>
      <rPr>
        <sz val="12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100/300</t>
    </r>
    <r>
      <rPr>
        <vertAlign val="subscript"/>
        <sz val="10"/>
        <rFont val="Arial Unicode MS"/>
        <charset val="134"/>
      </rPr>
      <t>℃</t>
    </r>
    <r>
      <rPr>
        <vertAlign val="subscript"/>
        <sz val="9"/>
        <rFont val="Times New Roman"/>
        <charset val="134"/>
      </rPr>
      <t xml:space="preserve"> </t>
    </r>
    <r>
      <rPr>
        <sz val="9"/>
        <rFont val="Times New Roman"/>
        <charset val="134"/>
      </rPr>
      <t>(10</t>
    </r>
    <r>
      <rPr>
        <vertAlign val="superscript"/>
        <sz val="9"/>
        <rFont val="Times New Roman"/>
        <charset val="134"/>
      </rPr>
      <t>-7</t>
    </r>
    <r>
      <rPr>
        <sz val="9"/>
        <rFont val="Times New Roman"/>
        <charset val="134"/>
      </rPr>
      <t>/K)</t>
    </r>
  </si>
  <si>
    <t xml:space="preserve"> 40/50</t>
  </si>
  <si>
    <r>
      <rPr>
        <sz val="12"/>
        <rFont val="Times New Roman"/>
        <charset val="134"/>
      </rPr>
      <t xml:space="preserve">λ </t>
    </r>
    <r>
      <rPr>
        <sz val="11"/>
        <rFont val="Times New Roman"/>
        <charset val="134"/>
      </rPr>
      <t>(W/(m·K))</t>
    </r>
  </si>
  <si>
    <t xml:space="preserve"> 50/60</t>
  </si>
  <si>
    <r>
      <rPr>
        <sz val="12"/>
        <color theme="0"/>
        <rFont val="Times New Roman"/>
        <charset val="134"/>
      </rPr>
      <t>β</t>
    </r>
    <r>
      <rPr>
        <vertAlign val="subscript"/>
        <sz val="12"/>
        <color theme="0"/>
        <rFont val="Times New Roman"/>
        <charset val="134"/>
      </rPr>
      <t>d</t>
    </r>
  </si>
  <si>
    <t xml:space="preserve"> 60/70</t>
  </si>
  <si>
    <r>
      <rPr>
        <sz val="12"/>
        <rFont val="Times New Roman"/>
        <charset val="134"/>
      </rPr>
      <t>A</t>
    </r>
    <r>
      <rPr>
        <vertAlign val="subscript"/>
        <sz val="12"/>
        <rFont val="Times New Roman"/>
        <charset val="134"/>
      </rPr>
      <t>0</t>
    </r>
  </si>
  <si>
    <t xml:space="preserve"> 70/80</t>
  </si>
  <si>
    <r>
      <rPr>
        <sz val="12"/>
        <rFont val="Times New Roman"/>
        <charset val="134"/>
      </rPr>
      <t>A</t>
    </r>
    <r>
      <rPr>
        <vertAlign val="subscript"/>
        <sz val="12"/>
        <rFont val="Times New Roman"/>
        <charset val="134"/>
      </rPr>
      <t>1</t>
    </r>
  </si>
  <si>
    <t xml:space="preserve"> 80/90</t>
  </si>
  <si>
    <r>
      <rPr>
        <sz val="12"/>
        <rFont val="Times New Roman"/>
        <charset val="134"/>
      </rPr>
      <t>A</t>
    </r>
    <r>
      <rPr>
        <vertAlign val="subscript"/>
        <sz val="12"/>
        <rFont val="Times New Roman"/>
        <charset val="134"/>
      </rPr>
      <t>2</t>
    </r>
  </si>
  <si>
    <r>
      <rPr>
        <sz val="12"/>
        <rFont val="Times New Roman"/>
        <charset val="134"/>
      </rPr>
      <t>HK (10</t>
    </r>
    <r>
      <rPr>
        <vertAlign val="superscript"/>
        <sz val="12"/>
        <rFont val="Times New Roman"/>
        <charset val="134"/>
      </rPr>
      <t>7</t>
    </r>
    <r>
      <rPr>
        <sz val="12"/>
        <rFont val="Times New Roman"/>
        <charset val="134"/>
      </rPr>
      <t>Pa)</t>
    </r>
  </si>
  <si>
    <t xml:space="preserve"> 90/100</t>
  </si>
  <si>
    <r>
      <rPr>
        <sz val="12"/>
        <rFont val="Times New Roman"/>
        <charset val="134"/>
      </rPr>
      <t>A</t>
    </r>
    <r>
      <rPr>
        <vertAlign val="subscript"/>
        <sz val="12"/>
        <rFont val="Times New Roman"/>
        <charset val="134"/>
      </rPr>
      <t>3</t>
    </r>
  </si>
  <si>
    <r>
      <rPr>
        <sz val="12"/>
        <rFont val="Times New Roman"/>
        <charset val="134"/>
      </rPr>
      <t>F</t>
    </r>
    <r>
      <rPr>
        <vertAlign val="subscript"/>
        <sz val="12"/>
        <rFont val="Times New Roman"/>
        <charset val="134"/>
      </rPr>
      <t>A</t>
    </r>
  </si>
  <si>
    <t>100/110</t>
  </si>
  <si>
    <r>
      <rPr>
        <sz val="12"/>
        <rFont val="Times New Roman"/>
        <charset val="134"/>
      </rPr>
      <t>A</t>
    </r>
    <r>
      <rPr>
        <vertAlign val="subscript"/>
        <sz val="12"/>
        <rFont val="Times New Roman"/>
        <charset val="134"/>
      </rPr>
      <t>4</t>
    </r>
  </si>
  <si>
    <t>E (GPa)</t>
  </si>
  <si>
    <t>110/120</t>
  </si>
  <si>
    <r>
      <rPr>
        <sz val="12"/>
        <rFont val="Times New Roman"/>
        <charset val="134"/>
      </rPr>
      <t>A</t>
    </r>
    <r>
      <rPr>
        <vertAlign val="subscript"/>
        <sz val="12"/>
        <rFont val="Times New Roman"/>
        <charset val="134"/>
      </rPr>
      <t>5</t>
    </r>
  </si>
  <si>
    <t>G (GPa)</t>
  </si>
  <si>
    <t>120/130</t>
  </si>
  <si>
    <t>130/140</t>
  </si>
  <si>
    <r>
      <rPr>
        <sz val="12"/>
        <rFont val="Times New Roman"/>
        <charset val="134"/>
      </rPr>
      <t>σ</t>
    </r>
    <r>
      <rPr>
        <vertAlign val="subscript"/>
        <sz val="12"/>
        <rFont val="Times New Roman"/>
        <charset val="134"/>
      </rPr>
      <t xml:space="preserve">b </t>
    </r>
    <r>
      <rPr>
        <sz val="12"/>
        <rFont val="Times New Roman"/>
        <charset val="134"/>
      </rPr>
      <t>(MPa)</t>
    </r>
  </si>
  <si>
    <t>140/150</t>
  </si>
  <si>
    <r>
      <rPr>
        <sz val="12"/>
        <rFont val="Times New Roman"/>
        <charset val="134"/>
      </rPr>
      <t>ρ (g/cm</t>
    </r>
    <r>
      <rPr>
        <vertAlign val="superscript"/>
        <sz val="12"/>
        <rFont val="Times New Roman"/>
        <charset val="134"/>
      </rPr>
      <t>3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</si>
  <si>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△</t>
    </r>
    <r>
      <rPr>
        <sz val="12"/>
        <rFont val="Times New Roman"/>
        <charset val="134"/>
      </rPr>
      <t>λ (%)</t>
    </r>
  </si>
  <si>
    <r>
      <rPr>
        <sz val="12"/>
        <rFont val="Times New Roman"/>
        <charset val="134"/>
      </rPr>
      <t>B (10</t>
    </r>
    <r>
      <rPr>
        <vertAlign val="superscript"/>
        <sz val="12"/>
        <rFont val="Times New Roman"/>
        <charset val="134"/>
      </rPr>
      <t>-12</t>
    </r>
    <r>
      <rPr>
        <sz val="12"/>
        <rFont val="Times New Roman"/>
        <charset val="134"/>
      </rPr>
      <t>/Pa)</t>
    </r>
  </si>
  <si>
    <t>150/160</t>
  </si>
  <si>
    <r>
      <rPr>
        <b/>
        <sz val="10.5"/>
        <rFont val="Times New Roman"/>
        <charset val="134"/>
      </rPr>
      <t>Range of Temperature
(</t>
    </r>
    <r>
      <rPr>
        <b/>
        <sz val="10.5"/>
        <rFont val="Arial Unicode MS"/>
        <charset val="134"/>
      </rPr>
      <t>℃</t>
    </r>
    <r>
      <rPr>
        <b/>
        <sz val="10.5"/>
        <rFont val="Times New Roman"/>
        <charset val="134"/>
      </rPr>
      <t xml:space="preserve">)  </t>
    </r>
  </si>
  <si>
    <t>Temperature Coefficients of Refractive Index</t>
  </si>
  <si>
    <r>
      <rPr>
        <b/>
        <sz val="11"/>
        <rFont val="Times New Roman"/>
        <charset val="134"/>
      </rPr>
      <t>dn/dt  relative   (×10</t>
    </r>
    <r>
      <rPr>
        <b/>
        <vertAlign val="superscript"/>
        <sz val="11"/>
        <rFont val="Times New Roman"/>
        <charset val="134"/>
      </rPr>
      <t>-6</t>
    </r>
    <r>
      <rPr>
        <b/>
        <sz val="11"/>
        <rFont val="Times New Roman"/>
        <charset val="134"/>
      </rPr>
      <t xml:space="preserve"> / </t>
    </r>
    <r>
      <rPr>
        <b/>
        <sz val="11"/>
        <rFont val="Arial Unicode MS"/>
        <charset val="134"/>
      </rPr>
      <t>℃</t>
    </r>
    <r>
      <rPr>
        <b/>
        <sz val="11"/>
        <rFont val="Times New Roman"/>
        <charset val="134"/>
      </rPr>
      <t>)</t>
    </r>
  </si>
  <si>
    <t>t</t>
  </si>
  <si>
    <t>s</t>
  </si>
  <si>
    <t>C'</t>
  </si>
  <si>
    <t>He-Ne</t>
  </si>
  <si>
    <t>d</t>
  </si>
  <si>
    <t>e</t>
  </si>
  <si>
    <t>F</t>
  </si>
  <si>
    <t>F'</t>
  </si>
  <si>
    <t>g</t>
  </si>
  <si>
    <r>
      <rPr>
        <sz val="12"/>
        <rFont val="Times New Roman"/>
        <charset val="134"/>
      </rPr>
      <t>-60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-40</t>
    </r>
  </si>
  <si>
    <r>
      <rPr>
        <sz val="12"/>
        <rFont val="Times New Roman"/>
        <charset val="134"/>
      </rPr>
      <t>-40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-20</t>
    </r>
  </si>
  <si>
    <r>
      <rPr>
        <sz val="12"/>
        <rFont val="Times New Roman"/>
        <charset val="134"/>
      </rPr>
      <t>λ</t>
    </r>
    <r>
      <rPr>
        <vertAlign val="subscript"/>
        <sz val="12"/>
        <rFont val="Times New Roman"/>
        <charset val="134"/>
      </rPr>
      <t>80</t>
    </r>
    <r>
      <rPr>
        <sz val="12"/>
        <rFont val="Times New Roman"/>
        <charset val="134"/>
      </rPr>
      <t>(λ</t>
    </r>
    <r>
      <rPr>
        <vertAlign val="subscript"/>
        <sz val="12"/>
        <rFont val="Times New Roman"/>
        <charset val="134"/>
      </rPr>
      <t>70</t>
    </r>
    <r>
      <rPr>
        <sz val="12"/>
        <rFont val="Times New Roman"/>
        <charset val="134"/>
      </rPr>
      <t>)/λ</t>
    </r>
    <r>
      <rPr>
        <vertAlign val="subscript"/>
        <sz val="12"/>
        <rFont val="Times New Roman"/>
        <charset val="134"/>
      </rPr>
      <t>5</t>
    </r>
  </si>
  <si>
    <r>
      <rPr>
        <sz val="12"/>
        <rFont val="Times New Roman"/>
        <charset val="134"/>
      </rPr>
      <t>-20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0</t>
    </r>
  </si>
  <si>
    <r>
      <rPr>
        <sz val="12"/>
        <rFont val="Times New Roman"/>
        <charset val="134"/>
      </rPr>
      <t>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20</t>
    </r>
  </si>
  <si>
    <r>
      <rPr>
        <sz val="12"/>
        <rFont val="Times New Roman"/>
        <charset val="134"/>
      </rPr>
      <t>20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40</t>
    </r>
  </si>
  <si>
    <r>
      <rPr>
        <sz val="12"/>
        <rFont val="Times New Roman"/>
        <charset val="134"/>
      </rPr>
      <t>λτ</t>
    </r>
    <r>
      <rPr>
        <vertAlign val="subscript"/>
        <sz val="12"/>
        <rFont val="Times New Roman"/>
        <charset val="134"/>
      </rPr>
      <t>80</t>
    </r>
    <r>
      <rPr>
        <sz val="12"/>
        <rFont val="Times New Roman"/>
        <charset val="134"/>
      </rPr>
      <t>/λτ</t>
    </r>
    <r>
      <rPr>
        <vertAlign val="subscript"/>
        <sz val="12"/>
        <rFont val="Times New Roman"/>
        <charset val="134"/>
      </rPr>
      <t>5</t>
    </r>
  </si>
  <si>
    <r>
      <rPr>
        <sz val="12"/>
        <rFont val="Times New Roman"/>
        <charset val="134"/>
      </rPr>
      <t>40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60</t>
    </r>
  </si>
  <si>
    <r>
      <rPr>
        <sz val="12"/>
        <rFont val="Times New Roman"/>
        <charset val="134"/>
      </rPr>
      <t>60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80</t>
    </r>
  </si>
  <si>
    <r>
      <rPr>
        <sz val="12"/>
        <rFont val="Times New Roman"/>
        <charset val="134"/>
      </rPr>
      <t>80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100</t>
    </r>
  </si>
  <si>
    <r>
      <rPr>
        <sz val="12"/>
        <rFont val="Times New Roman"/>
        <charset val="134"/>
      </rPr>
      <t>D</t>
    </r>
    <r>
      <rPr>
        <vertAlign val="subscript"/>
        <sz val="12"/>
        <rFont val="Times New Roman"/>
        <charset val="134"/>
      </rPr>
      <t>0</t>
    </r>
  </si>
  <si>
    <r>
      <rPr>
        <sz val="12"/>
        <rFont val="Times New Roman"/>
        <charset val="134"/>
      </rPr>
      <t>D</t>
    </r>
    <r>
      <rPr>
        <vertAlign val="subscript"/>
        <sz val="12"/>
        <rFont val="Times New Roman"/>
        <charset val="134"/>
      </rPr>
      <t>1</t>
    </r>
  </si>
  <si>
    <r>
      <rPr>
        <sz val="12"/>
        <rFont val="Times New Roman"/>
        <charset val="134"/>
      </rPr>
      <t>D</t>
    </r>
    <r>
      <rPr>
        <vertAlign val="subscript"/>
        <sz val="12"/>
        <rFont val="Times New Roman"/>
        <charset val="134"/>
      </rPr>
      <t>2</t>
    </r>
  </si>
  <si>
    <r>
      <rPr>
        <sz val="12"/>
        <rFont val="Times New Roman"/>
        <charset val="134"/>
      </rPr>
      <t>100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120</t>
    </r>
  </si>
  <si>
    <r>
      <rPr>
        <sz val="12"/>
        <rFont val="Times New Roman"/>
        <charset val="134"/>
      </rPr>
      <t>120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140</t>
    </r>
  </si>
  <si>
    <r>
      <rPr>
        <sz val="12"/>
        <rFont val="Times New Roman"/>
        <charset val="134"/>
      </rPr>
      <t>E</t>
    </r>
    <r>
      <rPr>
        <vertAlign val="subscript"/>
        <sz val="12"/>
        <rFont val="Times New Roman"/>
        <charset val="134"/>
      </rPr>
      <t>0</t>
    </r>
  </si>
  <si>
    <r>
      <rPr>
        <sz val="12"/>
        <rFont val="Times New Roman"/>
        <charset val="134"/>
      </rPr>
      <t>E</t>
    </r>
    <r>
      <rPr>
        <vertAlign val="subscript"/>
        <sz val="12"/>
        <rFont val="Times New Roman"/>
        <charset val="134"/>
      </rPr>
      <t>1</t>
    </r>
  </si>
  <si>
    <r>
      <rPr>
        <sz val="12"/>
        <rFont val="Times New Roman"/>
        <charset val="134"/>
      </rPr>
      <t>λ</t>
    </r>
    <r>
      <rPr>
        <vertAlign val="subscript"/>
        <sz val="12"/>
        <rFont val="Times New Roman"/>
        <charset val="134"/>
      </rPr>
      <t>TK</t>
    </r>
  </si>
  <si>
    <r>
      <rPr>
        <sz val="12"/>
        <rFont val="Times New Roman"/>
        <charset val="134"/>
      </rPr>
      <t>140</t>
    </r>
    <r>
      <rPr>
        <sz val="12"/>
        <rFont val="Arial Unicode MS"/>
        <charset val="134"/>
      </rPr>
      <t>～</t>
    </r>
    <r>
      <rPr>
        <sz val="12"/>
        <rFont val="Times New Roman"/>
        <charset val="134"/>
      </rPr>
      <t>160</t>
    </r>
  </si>
  <si>
    <r>
      <rPr>
        <sz val="7"/>
        <color indexed="8"/>
        <rFont val="宋体"/>
        <charset val="134"/>
      </rPr>
      <t>牌号</t>
    </r>
  </si>
  <si>
    <r>
      <rPr>
        <sz val="7"/>
        <color indexed="8"/>
        <rFont val="宋体"/>
        <charset val="134"/>
      </rPr>
      <t>代码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</si>
  <si>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d</t>
    </r>
  </si>
  <si>
    <r>
      <rPr>
        <sz val="7"/>
        <color indexed="8"/>
        <rFont val="Arial Narrow"/>
        <charset val="134"/>
      </rPr>
      <t>υ</t>
    </r>
    <r>
      <rPr>
        <vertAlign val="subscript"/>
        <sz val="7"/>
        <color indexed="8"/>
        <rFont val="Arial Narrow"/>
        <charset val="134"/>
      </rPr>
      <t>d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</si>
  <si>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F</t>
    </r>
    <r>
      <rPr>
        <sz val="7"/>
        <color indexed="8"/>
        <rFont val="Arial Narrow"/>
        <charset val="134"/>
      </rPr>
      <t>-n</t>
    </r>
    <r>
      <rPr>
        <vertAlign val="subscript"/>
        <sz val="7"/>
        <color indexed="8"/>
        <rFont val="Arial Narrow"/>
        <charset val="134"/>
      </rPr>
      <t>C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</si>
  <si>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e</t>
    </r>
  </si>
  <si>
    <r>
      <rPr>
        <sz val="7"/>
        <color indexed="8"/>
        <rFont val="Arial Narrow"/>
        <charset val="134"/>
      </rPr>
      <t>υ</t>
    </r>
    <r>
      <rPr>
        <vertAlign val="subscript"/>
        <sz val="7"/>
        <color indexed="8"/>
        <rFont val="Arial Narrow"/>
        <charset val="134"/>
      </rPr>
      <t>e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</si>
  <si>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F'</t>
    </r>
    <r>
      <rPr>
        <sz val="7"/>
        <color indexed="8"/>
        <rFont val="Arial Narrow"/>
        <charset val="134"/>
      </rPr>
      <t>-n</t>
    </r>
    <r>
      <rPr>
        <vertAlign val="subscript"/>
        <sz val="7"/>
        <color indexed="8"/>
        <rFont val="Arial Narrow"/>
        <charset val="134"/>
      </rPr>
      <t>C'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</si>
  <si>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t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</si>
  <si>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s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</si>
  <si>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A'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</si>
  <si>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r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</si>
  <si>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C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</si>
  <si>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C'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</si>
  <si>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He-Ne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</si>
  <si>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F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</si>
  <si>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F'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</si>
  <si>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g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</si>
  <si>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h</t>
    </r>
  </si>
  <si>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i</t>
    </r>
  </si>
  <si>
    <r>
      <rPr>
        <sz val="7"/>
        <rFont val="宋体"/>
        <charset val="134"/>
      </rPr>
      <t>部分色散</t>
    </r>
  </si>
  <si>
    <r>
      <rPr>
        <sz val="7"/>
        <color indexed="8"/>
        <rFont val="宋体"/>
        <charset val="134"/>
      </rPr>
      <t>异常色散</t>
    </r>
  </si>
  <si>
    <r>
      <rPr>
        <sz val="7"/>
        <color indexed="8"/>
        <rFont val="宋体"/>
        <charset val="134"/>
      </rPr>
      <t>相对折射率的温度系数</t>
    </r>
    <r>
      <rPr>
        <sz val="7"/>
        <color indexed="8"/>
        <rFont val="Arial Narrow"/>
        <charset val="134"/>
      </rPr>
      <t xml:space="preserve">dn/dt
</t>
    </r>
    <r>
      <rPr>
        <sz val="7"/>
        <color indexed="8"/>
        <rFont val="宋体"/>
        <charset val="134"/>
      </rPr>
      <t>（</t>
    </r>
    <r>
      <rPr>
        <sz val="7"/>
        <color indexed="8"/>
        <rFont val="Arial Narrow"/>
        <charset val="134"/>
      </rPr>
      <t>d</t>
    </r>
    <r>
      <rPr>
        <sz val="7"/>
        <color indexed="8"/>
        <rFont val="宋体"/>
        <charset val="134"/>
      </rPr>
      <t>线，</t>
    </r>
    <r>
      <rPr>
        <sz val="7"/>
        <color indexed="8"/>
        <rFont val="Arial Narrow"/>
        <charset val="134"/>
      </rPr>
      <t>×10</t>
    </r>
    <r>
      <rPr>
        <vertAlign val="superscript"/>
        <sz val="7"/>
        <color indexed="8"/>
        <rFont val="Arial Narrow"/>
        <charset val="134"/>
      </rPr>
      <t>-6</t>
    </r>
    <r>
      <rPr>
        <sz val="7"/>
        <color indexed="8"/>
        <rFont val="Arial Narrow"/>
        <charset val="134"/>
      </rPr>
      <t>/</t>
    </r>
    <r>
      <rPr>
        <sz val="7"/>
        <color indexed="8"/>
        <rFont val="宋体"/>
        <charset val="134"/>
      </rPr>
      <t>℃）</t>
    </r>
  </si>
  <si>
    <r>
      <rPr>
        <sz val="7"/>
        <rFont val="Arial Narrow"/>
        <charset val="134"/>
      </rPr>
      <t>P</t>
    </r>
    <r>
      <rPr>
        <vertAlign val="subscript"/>
        <sz val="7"/>
        <rFont val="Arial Narrow"/>
        <charset val="134"/>
      </rPr>
      <t>d,C</t>
    </r>
  </si>
  <si>
    <r>
      <rPr>
        <sz val="7"/>
        <rFont val="Arial Narrow"/>
        <charset val="134"/>
      </rPr>
      <t>P</t>
    </r>
    <r>
      <rPr>
        <vertAlign val="subscript"/>
        <sz val="7"/>
        <rFont val="Arial Narrow"/>
        <charset val="134"/>
      </rPr>
      <t>g,F</t>
    </r>
  </si>
  <si>
    <r>
      <rPr>
        <sz val="7"/>
        <rFont val="Arial Narrow"/>
        <charset val="134"/>
      </rPr>
      <t>P</t>
    </r>
    <r>
      <rPr>
        <sz val="7"/>
        <rFont val="宋体"/>
        <charset val="134"/>
      </rPr>
      <t>′</t>
    </r>
    <r>
      <rPr>
        <vertAlign val="subscript"/>
        <sz val="7"/>
        <rFont val="Arial Narrow"/>
        <charset val="134"/>
      </rPr>
      <t>d,c´</t>
    </r>
  </si>
  <si>
    <r>
      <rPr>
        <sz val="7"/>
        <rFont val="Arial Narrow"/>
        <charset val="134"/>
      </rPr>
      <t>P</t>
    </r>
    <r>
      <rPr>
        <sz val="7"/>
        <rFont val="宋体"/>
        <charset val="134"/>
      </rPr>
      <t>′</t>
    </r>
    <r>
      <rPr>
        <vertAlign val="subscript"/>
        <sz val="7"/>
        <rFont val="Arial Narrow"/>
        <charset val="134"/>
      </rPr>
      <t>g,F´</t>
    </r>
  </si>
  <si>
    <r>
      <rPr>
        <sz val="7"/>
        <rFont val="宋体"/>
        <charset val="134"/>
      </rPr>
      <t>△</t>
    </r>
    <r>
      <rPr>
        <sz val="7"/>
        <rFont val="Arial Narrow"/>
        <charset val="134"/>
      </rPr>
      <t>P</t>
    </r>
    <r>
      <rPr>
        <vertAlign val="subscript"/>
        <sz val="7"/>
        <rFont val="Arial Narrow"/>
        <charset val="134"/>
      </rPr>
      <t>g,F</t>
    </r>
  </si>
  <si>
    <r>
      <rPr>
        <sz val="7"/>
        <rFont val="宋体"/>
        <charset val="134"/>
      </rPr>
      <t>△</t>
    </r>
    <r>
      <rPr>
        <sz val="7"/>
        <rFont val="Arial Narrow"/>
        <charset val="134"/>
      </rPr>
      <t>P</t>
    </r>
    <r>
      <rPr>
        <vertAlign val="subscript"/>
        <sz val="7"/>
        <rFont val="Arial Narrow"/>
        <charset val="134"/>
      </rPr>
      <t>C,t</t>
    </r>
  </si>
  <si>
    <r>
      <rPr>
        <sz val="7"/>
        <color indexed="8"/>
        <rFont val="Arial Narrow"/>
        <charset val="134"/>
      </rPr>
      <t>-40</t>
    </r>
    <r>
      <rPr>
        <sz val="7"/>
        <color indexed="8"/>
        <rFont val="宋体"/>
        <charset val="134"/>
      </rPr>
      <t>∽</t>
    </r>
    <r>
      <rPr>
        <sz val="7"/>
        <color indexed="8"/>
        <rFont val="Arial Narrow"/>
        <charset val="134"/>
      </rPr>
      <t>-20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</si>
  <si>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Arial Narrow"/>
        <charset val="134"/>
      </rPr>
      <t>20</t>
    </r>
    <r>
      <rPr>
        <sz val="7"/>
        <color indexed="8"/>
        <rFont val="宋体"/>
        <charset val="134"/>
      </rPr>
      <t>∽</t>
    </r>
    <r>
      <rPr>
        <sz val="7"/>
        <color indexed="8"/>
        <rFont val="Arial Narrow"/>
        <charset val="134"/>
      </rPr>
      <t>40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</si>
  <si>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Arial Narrow"/>
        <charset val="134"/>
      </rPr>
      <t>80</t>
    </r>
    <r>
      <rPr>
        <sz val="7"/>
        <color indexed="8"/>
        <rFont val="宋体"/>
        <charset val="134"/>
      </rPr>
      <t>∽</t>
    </r>
    <r>
      <rPr>
        <sz val="7"/>
        <color indexed="8"/>
        <rFont val="Arial Narrow"/>
        <charset val="134"/>
      </rPr>
      <t>100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</si>
  <si>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宋体"/>
        <charset val="134"/>
      </rPr>
      <t>内部透过率（</t>
    </r>
    <r>
      <rPr>
        <sz val="7"/>
        <color indexed="8"/>
        <rFont val="Arial Narrow"/>
        <charset val="134"/>
      </rPr>
      <t>τ10mm</t>
    </r>
    <r>
      <rPr>
        <sz val="7"/>
        <color indexed="8"/>
        <rFont val="宋体"/>
        <charset val="134"/>
      </rPr>
      <t>）</t>
    </r>
  </si>
  <si>
    <r>
      <rPr>
        <sz val="7"/>
        <color indexed="8"/>
        <rFont val="宋体"/>
        <charset val="134"/>
      </rPr>
      <t>内透着色度</t>
    </r>
  </si>
  <si>
    <r>
      <rPr>
        <sz val="7"/>
        <color indexed="8"/>
        <rFont val="宋体"/>
        <charset val="134"/>
      </rPr>
      <t>着色度</t>
    </r>
  </si>
  <si>
    <r>
      <rPr>
        <sz val="7"/>
        <color indexed="8"/>
        <rFont val="宋体"/>
        <charset val="134"/>
      </rPr>
      <t>表面法</t>
    </r>
  </si>
  <si>
    <r>
      <rPr>
        <sz val="7"/>
        <color indexed="8"/>
        <rFont val="宋体"/>
        <charset val="134"/>
      </rPr>
      <t>粉末法</t>
    </r>
  </si>
  <si>
    <r>
      <rPr>
        <sz val="7"/>
        <color indexed="8"/>
        <rFont val="宋体"/>
        <charset val="134"/>
      </rPr>
      <t>转变
温度</t>
    </r>
  </si>
  <si>
    <r>
      <rPr>
        <sz val="7"/>
        <color indexed="8"/>
        <rFont val="宋体"/>
        <charset val="134"/>
      </rPr>
      <t>弛垂
温度</t>
    </r>
  </si>
  <si>
    <r>
      <rPr>
        <sz val="7"/>
        <color indexed="8"/>
        <rFont val="宋体"/>
        <charset val="134"/>
      </rPr>
      <t xml:space="preserve">线膨胀系数
</t>
    </r>
    <r>
      <rPr>
        <sz val="7"/>
        <color indexed="8"/>
        <rFont val="Arial Narrow"/>
        <charset val="134"/>
      </rPr>
      <t>α(×10</t>
    </r>
    <r>
      <rPr>
        <vertAlign val="superscript"/>
        <sz val="7"/>
        <color indexed="8"/>
        <rFont val="Arial Narrow"/>
        <charset val="134"/>
      </rPr>
      <t>-7</t>
    </r>
    <r>
      <rPr>
        <sz val="7"/>
        <color indexed="8"/>
        <rFont val="Arial Narrow"/>
        <charset val="134"/>
      </rPr>
      <t>/K)</t>
    </r>
  </si>
  <si>
    <t>导热
系数</t>
  </si>
  <si>
    <t>比热</t>
  </si>
  <si>
    <t>硬度</t>
  </si>
  <si>
    <r>
      <rPr>
        <sz val="7"/>
        <color indexed="8"/>
        <rFont val="宋体"/>
        <charset val="134"/>
      </rPr>
      <t>磨耗度</t>
    </r>
  </si>
  <si>
    <r>
      <rPr>
        <sz val="7"/>
        <color indexed="8"/>
        <rFont val="宋体"/>
        <charset val="134"/>
      </rPr>
      <t>光弹
系数</t>
    </r>
  </si>
  <si>
    <r>
      <rPr>
        <sz val="7"/>
        <color indexed="8"/>
        <rFont val="宋体"/>
        <charset val="134"/>
      </rPr>
      <t>密度</t>
    </r>
  </si>
  <si>
    <r>
      <rPr>
        <sz val="7"/>
        <color indexed="8"/>
        <rFont val="Arial Narrow"/>
        <charset val="134"/>
      </rPr>
      <t>λτ</t>
    </r>
    <r>
      <rPr>
        <vertAlign val="subscript"/>
        <sz val="7"/>
        <color indexed="8"/>
        <rFont val="Arial Narrow"/>
        <charset val="134"/>
      </rPr>
      <t>80</t>
    </r>
    <r>
      <rPr>
        <sz val="7"/>
        <color indexed="8"/>
        <rFont val="Arial Narrow"/>
        <charset val="134"/>
      </rPr>
      <t>/λτ</t>
    </r>
    <r>
      <rPr>
        <vertAlign val="subscript"/>
        <sz val="7"/>
        <color indexed="8"/>
        <rFont val="Arial Narrow"/>
        <charset val="134"/>
      </rPr>
      <t>5</t>
    </r>
  </si>
  <si>
    <r>
      <rPr>
        <sz val="7"/>
        <color indexed="8"/>
        <rFont val="Arial Narrow"/>
        <charset val="134"/>
      </rPr>
      <t>λ</t>
    </r>
    <r>
      <rPr>
        <vertAlign val="subscript"/>
        <sz val="7"/>
        <color indexed="8"/>
        <rFont val="Arial Narrow"/>
        <charset val="134"/>
      </rPr>
      <t>80</t>
    </r>
    <r>
      <rPr>
        <sz val="7"/>
        <color indexed="8"/>
        <rFont val="Arial Narrow"/>
        <charset val="134"/>
      </rPr>
      <t>(λ</t>
    </r>
    <r>
      <rPr>
        <vertAlign val="subscript"/>
        <sz val="7"/>
        <color indexed="8"/>
        <rFont val="Arial Narrow"/>
        <charset val="134"/>
      </rPr>
      <t>70</t>
    </r>
    <r>
      <rPr>
        <sz val="7"/>
        <color indexed="8"/>
        <rFont val="Arial Narrow"/>
        <charset val="134"/>
      </rPr>
      <t>)/λ</t>
    </r>
    <r>
      <rPr>
        <vertAlign val="subscript"/>
        <sz val="7"/>
        <color indexed="8"/>
        <rFont val="Arial Narrow"/>
        <charset val="134"/>
      </rPr>
      <t>5</t>
    </r>
  </si>
  <si>
    <r>
      <rPr>
        <sz val="6"/>
        <color indexed="8"/>
        <rFont val="宋体"/>
        <charset val="134"/>
      </rPr>
      <t xml:space="preserve">耐潮性
</t>
    </r>
    <r>
      <rPr>
        <sz val="7"/>
        <color indexed="8"/>
        <rFont val="Arial Narrow"/>
        <charset val="134"/>
      </rPr>
      <t>RC</t>
    </r>
  </si>
  <si>
    <r>
      <rPr>
        <sz val="6"/>
        <color indexed="8"/>
        <rFont val="宋体"/>
        <charset val="134"/>
      </rPr>
      <t xml:space="preserve">耐酸性
</t>
    </r>
    <r>
      <rPr>
        <sz val="7"/>
        <color indexed="8"/>
        <rFont val="Arial Narrow"/>
        <charset val="134"/>
      </rPr>
      <t>RA</t>
    </r>
  </si>
  <si>
    <r>
      <rPr>
        <sz val="6"/>
        <color indexed="8"/>
        <rFont val="宋体"/>
        <charset val="134"/>
      </rPr>
      <t xml:space="preserve">耐洗涤
</t>
    </r>
    <r>
      <rPr>
        <sz val="7"/>
        <color indexed="8"/>
        <rFont val="Arial Narrow"/>
        <charset val="134"/>
      </rPr>
      <t>RP</t>
    </r>
  </si>
  <si>
    <r>
      <rPr>
        <sz val="6"/>
        <color indexed="8"/>
        <rFont val="宋体"/>
        <charset val="134"/>
      </rPr>
      <t xml:space="preserve">耐碱性
</t>
    </r>
    <r>
      <rPr>
        <sz val="7"/>
        <color indexed="8"/>
        <rFont val="Arial Narrow"/>
        <charset val="134"/>
      </rPr>
      <t>R</t>
    </r>
    <r>
      <rPr>
        <vertAlign val="subscript"/>
        <sz val="7"/>
        <color indexed="8"/>
        <rFont val="Arial Narrow"/>
        <charset val="134"/>
      </rPr>
      <t>OH</t>
    </r>
  </si>
  <si>
    <r>
      <rPr>
        <sz val="6"/>
        <color indexed="8"/>
        <rFont val="宋体"/>
        <charset val="134"/>
      </rPr>
      <t xml:space="preserve">耐水性
</t>
    </r>
    <r>
      <rPr>
        <sz val="7"/>
        <color indexed="8"/>
        <rFont val="Arial Narrow"/>
        <charset val="134"/>
      </rPr>
      <t>D</t>
    </r>
    <r>
      <rPr>
        <vertAlign val="subscript"/>
        <sz val="7"/>
        <color indexed="8"/>
        <rFont val="Arial Narrow"/>
        <charset val="134"/>
      </rPr>
      <t>W</t>
    </r>
  </si>
  <si>
    <r>
      <rPr>
        <sz val="6"/>
        <color indexed="8"/>
        <rFont val="宋体"/>
        <charset val="134"/>
      </rPr>
      <t xml:space="preserve">耐酸性
</t>
    </r>
    <r>
      <rPr>
        <sz val="7"/>
        <color indexed="8"/>
        <rFont val="Arial Narrow"/>
        <charset val="134"/>
      </rPr>
      <t>D</t>
    </r>
    <r>
      <rPr>
        <vertAlign val="subscript"/>
        <sz val="7"/>
        <color indexed="8"/>
        <rFont val="Arial Narrow"/>
        <charset val="134"/>
      </rPr>
      <t>A</t>
    </r>
  </si>
  <si>
    <t>nm</t>
  </si>
  <si>
    <t>Tg</t>
  </si>
  <si>
    <t>Ts</t>
  </si>
  <si>
    <r>
      <rPr>
        <sz val="6.5"/>
        <color indexed="8"/>
        <rFont val="Arial Narrow"/>
        <charset val="134"/>
      </rPr>
      <t>-50/80</t>
    </r>
    <r>
      <rPr>
        <sz val="6.5"/>
        <color indexed="8"/>
        <rFont val="宋体"/>
        <charset val="134"/>
      </rPr>
      <t>℃</t>
    </r>
  </si>
  <si>
    <r>
      <rPr>
        <sz val="6.5"/>
        <color indexed="8"/>
        <rFont val="Arial Narrow"/>
        <charset val="134"/>
      </rPr>
      <t>100/300</t>
    </r>
    <r>
      <rPr>
        <sz val="6.5"/>
        <color indexed="8"/>
        <rFont val="宋体"/>
        <charset val="134"/>
      </rPr>
      <t>℃</t>
    </r>
  </si>
  <si>
    <t>HK</t>
  </si>
  <si>
    <r>
      <rPr>
        <sz val="7"/>
        <color indexed="8"/>
        <rFont val="Arial Narrow"/>
        <charset val="134"/>
      </rPr>
      <t>F</t>
    </r>
    <r>
      <rPr>
        <vertAlign val="subscript"/>
        <sz val="7"/>
        <color indexed="8"/>
        <rFont val="Arial Narrow"/>
        <charset val="134"/>
      </rPr>
      <t>A</t>
    </r>
  </si>
  <si>
    <t>ρ</t>
  </si>
  <si>
    <t xml:space="preserve"> </t>
  </si>
  <si>
    <r>
      <rPr>
        <sz val="7"/>
        <rFont val="宋体"/>
        <charset val="134"/>
      </rPr>
      <t>折射率随冷却速度的变化量</t>
    </r>
  </si>
  <si>
    <r>
      <rPr>
        <sz val="7"/>
        <color rgb="FF000000"/>
        <rFont val="Arial Narrow"/>
        <charset val="134"/>
      </rPr>
      <t>β</t>
    </r>
    <r>
      <rPr>
        <vertAlign val="subscript"/>
        <sz val="7"/>
        <color rgb="FF000000"/>
        <rFont val="Arial Narrow"/>
        <charset val="134"/>
      </rPr>
      <t>d</t>
    </r>
  </si>
  <si>
    <t>Type</t>
  </si>
  <si>
    <t>Compostion</t>
  </si>
  <si>
    <t>Dispersion Coefficient</t>
  </si>
  <si>
    <t>Dispersion Formula</t>
  </si>
  <si>
    <r>
      <rPr>
        <sz val="10"/>
        <rFont val="Times New Roman"/>
        <charset val="134"/>
      </rPr>
      <t>(-40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80)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 xml:space="preserve">  Relative value dn/dt(×10</t>
    </r>
    <r>
      <rPr>
        <vertAlign val="superscript"/>
        <sz val="10"/>
        <rFont val="Times New Roman"/>
        <charset val="134"/>
      </rPr>
      <t>-6</t>
    </r>
    <r>
      <rPr>
        <sz val="10"/>
        <rFont val="Times New Roman"/>
        <charset val="134"/>
      </rPr>
      <t xml:space="preserve">/ 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</si>
  <si>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t>Dielectric Constant</t>
  </si>
  <si>
    <t>Other Properties</t>
  </si>
  <si>
    <t>Internal Transmittance                      τ2mm</t>
  </si>
  <si>
    <t>Internal Transmittance                      τ10mm</t>
  </si>
  <si>
    <t>Production Method</t>
  </si>
  <si>
    <t>Relative 
Price</t>
  </si>
  <si>
    <t>Melting Frequency</t>
  </si>
  <si>
    <t>Remarks</t>
  </si>
  <si>
    <t>Update</t>
  </si>
  <si>
    <r>
      <rPr>
        <sz val="10"/>
        <rFont val="Times New Roman"/>
        <charset val="134"/>
      </rPr>
      <t>υ</t>
    </r>
    <r>
      <rPr>
        <vertAlign val="subscript"/>
        <sz val="10"/>
        <rFont val="Times New Roman"/>
        <charset val="134"/>
      </rPr>
      <t>2</t>
    </r>
  </si>
  <si>
    <r>
      <rPr>
        <sz val="10"/>
        <rFont val="Times New Roman"/>
        <charset val="134"/>
      </rPr>
      <t>υ</t>
    </r>
    <r>
      <rPr>
        <vertAlign val="subscript"/>
        <sz val="10"/>
        <rFont val="Times New Roman"/>
        <charset val="134"/>
      </rPr>
      <t>4</t>
    </r>
  </si>
  <si>
    <r>
      <rPr>
        <sz val="10"/>
        <rFont val="Times New Roman"/>
        <charset val="134"/>
      </rPr>
      <t>υ</t>
    </r>
    <r>
      <rPr>
        <vertAlign val="subscript"/>
        <sz val="10"/>
        <rFont val="Times New Roman"/>
        <charset val="134"/>
      </rPr>
      <t>10.6</t>
    </r>
    <r>
      <rPr>
        <sz val="10"/>
        <rFont val="Times New Roman"/>
        <charset val="134"/>
      </rPr>
      <t xml:space="preserve"> 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</si>
  <si>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</t>
    </r>
    <r>
      <rPr>
        <sz val="10"/>
        <rFont val="Times New Roman"/>
        <charset val="134"/>
      </rPr>
      <t>–n</t>
    </r>
    <r>
      <rPr>
        <vertAlign val="subscript"/>
        <sz val="10"/>
        <rFont val="Times New Roman"/>
        <charset val="134"/>
      </rPr>
      <t>3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</si>
  <si>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3</t>
    </r>
    <r>
      <rPr>
        <sz val="10"/>
        <rFont val="Times New Roman"/>
        <charset val="134"/>
      </rPr>
      <t>–n</t>
    </r>
    <r>
      <rPr>
        <vertAlign val="subscript"/>
        <sz val="10"/>
        <rFont val="Times New Roman"/>
        <charset val="134"/>
      </rPr>
      <t>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</si>
  <si>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8.0</t>
    </r>
    <r>
      <rPr>
        <sz val="10"/>
        <rFont val="Times New Roman"/>
        <charset val="134"/>
      </rPr>
      <t>-n</t>
    </r>
    <r>
      <rPr>
        <vertAlign val="subscript"/>
        <sz val="10"/>
        <rFont val="Times New Roman"/>
        <charset val="134"/>
      </rPr>
      <t>12.5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</si>
  <si>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0.633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</si>
  <si>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0.707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</si>
  <si>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0.852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</si>
  <si>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0.8944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</si>
  <si>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1.014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</si>
  <si>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1.129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</si>
  <si>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1.530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</si>
  <si>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1.970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</si>
  <si>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2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</si>
  <si>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2.5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</si>
  <si>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3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</si>
  <si>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3.5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</si>
  <si>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4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</si>
  <si>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4.5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</si>
  <si>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5.0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</si>
  <si>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5.5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</si>
  <si>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6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</si>
  <si>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6.5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</si>
  <si>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7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</si>
  <si>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8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</si>
  <si>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9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</si>
  <si>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10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</si>
  <si>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10.6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</si>
  <si>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11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</si>
  <si>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12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</si>
  <si>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12.5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</si>
  <si>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13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</si>
  <si>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14</t>
    </r>
  </si>
  <si>
    <r>
      <rPr>
        <sz val="10"/>
        <rFont val="Times New Roman"/>
        <charset val="134"/>
      </rPr>
      <t>n</t>
    </r>
    <r>
      <rPr>
        <vertAlign val="subscript"/>
        <sz val="10"/>
        <rFont val="Times New Roman"/>
        <charset val="134"/>
      </rPr>
      <t>15</t>
    </r>
  </si>
  <si>
    <t>E</t>
  </si>
  <si>
    <r>
      <rPr>
        <sz val="10"/>
        <rFont val="Times New Roman"/>
        <charset val="134"/>
      </rPr>
      <t>t
-60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-40</t>
    </r>
  </si>
  <si>
    <r>
      <rPr>
        <sz val="10"/>
        <rFont val="Times New Roman"/>
        <charset val="134"/>
      </rPr>
      <t>t
-40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-20</t>
    </r>
  </si>
  <si>
    <r>
      <rPr>
        <sz val="10"/>
        <rFont val="Times New Roman"/>
        <charset val="134"/>
      </rPr>
      <t>t
-20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0</t>
    </r>
  </si>
  <si>
    <r>
      <rPr>
        <sz val="10"/>
        <rFont val="Times New Roman"/>
        <charset val="134"/>
      </rPr>
      <t>t
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20</t>
    </r>
  </si>
  <si>
    <r>
      <rPr>
        <sz val="10"/>
        <rFont val="Times New Roman"/>
        <charset val="134"/>
      </rPr>
      <t>t
20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40</t>
    </r>
  </si>
  <si>
    <r>
      <rPr>
        <sz val="10"/>
        <rFont val="Times New Roman"/>
        <charset val="134"/>
      </rPr>
      <t>t
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60</t>
    </r>
  </si>
  <si>
    <r>
      <rPr>
        <sz val="10"/>
        <rFont val="Times New Roman"/>
        <charset val="134"/>
      </rPr>
      <t>t
60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80</t>
    </r>
  </si>
  <si>
    <r>
      <rPr>
        <sz val="10"/>
        <rFont val="Times New Roman"/>
        <charset val="134"/>
      </rPr>
      <t>t
80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100</t>
    </r>
  </si>
  <si>
    <r>
      <rPr>
        <sz val="10"/>
        <rFont val="Times New Roman"/>
        <charset val="134"/>
      </rPr>
      <t>t
100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120</t>
    </r>
  </si>
  <si>
    <r>
      <rPr>
        <sz val="10"/>
        <rFont val="Times New Roman"/>
        <charset val="134"/>
      </rPr>
      <t>t
120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140</t>
    </r>
  </si>
  <si>
    <r>
      <rPr>
        <sz val="10"/>
        <rFont val="Times New Roman"/>
        <charset val="134"/>
      </rPr>
      <t>t
140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160</t>
    </r>
  </si>
  <si>
    <r>
      <rPr>
        <sz val="10"/>
        <rFont val="Times New Roman"/>
        <charset val="134"/>
      </rPr>
      <t>s
-60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-40</t>
    </r>
  </si>
  <si>
    <r>
      <rPr>
        <sz val="10"/>
        <rFont val="Times New Roman"/>
        <charset val="134"/>
      </rPr>
      <t>s
-40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-20</t>
    </r>
  </si>
  <si>
    <r>
      <rPr>
        <sz val="10"/>
        <rFont val="Times New Roman"/>
        <charset val="134"/>
      </rPr>
      <t>s
-20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0</t>
    </r>
  </si>
  <si>
    <r>
      <rPr>
        <sz val="10"/>
        <rFont val="Times New Roman"/>
        <charset val="134"/>
      </rPr>
      <t>s
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20</t>
    </r>
  </si>
  <si>
    <r>
      <rPr>
        <sz val="10"/>
        <rFont val="Times New Roman"/>
        <charset val="134"/>
      </rPr>
      <t>s
20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40</t>
    </r>
  </si>
  <si>
    <r>
      <rPr>
        <sz val="10"/>
        <rFont val="Times New Roman"/>
        <charset val="134"/>
      </rPr>
      <t>s
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60</t>
    </r>
  </si>
  <si>
    <r>
      <rPr>
        <sz val="10"/>
        <rFont val="Times New Roman"/>
        <charset val="134"/>
      </rPr>
      <t>s
60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80</t>
    </r>
  </si>
  <si>
    <r>
      <rPr>
        <sz val="10"/>
        <rFont val="Times New Roman"/>
        <charset val="134"/>
      </rPr>
      <t>s
80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100</t>
    </r>
  </si>
  <si>
    <r>
      <rPr>
        <sz val="10"/>
        <rFont val="Times New Roman"/>
        <charset val="134"/>
      </rPr>
      <t>s
100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120</t>
    </r>
  </si>
  <si>
    <r>
      <rPr>
        <sz val="10"/>
        <rFont val="Times New Roman"/>
        <charset val="134"/>
      </rPr>
      <t>s
120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140</t>
    </r>
  </si>
  <si>
    <r>
      <rPr>
        <sz val="10"/>
        <rFont val="Times New Roman"/>
        <charset val="134"/>
      </rPr>
      <t>s
140</t>
    </r>
    <r>
      <rPr>
        <sz val="10"/>
        <rFont val="宋体"/>
        <charset val="134"/>
      </rPr>
      <t>～</t>
    </r>
    <r>
      <rPr>
        <sz val="10"/>
        <rFont val="Times New Roman"/>
        <charset val="134"/>
      </rPr>
      <t>160</t>
    </r>
  </si>
  <si>
    <t>1.064μm</t>
  </si>
  <si>
    <t>1.5μm</t>
  </si>
  <si>
    <t>2μm</t>
  </si>
  <si>
    <t>3μm/
3.39μm</t>
  </si>
  <si>
    <t>3.4μm</t>
  </si>
  <si>
    <t>5μm</t>
  </si>
  <si>
    <t>8μm</t>
  </si>
  <si>
    <t>10μm</t>
  </si>
  <si>
    <t>12μm</t>
  </si>
  <si>
    <t>14μm</t>
  </si>
  <si>
    <r>
      <rPr>
        <sz val="10"/>
        <rFont val="Times New Roman"/>
        <charset val="134"/>
      </rPr>
      <t xml:space="preserve"> D</t>
    </r>
    <r>
      <rPr>
        <vertAlign val="subscript"/>
        <sz val="10"/>
        <rFont val="Times New Roman"/>
        <charset val="134"/>
      </rPr>
      <t>0</t>
    </r>
  </si>
  <si>
    <r>
      <rPr>
        <sz val="10"/>
        <rFont val="Times New Roman"/>
        <charset val="134"/>
      </rPr>
      <t xml:space="preserve"> D</t>
    </r>
    <r>
      <rPr>
        <vertAlign val="subscript"/>
        <sz val="10"/>
        <rFont val="Times New Roman"/>
        <charset val="134"/>
      </rPr>
      <t>1</t>
    </r>
  </si>
  <si>
    <r>
      <rPr>
        <sz val="10"/>
        <rFont val="Times New Roman"/>
        <charset val="134"/>
      </rPr>
      <t xml:space="preserve"> D</t>
    </r>
    <r>
      <rPr>
        <vertAlign val="subscript"/>
        <sz val="10"/>
        <rFont val="Times New Roman"/>
        <charset val="134"/>
      </rPr>
      <t>2</t>
    </r>
  </si>
  <si>
    <r>
      <rPr>
        <sz val="10"/>
        <rFont val="Times New Roman"/>
        <charset val="134"/>
      </rPr>
      <t xml:space="preserve"> E</t>
    </r>
    <r>
      <rPr>
        <vertAlign val="subscript"/>
        <sz val="10"/>
        <rFont val="Times New Roman"/>
        <charset val="134"/>
      </rPr>
      <t>0</t>
    </r>
  </si>
  <si>
    <r>
      <rPr>
        <sz val="10"/>
        <rFont val="Times New Roman"/>
        <charset val="134"/>
      </rPr>
      <t xml:space="preserve"> E</t>
    </r>
    <r>
      <rPr>
        <vertAlign val="subscript"/>
        <sz val="10"/>
        <rFont val="Times New Roman"/>
        <charset val="134"/>
      </rPr>
      <t>1</t>
    </r>
  </si>
  <si>
    <r>
      <rPr>
        <sz val="10"/>
        <rFont val="Times New Roman"/>
        <charset val="134"/>
      </rPr>
      <t>λ</t>
    </r>
    <r>
      <rPr>
        <vertAlign val="subscript"/>
        <sz val="10"/>
        <rFont val="Times New Roman"/>
        <charset val="134"/>
      </rPr>
      <t>TK</t>
    </r>
  </si>
  <si>
    <r>
      <rPr>
        <sz val="10"/>
        <rFont val="Times New Roman"/>
        <charset val="134"/>
      </rPr>
      <t>D</t>
    </r>
    <r>
      <rPr>
        <vertAlign val="subscript"/>
        <sz val="10"/>
        <rFont val="Times New Roman"/>
        <charset val="134"/>
      </rPr>
      <t>W</t>
    </r>
  </si>
  <si>
    <r>
      <rPr>
        <sz val="10"/>
        <rFont val="Times New Roman"/>
        <charset val="134"/>
      </rPr>
      <t>D</t>
    </r>
    <r>
      <rPr>
        <vertAlign val="subscript"/>
        <sz val="10"/>
        <rFont val="Times New Roman"/>
        <charset val="134"/>
      </rPr>
      <t>A</t>
    </r>
  </si>
  <si>
    <r>
      <rPr>
        <sz val="10"/>
        <rFont val="Times New Roman"/>
        <charset val="134"/>
      </rPr>
      <t>R</t>
    </r>
    <r>
      <rPr>
        <vertAlign val="subscript"/>
        <sz val="10"/>
        <rFont val="Times New Roman"/>
        <charset val="134"/>
      </rPr>
      <t>OH(S)</t>
    </r>
  </si>
  <si>
    <r>
      <rPr>
        <sz val="10"/>
        <rFont val="Times New Roman"/>
        <charset val="134"/>
      </rPr>
      <t>Tg (</t>
    </r>
    <r>
      <rPr>
        <sz val="10"/>
        <rFont val="Arial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</si>
  <si>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Ts (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</si>
  <si>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T10</t>
    </r>
    <r>
      <rPr>
        <vertAlign val="superscript"/>
        <sz val="10"/>
        <rFont val="Times New Roman"/>
        <charset val="134"/>
      </rPr>
      <t>14.5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</si>
  <si>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T10</t>
    </r>
    <r>
      <rPr>
        <vertAlign val="superscript"/>
        <sz val="10"/>
        <rFont val="Times New Roman"/>
        <charset val="134"/>
      </rPr>
      <t>13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</si>
  <si>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-60/120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            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/K)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</si>
  <si>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20/120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            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/K)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</si>
  <si>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20/300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              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/K)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</si>
  <si>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100/300</t>
    </r>
    <r>
      <rPr>
        <vertAlign val="subscript"/>
        <sz val="10"/>
        <rFont val="宋体"/>
        <charset val="134"/>
      </rPr>
      <t>℃</t>
    </r>
    <r>
      <rPr>
        <vertAlign val="subscript"/>
        <sz val="10"/>
        <rFont val="Times New Roman"/>
        <charset val="134"/>
      </rPr>
      <t xml:space="preserve"> </t>
    </r>
    <r>
      <rPr>
        <sz val="10"/>
        <rFont val="Times New Roman"/>
        <charset val="134"/>
      </rPr>
      <t xml:space="preserve">             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/K)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</si>
  <si>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-50/-40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</si>
  <si>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-40/-30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</si>
  <si>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-30/-20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</si>
  <si>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-20/-10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</si>
  <si>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-10/0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</si>
  <si>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0/10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</si>
  <si>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10/20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</si>
  <si>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20/30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</si>
  <si>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30/40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</si>
  <si>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40/50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</si>
  <si>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50/60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</si>
  <si>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60/70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</si>
  <si>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70/80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</si>
  <si>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80/90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</si>
  <si>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90/100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</si>
  <si>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100/110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</si>
  <si>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110/120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</si>
  <si>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120/130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</si>
  <si>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130/140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</si>
  <si>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140/150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</si>
  <si>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α</t>
    </r>
    <r>
      <rPr>
        <vertAlign val="subscript"/>
        <sz val="10"/>
        <rFont val="Times New Roman"/>
        <charset val="134"/>
      </rPr>
      <t>150/160</t>
    </r>
    <r>
      <rPr>
        <vertAlign val="subscript"/>
        <sz val="10"/>
        <rFont val="宋体"/>
        <charset val="134"/>
      </rPr>
      <t>℃</t>
    </r>
    <r>
      <rPr>
        <sz val="10"/>
        <rFont val="Times New Roman"/>
        <charset val="134"/>
      </rPr>
      <t xml:space="preserve">
(10</t>
    </r>
    <r>
      <rPr>
        <vertAlign val="superscript"/>
        <sz val="10"/>
        <rFont val="Times New Roman"/>
        <charset val="134"/>
      </rPr>
      <t>-7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℃</t>
    </r>
    <r>
      <rPr>
        <sz val="10"/>
        <rFont val="Times New Roman"/>
        <charset val="134"/>
      </rPr>
      <t>)</t>
    </r>
  </si>
  <si>
    <t>Cp(J/gK)</t>
  </si>
  <si>
    <r>
      <rPr>
        <sz val="10"/>
        <rFont val="Times New Roman"/>
        <charset val="134"/>
      </rPr>
      <t>HK(10</t>
    </r>
    <r>
      <rPr>
        <vertAlign val="superscript"/>
        <sz val="10"/>
        <rFont val="Times New Roman"/>
        <charset val="134"/>
      </rPr>
      <t>7</t>
    </r>
    <r>
      <rPr>
        <sz val="10"/>
        <rFont val="Times New Roman"/>
        <charset val="134"/>
      </rPr>
      <t>Pa)</t>
    </r>
  </si>
  <si>
    <r>
      <rPr>
        <sz val="10"/>
        <rFont val="Times New Roman"/>
        <charset val="134"/>
      </rPr>
      <t>F</t>
    </r>
    <r>
      <rPr>
        <vertAlign val="subscript"/>
        <sz val="10"/>
        <rFont val="Times New Roman"/>
        <charset val="134"/>
      </rPr>
      <t>A</t>
    </r>
  </si>
  <si>
    <t>E    (GPa)</t>
  </si>
  <si>
    <t>G    (GPa)</t>
  </si>
  <si>
    <r>
      <rPr>
        <sz val="10"/>
        <rFont val="Arial"/>
        <charset val="134"/>
      </rPr>
      <t xml:space="preserve">弯曲强度
</t>
    </r>
    <r>
      <rPr>
        <sz val="10"/>
        <rFont val="Times New Roman"/>
        <charset val="134"/>
      </rPr>
      <t>(Mpa)</t>
    </r>
  </si>
  <si>
    <r>
      <rPr>
        <sz val="10"/>
        <rFont val="宋体"/>
        <charset val="134"/>
      </rPr>
      <t>压缩强度</t>
    </r>
    <r>
      <rPr>
        <sz val="10"/>
        <rFont val="Times New Roman"/>
        <charset val="134"/>
      </rPr>
      <t>(MPa)</t>
    </r>
  </si>
  <si>
    <r>
      <rPr>
        <sz val="10"/>
        <rFont val="宋体"/>
        <charset val="134"/>
      </rPr>
      <t>弯曲弹性模量</t>
    </r>
    <r>
      <rPr>
        <sz val="10"/>
        <rFont val="Times New Roman"/>
        <charset val="134"/>
      </rPr>
      <t>(GPa)</t>
    </r>
  </si>
  <si>
    <t>εr</t>
  </si>
  <si>
    <r>
      <rPr>
        <sz val="10"/>
        <rFont val="Times New Roman"/>
        <charset val="134"/>
      </rPr>
      <t>ρ    (g/cm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)</t>
    </r>
  </si>
  <si>
    <t>20μm</t>
  </si>
  <si>
    <t>19μm</t>
  </si>
  <si>
    <t>18μm</t>
  </si>
  <si>
    <t>17μm</t>
  </si>
  <si>
    <t>16μm</t>
  </si>
  <si>
    <t>15μm</t>
  </si>
  <si>
    <t>13μm</t>
  </si>
  <si>
    <t>12.5μm</t>
  </si>
  <si>
    <t>11.5μm</t>
  </si>
  <si>
    <t>11μm</t>
  </si>
  <si>
    <t>10.5μm</t>
  </si>
  <si>
    <t>9.5μm</t>
  </si>
  <si>
    <t>9μm</t>
  </si>
  <si>
    <t>8.5μm</t>
  </si>
  <si>
    <t>7.5μm</t>
  </si>
  <si>
    <t>7μm</t>
  </si>
  <si>
    <t>6.5μm</t>
  </si>
  <si>
    <t>6μm</t>
  </si>
  <si>
    <t>5.5μm</t>
  </si>
  <si>
    <t>4.75μm</t>
  </si>
  <si>
    <t>4.5μm</t>
  </si>
  <si>
    <t>4.25μm</t>
  </si>
  <si>
    <t>4μm</t>
  </si>
  <si>
    <t>3.75μm</t>
  </si>
  <si>
    <t>3.5μm</t>
  </si>
  <si>
    <t>3.25μm</t>
  </si>
  <si>
    <t>3μm</t>
  </si>
  <si>
    <t>2.85μm</t>
  </si>
  <si>
    <t>2.75μm</t>
  </si>
  <si>
    <t>2.5μm</t>
  </si>
  <si>
    <t>2.25μm</t>
  </si>
  <si>
    <t>1.75μm</t>
  </si>
  <si>
    <t>1.25μm</t>
  </si>
  <si>
    <t>1μm</t>
  </si>
  <si>
    <t>0.8μm</t>
  </si>
  <si>
    <t>0.75μm</t>
  </si>
  <si>
    <t>0.70μm</t>
  </si>
  <si>
    <t>0.6μm</t>
  </si>
  <si>
    <t>0.5μm</t>
  </si>
  <si>
    <t>0.4μm</t>
  </si>
  <si>
    <t>0.3μm</t>
  </si>
  <si>
    <t>0.2μm</t>
  </si>
  <si>
    <t>IRG105</t>
  </si>
  <si>
    <r>
      <rPr>
        <sz val="10"/>
        <rFont val="Times New Roman"/>
        <charset val="134"/>
      </rPr>
      <t>PG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DP</t>
    </r>
  </si>
  <si>
    <r>
      <rPr>
        <sz val="10"/>
        <rFont val="宋体"/>
        <charset val="134"/>
      </rPr>
      <t>更新</t>
    </r>
    <r>
      <rPr>
        <sz val="10"/>
        <rFont val="Times New Roman"/>
        <charset val="134"/>
      </rPr>
      <t>Tg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Ts</t>
    </r>
  </si>
  <si>
    <t>IRG201</t>
  </si>
  <si>
    <t>Ge33Se55As12</t>
  </si>
  <si>
    <r>
      <rPr>
        <sz val="10"/>
        <rFont val="Times New Roman"/>
        <charset val="134"/>
      </rPr>
      <t>PG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RP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MO</t>
    </r>
  </si>
  <si>
    <t>IRG202</t>
  </si>
  <si>
    <t>Ge22Se58As20</t>
  </si>
  <si>
    <t>IRG203</t>
  </si>
  <si>
    <t>Ge20Se65Sb15</t>
  </si>
  <si>
    <t>IRG204</t>
  </si>
  <si>
    <t>Se63As30Sb4Sn3</t>
  </si>
  <si>
    <t>IRG205</t>
  </si>
  <si>
    <t>Ge28Se60Sb12</t>
  </si>
  <si>
    <t>IRG206</t>
  </si>
  <si>
    <t>Se60As40</t>
  </si>
  <si>
    <t>IRG207</t>
  </si>
  <si>
    <t>Ge10Se50As40</t>
  </si>
  <si>
    <t>IRG208</t>
  </si>
  <si>
    <t>As40S60</t>
  </si>
  <si>
    <t>IRG209</t>
  </si>
  <si>
    <r>
      <rPr>
        <sz val="7"/>
        <color indexed="8"/>
        <rFont val="宋体"/>
        <charset val="134"/>
      </rPr>
      <t>色散系数</t>
    </r>
  </si>
  <si>
    <r>
      <rPr>
        <sz val="7"/>
        <color indexed="8"/>
        <rFont val="宋体"/>
        <charset val="134"/>
      </rPr>
      <t>折射率</t>
    </r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 xml:space="preserve">λ </t>
    </r>
    <r>
      <rPr>
        <sz val="7"/>
        <color indexed="8"/>
        <rFont val="Arial Narrow"/>
        <charset val="134"/>
      </rPr>
      <t>(μm)</t>
    </r>
  </si>
  <si>
    <r>
      <rPr>
        <sz val="7"/>
        <color indexed="8"/>
        <rFont val="宋体"/>
        <charset val="134"/>
      </rPr>
      <t>相对折射率温度系数</t>
    </r>
    <r>
      <rPr>
        <sz val="7"/>
        <color indexed="8"/>
        <rFont val="Arial Narrow"/>
        <charset val="134"/>
      </rPr>
      <t>dn/dt</t>
    </r>
    <r>
      <rPr>
        <sz val="7"/>
        <color indexed="8"/>
        <rFont val="宋体"/>
        <charset val="134"/>
      </rPr>
      <t>（</t>
    </r>
    <r>
      <rPr>
        <sz val="7"/>
        <color indexed="8"/>
        <rFont val="Arial Narrow"/>
        <charset val="134"/>
      </rPr>
      <t>×10</t>
    </r>
    <r>
      <rPr>
        <vertAlign val="superscript"/>
        <sz val="7"/>
        <color indexed="8"/>
        <rFont val="Arial Narrow"/>
        <charset val="134"/>
      </rPr>
      <t>-6</t>
    </r>
    <r>
      <rPr>
        <sz val="7"/>
        <color indexed="8"/>
        <rFont val="Arial Narrow"/>
        <charset val="134"/>
      </rPr>
      <t>/</t>
    </r>
    <r>
      <rPr>
        <sz val="7"/>
        <color indexed="8"/>
        <rFont val="宋体"/>
        <charset val="134"/>
      </rPr>
      <t>℃）</t>
    </r>
  </si>
  <si>
    <r>
      <rPr>
        <sz val="8"/>
        <color indexed="8"/>
        <rFont val="Arial Narrow"/>
        <charset val="134"/>
      </rPr>
      <t>υ</t>
    </r>
    <r>
      <rPr>
        <vertAlign val="subscript"/>
        <sz val="8"/>
        <color indexed="8"/>
        <rFont val="Arial Narrow"/>
        <charset val="134"/>
      </rPr>
      <t>2</t>
    </r>
  </si>
  <si>
    <r>
      <rPr>
        <sz val="8"/>
        <color indexed="8"/>
        <rFont val="Arial Narrow"/>
        <charset val="134"/>
      </rPr>
      <t>υ</t>
    </r>
    <r>
      <rPr>
        <vertAlign val="subscript"/>
        <sz val="8"/>
        <color indexed="8"/>
        <rFont val="Arial Narrow"/>
        <charset val="134"/>
      </rPr>
      <t>4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</si>
  <si>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0.852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</si>
  <si>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1.014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</si>
  <si>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1.129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</si>
  <si>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1.530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</si>
  <si>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1.970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</si>
  <si>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2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</si>
  <si>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2.5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</si>
  <si>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3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</si>
  <si>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3.5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</si>
  <si>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4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</si>
  <si>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4.5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</si>
  <si>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5</t>
    </r>
  </si>
  <si>
    <r>
      <rPr>
        <sz val="7"/>
        <color indexed="8"/>
        <rFont val="Arial Narrow"/>
        <charset val="134"/>
      </rPr>
      <t xml:space="preserve">t </t>
    </r>
    <r>
      <rPr>
        <sz val="7"/>
        <color indexed="8"/>
        <rFont val="宋体"/>
        <charset val="134"/>
      </rPr>
      <t>线</t>
    </r>
  </si>
  <si>
    <r>
      <rPr>
        <sz val="7"/>
        <rFont val="Arial Narrow"/>
        <charset val="134"/>
      </rPr>
      <t xml:space="preserve">s </t>
    </r>
    <r>
      <rPr>
        <sz val="7"/>
        <rFont val="宋体"/>
        <charset val="134"/>
      </rPr>
      <t>线</t>
    </r>
  </si>
  <si>
    <r>
      <rPr>
        <sz val="7"/>
        <color indexed="8"/>
        <rFont val="Arial Narrow"/>
        <charset val="134"/>
      </rPr>
      <t>-60</t>
    </r>
    <r>
      <rPr>
        <sz val="7"/>
        <color indexed="8"/>
        <rFont val="宋体"/>
        <charset val="134"/>
      </rPr>
      <t>～</t>
    </r>
    <r>
      <rPr>
        <sz val="7"/>
        <color indexed="8"/>
        <rFont val="Arial Narrow"/>
        <charset val="134"/>
      </rPr>
      <t>-40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</si>
  <si>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Arial Narrow"/>
        <charset val="134"/>
      </rPr>
      <t>0</t>
    </r>
    <r>
      <rPr>
        <sz val="7"/>
        <color indexed="8"/>
        <rFont val="宋体"/>
        <charset val="134"/>
      </rPr>
      <t>～</t>
    </r>
    <r>
      <rPr>
        <sz val="7"/>
        <color indexed="8"/>
        <rFont val="Arial Narrow"/>
        <charset val="134"/>
      </rPr>
      <t>20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</si>
  <si>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Arial Narrow"/>
        <charset val="134"/>
      </rPr>
      <t>20</t>
    </r>
    <r>
      <rPr>
        <sz val="7"/>
        <color indexed="8"/>
        <rFont val="宋体"/>
        <charset val="134"/>
      </rPr>
      <t>～</t>
    </r>
    <r>
      <rPr>
        <sz val="7"/>
        <color indexed="8"/>
        <rFont val="Arial Narrow"/>
        <charset val="134"/>
      </rPr>
      <t>40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</si>
  <si>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Arial Narrow"/>
        <charset val="134"/>
      </rPr>
      <t>60</t>
    </r>
    <r>
      <rPr>
        <sz val="7"/>
        <color indexed="8"/>
        <rFont val="宋体"/>
        <charset val="134"/>
      </rPr>
      <t>～</t>
    </r>
    <r>
      <rPr>
        <sz val="7"/>
        <color indexed="8"/>
        <rFont val="Arial Narrow"/>
        <charset val="134"/>
      </rPr>
      <t>80</t>
    </r>
    <r>
      <rPr>
        <sz val="7"/>
        <color indexed="8"/>
        <rFont val="宋体"/>
        <charset val="134"/>
      </rPr>
      <t>℃</t>
    </r>
  </si>
  <si>
    <r>
      <rPr>
        <sz val="7"/>
        <rFont val="Arial Narrow"/>
        <charset val="134"/>
      </rPr>
      <t>140</t>
    </r>
    <r>
      <rPr>
        <sz val="7"/>
        <rFont val="宋体"/>
        <charset val="134"/>
      </rPr>
      <t>～</t>
    </r>
    <r>
      <rPr>
        <sz val="7"/>
        <rFont val="Arial Narrow"/>
        <charset val="134"/>
      </rPr>
      <t>160</t>
    </r>
    <r>
      <rPr>
        <sz val="7"/>
        <rFont val="宋体"/>
        <charset val="134"/>
      </rPr>
      <t>℃</t>
    </r>
  </si>
  <si>
    <r>
      <rPr>
        <sz val="7"/>
        <rFont val="Arial Narrow"/>
        <charset val="134"/>
      </rPr>
      <t>-60</t>
    </r>
    <r>
      <rPr>
        <sz val="7"/>
        <rFont val="宋体"/>
        <charset val="134"/>
      </rPr>
      <t>～</t>
    </r>
    <r>
      <rPr>
        <sz val="7"/>
        <rFont val="Arial Narrow"/>
        <charset val="134"/>
      </rPr>
      <t>-40</t>
    </r>
    <r>
      <rPr>
        <sz val="7"/>
        <rFont val="宋体"/>
        <charset val="134"/>
      </rPr>
      <t>℃</t>
    </r>
  </si>
  <si>
    <r>
      <rPr>
        <sz val="7"/>
        <rFont val="Arial Narrow"/>
        <charset val="134"/>
      </rPr>
      <t>0</t>
    </r>
    <r>
      <rPr>
        <sz val="7"/>
        <rFont val="宋体"/>
        <charset val="134"/>
      </rPr>
      <t>～</t>
    </r>
    <r>
      <rPr>
        <sz val="7"/>
        <rFont val="Arial Narrow"/>
        <charset val="134"/>
      </rPr>
      <t>20</t>
    </r>
    <r>
      <rPr>
        <sz val="7"/>
        <rFont val="宋体"/>
        <charset val="134"/>
      </rPr>
      <t>℃</t>
    </r>
  </si>
  <si>
    <r>
      <rPr>
        <sz val="7"/>
        <rFont val="Arial Narrow"/>
        <charset val="134"/>
      </rPr>
      <t>20</t>
    </r>
    <r>
      <rPr>
        <sz val="7"/>
        <rFont val="宋体"/>
        <charset val="134"/>
      </rPr>
      <t>～</t>
    </r>
    <r>
      <rPr>
        <sz val="7"/>
        <rFont val="Arial Narrow"/>
        <charset val="134"/>
      </rPr>
      <t>40</t>
    </r>
    <r>
      <rPr>
        <sz val="7"/>
        <rFont val="宋体"/>
        <charset val="134"/>
      </rPr>
      <t>℃</t>
    </r>
  </si>
  <si>
    <r>
      <rPr>
        <sz val="7"/>
        <color indexed="8"/>
        <rFont val="Arial Narrow"/>
        <charset val="134"/>
      </rPr>
      <t>140</t>
    </r>
    <r>
      <rPr>
        <sz val="7"/>
        <color indexed="8"/>
        <rFont val="宋体"/>
        <charset val="134"/>
      </rPr>
      <t>～</t>
    </r>
    <r>
      <rPr>
        <sz val="7"/>
        <color indexed="8"/>
        <rFont val="Arial Narrow"/>
        <charset val="134"/>
      </rPr>
      <t>160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</si>
  <si>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宋体"/>
        <charset val="134"/>
      </rPr>
      <t>内部透过率（</t>
    </r>
    <r>
      <rPr>
        <sz val="7"/>
        <color indexed="8"/>
        <rFont val="Arial Narrow"/>
        <charset val="134"/>
      </rPr>
      <t>τ2mm</t>
    </r>
    <r>
      <rPr>
        <sz val="7"/>
        <color indexed="8"/>
        <rFont val="宋体"/>
        <charset val="134"/>
      </rPr>
      <t>）</t>
    </r>
  </si>
  <si>
    <t>粉末法</t>
  </si>
  <si>
    <t>转变温度</t>
  </si>
  <si>
    <t>弛垂温度</t>
  </si>
  <si>
    <r>
      <rPr>
        <sz val="7"/>
        <color rgb="FF000000"/>
        <rFont val="宋体"/>
        <charset val="134"/>
      </rPr>
      <t>线膨胀系数</t>
    </r>
    <r>
      <rPr>
        <sz val="7"/>
        <color rgb="FF000000"/>
        <rFont val="Arial Narrow"/>
        <charset val="134"/>
      </rPr>
      <t>α
(×10</t>
    </r>
    <r>
      <rPr>
        <vertAlign val="superscript"/>
        <sz val="7"/>
        <color rgb="FF000000"/>
        <rFont val="Arial Narrow"/>
        <charset val="134"/>
      </rPr>
      <t>-7</t>
    </r>
    <r>
      <rPr>
        <sz val="7"/>
        <color rgb="FF000000"/>
        <rFont val="Arial Narrow"/>
        <charset val="134"/>
      </rPr>
      <t>/K)</t>
    </r>
  </si>
  <si>
    <t>硬度
HK</t>
  </si>
  <si>
    <r>
      <rPr>
        <sz val="7"/>
        <color indexed="8"/>
        <rFont val="宋体"/>
        <charset val="134"/>
      </rPr>
      <t xml:space="preserve">密度
</t>
    </r>
    <r>
      <rPr>
        <sz val="7"/>
        <color indexed="8"/>
        <rFont val="Arial Narrow"/>
        <charset val="134"/>
      </rPr>
      <t>ρ</t>
    </r>
  </si>
  <si>
    <r>
      <rPr>
        <sz val="7"/>
        <color indexed="8"/>
        <rFont val="宋体"/>
        <charset val="134"/>
      </rPr>
      <t xml:space="preserve">耐潮性
</t>
    </r>
    <r>
      <rPr>
        <sz val="7"/>
        <color indexed="8"/>
        <rFont val="Arial Narrow"/>
        <charset val="134"/>
      </rPr>
      <t>RC</t>
    </r>
  </si>
  <si>
    <r>
      <rPr>
        <sz val="7"/>
        <color indexed="8"/>
        <rFont val="宋体"/>
        <charset val="134"/>
      </rPr>
      <t xml:space="preserve">耐酸性
</t>
    </r>
    <r>
      <rPr>
        <sz val="7"/>
        <color indexed="8"/>
        <rFont val="Arial Narrow"/>
        <charset val="134"/>
      </rPr>
      <t>RA</t>
    </r>
  </si>
  <si>
    <r>
      <rPr>
        <sz val="7"/>
        <color indexed="8"/>
        <rFont val="宋体"/>
        <charset val="134"/>
      </rPr>
      <t xml:space="preserve">耐水性
</t>
    </r>
    <r>
      <rPr>
        <sz val="7"/>
        <color indexed="8"/>
        <rFont val="Arial Narrow"/>
        <charset val="134"/>
      </rPr>
      <t>D</t>
    </r>
    <r>
      <rPr>
        <vertAlign val="subscript"/>
        <sz val="7"/>
        <color indexed="8"/>
        <rFont val="Arial Narrow"/>
        <charset val="134"/>
      </rPr>
      <t>W</t>
    </r>
  </si>
  <si>
    <t>耐酸性
DA</t>
  </si>
  <si>
    <t>μm</t>
  </si>
  <si>
    <t>Tg(℃)</t>
  </si>
  <si>
    <t>Ts(℃)</t>
  </si>
  <si>
    <t>-60/120℃</t>
  </si>
  <si>
    <t>100/300℃</t>
  </si>
  <si>
    <r>
      <rPr>
        <sz val="7"/>
        <color rgb="FF000000"/>
        <rFont val="宋体"/>
        <charset val="134"/>
      </rPr>
      <t>色散系数</t>
    </r>
  </si>
  <si>
    <r>
      <rPr>
        <sz val="7"/>
        <color indexed="8"/>
        <rFont val="宋体"/>
        <charset val="134"/>
      </rPr>
      <t>折射率</t>
    </r>
    <r>
      <rPr>
        <sz val="7"/>
        <color indexed="8"/>
        <rFont val="Arial Narrow"/>
        <charset val="134"/>
      </rPr>
      <t>n</t>
    </r>
    <r>
      <rPr>
        <vertAlign val="subscript"/>
        <sz val="7"/>
        <color indexed="8"/>
        <rFont val="Arial Narrow"/>
        <charset val="134"/>
      </rPr>
      <t>λ</t>
    </r>
    <r>
      <rPr>
        <sz val="7"/>
        <color indexed="8"/>
        <rFont val="Arial Narrow"/>
        <charset val="134"/>
      </rPr>
      <t xml:space="preserve"> (μm)</t>
    </r>
  </si>
  <si>
    <r>
      <rPr>
        <sz val="7"/>
        <color indexed="8"/>
        <rFont val="宋体"/>
        <charset val="134"/>
      </rPr>
      <t>相对折射率温度系数</t>
    </r>
    <r>
      <rPr>
        <sz val="7"/>
        <color indexed="8"/>
        <rFont val="Arial Narrow"/>
        <charset val="134"/>
      </rPr>
      <t>(-40</t>
    </r>
    <r>
      <rPr>
        <sz val="7"/>
        <color indexed="8"/>
        <rFont val="宋体"/>
        <charset val="134"/>
      </rPr>
      <t>∽</t>
    </r>
    <r>
      <rPr>
        <sz val="7"/>
        <color indexed="8"/>
        <rFont val="Arial Narrow"/>
        <charset val="134"/>
      </rPr>
      <t>80</t>
    </r>
    <r>
      <rPr>
        <sz val="7"/>
        <color indexed="8"/>
        <rFont val="宋体"/>
        <charset val="134"/>
      </rPr>
      <t>℃</t>
    </r>
    <r>
      <rPr>
        <sz val="7"/>
        <color indexed="8"/>
        <rFont val="Arial Narrow"/>
        <charset val="134"/>
      </rPr>
      <t>,×10</t>
    </r>
    <r>
      <rPr>
        <vertAlign val="superscript"/>
        <sz val="7"/>
        <color indexed="8"/>
        <rFont val="Arial Narrow"/>
        <charset val="134"/>
      </rPr>
      <t>-6</t>
    </r>
    <r>
      <rPr>
        <sz val="7"/>
        <color indexed="8"/>
        <rFont val="Arial Narrow"/>
        <charset val="134"/>
      </rPr>
      <t xml:space="preserve">/ </t>
    </r>
    <r>
      <rPr>
        <sz val="7"/>
        <color indexed="8"/>
        <rFont val="宋体"/>
        <charset val="134"/>
      </rPr>
      <t>℃</t>
    </r>
    <r>
      <rPr>
        <sz val="7"/>
        <color indexed="8"/>
        <rFont val="Arial Narrow"/>
        <charset val="134"/>
      </rPr>
      <t>)</t>
    </r>
  </si>
  <si>
    <r>
      <rPr>
        <sz val="7"/>
        <color indexed="8"/>
        <rFont val="宋体"/>
        <charset val="134"/>
      </rPr>
      <t>转变温度</t>
    </r>
  </si>
  <si>
    <r>
      <rPr>
        <sz val="7"/>
        <color indexed="8"/>
        <rFont val="宋体"/>
        <charset val="134"/>
      </rPr>
      <t>弛垂温度</t>
    </r>
  </si>
  <si>
    <r>
      <rPr>
        <sz val="7"/>
        <color indexed="8"/>
        <rFont val="宋体"/>
        <charset val="134"/>
      </rPr>
      <t>线膨胀系数</t>
    </r>
    <r>
      <rPr>
        <sz val="7"/>
        <color indexed="8"/>
        <rFont val="Arial Narrow"/>
        <charset val="134"/>
      </rPr>
      <t>α(×10</t>
    </r>
    <r>
      <rPr>
        <vertAlign val="superscript"/>
        <sz val="7"/>
        <color indexed="8"/>
        <rFont val="Arial Narrow"/>
        <charset val="134"/>
      </rPr>
      <t>-7</t>
    </r>
    <r>
      <rPr>
        <sz val="7"/>
        <color indexed="8"/>
        <rFont val="Arial Narrow"/>
        <charset val="134"/>
      </rPr>
      <t>/K)</t>
    </r>
  </si>
  <si>
    <r>
      <rPr>
        <sz val="7"/>
        <color rgb="FF000000"/>
        <rFont val="宋体"/>
        <charset val="134"/>
      </rPr>
      <t>热容</t>
    </r>
    <r>
      <rPr>
        <sz val="7"/>
        <color rgb="FF000000"/>
        <rFont val="Arial Narrow"/>
        <charset val="134"/>
      </rPr>
      <t xml:space="preserve">
Cp</t>
    </r>
  </si>
  <si>
    <r>
      <rPr>
        <sz val="8"/>
        <color rgb="FF000000"/>
        <rFont val="Arial Narrow"/>
        <charset val="134"/>
      </rPr>
      <t>υ</t>
    </r>
    <r>
      <rPr>
        <vertAlign val="subscript"/>
        <sz val="8"/>
        <color rgb="FF000000"/>
        <rFont val="Arial Narrow"/>
        <charset val="134"/>
      </rPr>
      <t>10.6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</si>
  <si>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6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</si>
  <si>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7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</si>
  <si>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8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</si>
  <si>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9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</si>
  <si>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10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</si>
  <si>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10.6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</si>
  <si>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11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</si>
  <si>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12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</si>
  <si>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13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</si>
  <si>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14</t>
    </r>
  </si>
  <si>
    <r>
      <rPr>
        <sz val="7"/>
        <color rgb="FF000000"/>
        <rFont val="Arial Narrow"/>
        <charset val="134"/>
      </rPr>
      <t>Tg(</t>
    </r>
    <r>
      <rPr>
        <sz val="7"/>
        <color rgb="FF000000"/>
        <rFont val="宋体"/>
        <charset val="134"/>
      </rPr>
      <t>℃</t>
    </r>
    <r>
      <rPr>
        <sz val="7"/>
        <color rgb="FF000000"/>
        <rFont val="Arial Narrow"/>
        <charset val="134"/>
      </rPr>
      <t>)</t>
    </r>
  </si>
  <si>
    <r>
      <rPr>
        <sz val="7"/>
        <color rgb="FF000000"/>
        <rFont val="Arial Narrow"/>
        <charset val="134"/>
      </rPr>
      <t>Ts(</t>
    </r>
    <r>
      <rPr>
        <sz val="7"/>
        <color rgb="FF000000"/>
        <rFont val="宋体"/>
        <charset val="134"/>
      </rPr>
      <t>℃</t>
    </r>
    <r>
      <rPr>
        <sz val="7"/>
        <color rgb="FF000000"/>
        <rFont val="Arial Narrow"/>
        <charset val="134"/>
      </rPr>
      <t>)</t>
    </r>
  </si>
  <si>
    <r>
      <rPr>
        <sz val="7"/>
        <color indexed="8"/>
        <rFont val="Arial Narrow"/>
        <charset val="134"/>
      </rPr>
      <t>-60/120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</si>
  <si>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Arial Narrow"/>
        <charset val="134"/>
      </rPr>
      <t>20/120</t>
    </r>
    <r>
      <rPr>
        <sz val="7"/>
        <color indexed="8"/>
        <rFont val="宋体"/>
        <charset val="134"/>
      </rPr>
      <t>℃</t>
    </r>
  </si>
  <si>
    <r>
      <rPr>
        <sz val="7"/>
        <color indexed="8"/>
        <rFont val="宋体"/>
        <charset val="134"/>
      </rPr>
      <t>硬度</t>
    </r>
    <r>
      <rPr>
        <sz val="7"/>
        <color indexed="8"/>
        <rFont val="Arial Narrow"/>
        <charset val="134"/>
      </rPr>
      <t xml:space="preserve">
HK</t>
    </r>
  </si>
  <si>
    <r>
      <rPr>
        <sz val="7"/>
        <color indexed="8"/>
        <rFont val="宋体"/>
        <charset val="134"/>
      </rPr>
      <t>杨氏模量</t>
    </r>
    <r>
      <rPr>
        <sz val="7"/>
        <color indexed="8"/>
        <rFont val="Arial Narrow"/>
        <charset val="134"/>
      </rPr>
      <t xml:space="preserve">
E(GPa)</t>
    </r>
  </si>
  <si>
    <r>
      <rPr>
        <sz val="7"/>
        <color indexed="8"/>
        <rFont val="宋体"/>
        <charset val="134"/>
      </rPr>
      <t>剪切模量</t>
    </r>
    <r>
      <rPr>
        <sz val="7"/>
        <color indexed="8"/>
        <rFont val="Arial Narrow"/>
        <charset val="134"/>
      </rPr>
      <t xml:space="preserve">
G(GPa)</t>
    </r>
  </si>
  <si>
    <r>
      <rPr>
        <sz val="7"/>
        <color indexed="8"/>
        <rFont val="宋体"/>
        <charset val="134"/>
      </rPr>
      <t>泊松比</t>
    </r>
    <r>
      <rPr>
        <sz val="7"/>
        <color indexed="8"/>
        <rFont val="Arial Narrow"/>
        <charset val="134"/>
      </rPr>
      <t xml:space="preserve">
μ</t>
    </r>
  </si>
  <si>
    <r>
      <rPr>
        <sz val="7"/>
        <color indexed="8"/>
        <rFont val="宋体"/>
        <charset val="134"/>
      </rPr>
      <t>介电常数</t>
    </r>
    <r>
      <rPr>
        <sz val="7"/>
        <color indexed="8"/>
        <rFont val="Arial Narrow"/>
        <charset val="134"/>
      </rPr>
      <t xml:space="preserve">
εr</t>
    </r>
  </si>
  <si>
    <r>
      <rPr>
        <sz val="7"/>
        <color indexed="8"/>
        <rFont val="宋体"/>
        <charset val="134"/>
      </rPr>
      <t>密度</t>
    </r>
    <r>
      <rPr>
        <sz val="7"/>
        <color indexed="8"/>
        <rFont val="Arial Narrow"/>
        <charset val="134"/>
      </rPr>
      <t xml:space="preserve">
ρ</t>
    </r>
  </si>
  <si>
    <r>
      <rPr>
        <sz val="7"/>
        <color indexed="8"/>
        <rFont val="宋体"/>
        <charset val="134"/>
      </rPr>
      <t>耐潮性</t>
    </r>
    <r>
      <rPr>
        <sz val="7"/>
        <color indexed="8"/>
        <rFont val="Arial Narrow"/>
        <charset val="134"/>
      </rPr>
      <t xml:space="preserve">
RC</t>
    </r>
  </si>
  <si>
    <r>
      <rPr>
        <sz val="7"/>
        <color indexed="8"/>
        <rFont val="宋体"/>
        <charset val="134"/>
      </rPr>
      <t>耐酸性</t>
    </r>
    <r>
      <rPr>
        <sz val="7"/>
        <color indexed="8"/>
        <rFont val="Arial Narrow"/>
        <charset val="134"/>
      </rPr>
      <t xml:space="preserve">
RA</t>
    </r>
  </si>
  <si>
    <r>
      <rPr>
        <sz val="7"/>
        <color indexed="8"/>
        <rFont val="宋体"/>
        <charset val="134"/>
      </rPr>
      <t>耐洗涤</t>
    </r>
    <r>
      <rPr>
        <sz val="7"/>
        <color indexed="8"/>
        <rFont val="Arial Narrow"/>
        <charset val="134"/>
      </rPr>
      <t xml:space="preserve">
RP</t>
    </r>
  </si>
  <si>
    <r>
      <rPr>
        <sz val="7"/>
        <color indexed="8"/>
        <rFont val="宋体"/>
        <charset val="134"/>
      </rPr>
      <t>耐碱性</t>
    </r>
    <r>
      <rPr>
        <sz val="7"/>
        <color indexed="8"/>
        <rFont val="Arial Narrow"/>
        <charset val="134"/>
      </rPr>
      <t xml:space="preserve">
R</t>
    </r>
    <r>
      <rPr>
        <vertAlign val="subscript"/>
        <sz val="7"/>
        <color indexed="8"/>
        <rFont val="Arial Narrow"/>
        <charset val="134"/>
      </rPr>
      <t>OH</t>
    </r>
  </si>
  <si>
    <r>
      <rPr>
        <sz val="7"/>
        <color indexed="8"/>
        <rFont val="宋体"/>
        <charset val="134"/>
      </rPr>
      <t>耐水性</t>
    </r>
    <r>
      <rPr>
        <sz val="7"/>
        <color indexed="8"/>
        <rFont val="Arial Narrow"/>
        <charset val="134"/>
      </rPr>
      <t xml:space="preserve">
D</t>
    </r>
    <r>
      <rPr>
        <vertAlign val="subscript"/>
        <sz val="7"/>
        <color indexed="8"/>
        <rFont val="Arial Narrow"/>
        <charset val="134"/>
      </rPr>
      <t>W</t>
    </r>
  </si>
  <si>
    <r>
      <rPr>
        <sz val="7"/>
        <color indexed="8"/>
        <rFont val="宋体"/>
        <charset val="134"/>
      </rPr>
      <t>耐酸性</t>
    </r>
    <r>
      <rPr>
        <sz val="7"/>
        <color indexed="8"/>
        <rFont val="Arial Narrow"/>
        <charset val="134"/>
      </rPr>
      <t xml:space="preserve">
D</t>
    </r>
    <r>
      <rPr>
        <vertAlign val="subscript"/>
        <sz val="7"/>
        <color indexed="8"/>
        <rFont val="Arial Narrow"/>
        <charset val="134"/>
      </rPr>
      <t>A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</si>
  <si>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0.633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</si>
  <si>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0.707</t>
    </r>
  </si>
  <si>
    <r>
      <rPr>
        <sz val="8"/>
        <color indexed="8"/>
        <rFont val="Arial Narrow"/>
        <charset val="134"/>
      </rPr>
      <t>n</t>
    </r>
    <r>
      <rPr>
        <vertAlign val="subscript"/>
        <sz val="8"/>
        <color indexed="8"/>
        <rFont val="Arial Narrow"/>
        <charset val="134"/>
      </rPr>
      <t>0.8944</t>
    </r>
  </si>
  <si>
    <r>
      <rPr>
        <sz val="7"/>
        <rFont val="Arial Narrow"/>
        <charset val="134"/>
      </rPr>
      <t>20/120</t>
    </r>
    <r>
      <rPr>
        <sz val="7"/>
        <rFont val="宋体"/>
        <charset val="134"/>
      </rPr>
      <t>℃</t>
    </r>
  </si>
  <si>
    <r>
      <rPr>
        <sz val="7"/>
        <color rgb="FF000000"/>
        <rFont val="宋体"/>
        <charset val="134"/>
      </rPr>
      <t>转变温度</t>
    </r>
    <r>
      <rPr>
        <sz val="7"/>
        <color rgb="FF000000"/>
        <rFont val="Arial Narrow"/>
        <charset val="134"/>
      </rPr>
      <t xml:space="preserve">
</t>
    </r>
  </si>
  <si>
    <r>
      <rPr>
        <sz val="7"/>
        <color rgb="FF000000"/>
        <rFont val="宋体"/>
        <charset val="134"/>
      </rPr>
      <t>弛垂温度</t>
    </r>
    <r>
      <rPr>
        <sz val="7"/>
        <color rgb="FF000000"/>
        <rFont val="Arial Narrow"/>
        <charset val="134"/>
      </rPr>
      <t xml:space="preserve">
</t>
    </r>
  </si>
  <si>
    <r>
      <rPr>
        <sz val="7"/>
        <color rgb="FF000000"/>
        <rFont val="宋体"/>
        <charset val="134"/>
      </rPr>
      <t>杨氏模量</t>
    </r>
    <r>
      <rPr>
        <sz val="7"/>
        <color rgb="FF000000"/>
        <rFont val="Arial Narrow"/>
        <charset val="134"/>
      </rPr>
      <t xml:space="preserve">
E(GPa)</t>
    </r>
  </si>
  <si>
    <r>
      <rPr>
        <sz val="7"/>
        <color rgb="FF000000"/>
        <rFont val="宋体"/>
        <charset val="134"/>
      </rPr>
      <t>剪切模量</t>
    </r>
    <r>
      <rPr>
        <sz val="7"/>
        <color rgb="FF000000"/>
        <rFont val="Arial Narrow"/>
        <charset val="134"/>
      </rPr>
      <t xml:space="preserve">
G(GPa)</t>
    </r>
  </si>
</sst>
</file>

<file path=xl/styles.xml><?xml version="1.0" encoding="utf-8"?>
<styleSheet xmlns="http://schemas.openxmlformats.org/spreadsheetml/2006/main">
  <numFmts count="2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_);[Red]\(0\)"/>
    <numFmt numFmtId="178" formatCode="0.00_ "/>
    <numFmt numFmtId="179" formatCode="0.0_ "/>
    <numFmt numFmtId="180" formatCode="0.000_ "/>
    <numFmt numFmtId="181" formatCode="0.0000_ "/>
    <numFmt numFmtId="182" formatCode="0_ "/>
    <numFmt numFmtId="183" formatCode="0.0_);[Red]\(0.0\)"/>
    <numFmt numFmtId="184" formatCode="0.000_);[Red]\(0.000\)"/>
    <numFmt numFmtId="185" formatCode="0.00_);[Red]\(0.00\)"/>
    <numFmt numFmtId="186" formatCode="0.0000000E+00"/>
    <numFmt numFmtId="187" formatCode="0.0"/>
    <numFmt numFmtId="188" formatCode="0.00000E+00"/>
    <numFmt numFmtId="189" formatCode="0.00000_ "/>
    <numFmt numFmtId="190" formatCode="0.000000_ "/>
    <numFmt numFmtId="191" formatCode="0.00000000E+00"/>
    <numFmt numFmtId="192" formatCode="0.00000_);[Red]\(0.00000\)"/>
    <numFmt numFmtId="193" formatCode="0.000000_);[Red]\(0.000000\)"/>
  </numFmts>
  <fonts count="113">
    <font>
      <sz val="11"/>
      <color indexed="8"/>
      <name val="宋体"/>
      <charset val="134"/>
    </font>
    <font>
      <sz val="7"/>
      <color indexed="8"/>
      <name val="Arial Narrow"/>
      <charset val="134"/>
    </font>
    <font>
      <sz val="7"/>
      <color rgb="FFC7EFD4"/>
      <name val="Arial Narrow"/>
      <charset val="134"/>
    </font>
    <font>
      <sz val="6"/>
      <color indexed="8"/>
      <name val="Arial Narrow"/>
      <charset val="134"/>
    </font>
    <font>
      <sz val="8"/>
      <color indexed="8"/>
      <name val="Arial Narrow"/>
      <charset val="134"/>
    </font>
    <font>
      <sz val="7"/>
      <name val="Arial Narrow"/>
      <charset val="134"/>
    </font>
    <font>
      <sz val="7"/>
      <color rgb="FF000000"/>
      <name val="Arial Narrow"/>
      <charset val="134"/>
    </font>
    <font>
      <sz val="7"/>
      <color theme="0"/>
      <name val="Arial Narrow"/>
      <charset val="134"/>
    </font>
    <font>
      <sz val="7"/>
      <color rgb="FFB8EAC9"/>
      <name val="Arial Narrow"/>
      <charset val="134"/>
    </font>
    <font>
      <sz val="8"/>
      <color rgb="FF000000"/>
      <name val="Arial Narrow"/>
      <charset val="134"/>
    </font>
    <font>
      <sz val="10"/>
      <color indexed="8"/>
      <name val="Arial Narrow"/>
      <charset val="134"/>
    </font>
    <font>
      <sz val="7"/>
      <color rgb="FF000000"/>
      <name val="宋体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b/>
      <sz val="10"/>
      <name val="Arial"/>
      <charset val="134"/>
    </font>
    <font>
      <sz val="10"/>
      <name val="宋体"/>
      <charset val="134"/>
    </font>
    <font>
      <sz val="6.5"/>
      <color indexed="8"/>
      <name val="Arial Narrow"/>
      <charset val="134"/>
    </font>
    <font>
      <sz val="7"/>
      <color indexed="8"/>
      <name val="宋体"/>
      <charset val="134"/>
    </font>
    <font>
      <sz val="10.5"/>
      <name val="Times New Roman"/>
      <charset val="134"/>
    </font>
    <font>
      <b/>
      <sz val="20"/>
      <name val="Times New Roman"/>
      <charset val="134"/>
    </font>
    <font>
      <b/>
      <sz val="18"/>
      <color rgb="FF000000"/>
      <name val="Times New Roman"/>
      <charset val="134"/>
    </font>
    <font>
      <b/>
      <sz val="18"/>
      <color indexed="8"/>
      <name val="Times New Roman"/>
      <charset val="134"/>
    </font>
    <font>
      <b/>
      <sz val="18"/>
      <name val="Times New Roman"/>
      <charset val="134"/>
    </font>
    <font>
      <sz val="14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0.5"/>
      <name val="Times New Roman"/>
      <charset val="134"/>
    </font>
    <font>
      <sz val="11"/>
      <name val="Times New Roman"/>
      <charset val="134"/>
    </font>
    <font>
      <sz val="12"/>
      <color theme="0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</font>
    <font>
      <b/>
      <sz val="16"/>
      <color rgb="FF0066CC"/>
      <name val="Times New Roman"/>
      <charset val="134"/>
    </font>
    <font>
      <sz val="10"/>
      <name val="Arial"/>
      <charset val="134"/>
    </font>
    <font>
      <sz val="14"/>
      <name val="Arial"/>
      <charset val="134"/>
    </font>
    <font>
      <sz val="11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9"/>
      <name val="ＭＳ Ｐゴシック"/>
      <charset val="134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62"/>
      <name val="ＭＳ Ｐゴシック"/>
      <charset val="134"/>
    </font>
    <font>
      <sz val="11"/>
      <color indexed="8"/>
      <name val="ＭＳ Ｐゴシック"/>
      <charset val="134"/>
    </font>
    <font>
      <i/>
      <sz val="11"/>
      <color rgb="FF7F7F7F"/>
      <name val="宋体"/>
      <charset val="0"/>
      <scheme val="minor"/>
    </font>
    <font>
      <b/>
      <sz val="11"/>
      <color indexed="8"/>
      <name val="ＭＳ Ｐゴシック"/>
      <charset val="134"/>
    </font>
    <font>
      <b/>
      <sz val="15"/>
      <color theme="3"/>
      <name val="宋体"/>
      <charset val="134"/>
      <scheme val="minor"/>
    </font>
    <font>
      <sz val="11"/>
      <color indexed="60"/>
      <name val="ＭＳ Ｐゴシック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63"/>
      <name val="ＭＳ Ｐゴシック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2"/>
      <name val="ＭＳ Ｐゴシック"/>
      <charset val="134"/>
    </font>
    <font>
      <b/>
      <sz val="18"/>
      <color indexed="56"/>
      <name val="ＭＳ Ｐゴシック"/>
      <charset val="134"/>
    </font>
    <font>
      <b/>
      <sz val="11"/>
      <color indexed="9"/>
      <name val="ＭＳ Ｐゴシック"/>
      <charset val="134"/>
    </font>
    <font>
      <sz val="11"/>
      <name val="ＭＳ Ｐゴシック"/>
      <charset val="134"/>
    </font>
    <font>
      <sz val="11"/>
      <color indexed="52"/>
      <name val="ＭＳ Ｐゴシック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ＭＳ Ｐゴシック"/>
      <charset val="134"/>
    </font>
    <font>
      <sz val="11"/>
      <color indexed="20"/>
      <name val="ＭＳ Ｐゴシック"/>
      <charset val="134"/>
    </font>
    <font>
      <b/>
      <sz val="13"/>
      <color indexed="56"/>
      <name val="ＭＳ Ｐゴシック"/>
      <charset val="134"/>
    </font>
    <font>
      <b/>
      <sz val="15"/>
      <color indexed="56"/>
      <name val="ＭＳ Ｐゴシック"/>
      <charset val="134"/>
    </font>
    <font>
      <b/>
      <sz val="11"/>
      <color indexed="56"/>
      <name val="ＭＳ Ｐゴシック"/>
      <charset val="134"/>
    </font>
    <font>
      <sz val="11"/>
      <color indexed="10"/>
      <name val="ＭＳ Ｐゴシック"/>
      <charset val="134"/>
    </font>
    <font>
      <sz val="11"/>
      <color indexed="17"/>
      <name val="ＭＳ Ｐゴシック"/>
      <charset val="134"/>
    </font>
    <font>
      <sz val="12"/>
      <color indexed="8"/>
      <name val="宋体"/>
      <charset val="134"/>
    </font>
    <font>
      <vertAlign val="subscript"/>
      <sz val="7"/>
      <color indexed="8"/>
      <name val="Arial Narrow"/>
      <charset val="134"/>
    </font>
    <font>
      <vertAlign val="superscript"/>
      <sz val="7"/>
      <color indexed="8"/>
      <name val="Arial Narrow"/>
      <charset val="134"/>
    </font>
    <font>
      <vertAlign val="subscript"/>
      <sz val="8"/>
      <color indexed="8"/>
      <name val="Arial Narrow"/>
      <charset val="134"/>
    </font>
    <font>
      <sz val="7"/>
      <name val="宋体"/>
      <charset val="134"/>
    </font>
    <font>
      <vertAlign val="subscript"/>
      <sz val="8"/>
      <color rgb="FF000000"/>
      <name val="Arial Narrow"/>
      <charset val="134"/>
    </font>
    <font>
      <vertAlign val="superscript"/>
      <sz val="7"/>
      <color rgb="FF000000"/>
      <name val="Arial Narrow"/>
      <charset val="134"/>
    </font>
    <font>
      <vertAlign val="superscript"/>
      <sz val="10"/>
      <name val="Times New Roman"/>
      <charset val="134"/>
    </font>
    <font>
      <vertAlign val="subscript"/>
      <sz val="10"/>
      <name val="Times New Roman"/>
      <charset val="134"/>
    </font>
    <font>
      <vertAlign val="subscript"/>
      <sz val="10"/>
      <name val="宋体"/>
      <charset val="134"/>
    </font>
    <font>
      <vertAlign val="subscript"/>
      <sz val="7"/>
      <name val="Arial Narrow"/>
      <charset val="134"/>
    </font>
    <font>
      <sz val="6.5"/>
      <color indexed="8"/>
      <name val="宋体"/>
      <charset val="134"/>
    </font>
    <font>
      <sz val="6"/>
      <color indexed="8"/>
      <name val="宋体"/>
      <charset val="134"/>
    </font>
    <font>
      <vertAlign val="subscript"/>
      <sz val="7"/>
      <color rgb="FF000000"/>
      <name val="Arial Narrow"/>
      <charset val="134"/>
    </font>
    <font>
      <vertAlign val="subscript"/>
      <sz val="14"/>
      <name val="Times New Roman"/>
      <charset val="134"/>
    </font>
    <font>
      <vertAlign val="subscript"/>
      <sz val="12"/>
      <name val="Times New Roman"/>
      <charset val="134"/>
    </font>
    <font>
      <b/>
      <vertAlign val="superscript"/>
      <sz val="11"/>
      <name val="Times New Roman"/>
      <charset val="134"/>
    </font>
    <font>
      <sz val="12"/>
      <name val="Arial Unicode MS"/>
      <charset val="134"/>
    </font>
    <font>
      <sz val="10.5"/>
      <name val="宋体"/>
      <charset val="134"/>
    </font>
    <font>
      <vertAlign val="subscript"/>
      <sz val="11"/>
      <name val="Times New Roman"/>
      <charset val="134"/>
    </font>
    <font>
      <vertAlign val="superscript"/>
      <sz val="11"/>
      <name val="Times New Roman"/>
      <charset val="134"/>
    </font>
    <font>
      <sz val="11"/>
      <name val="Arial Unicode MS"/>
      <charset val="134"/>
    </font>
    <font>
      <vertAlign val="subscript"/>
      <sz val="10"/>
      <name val="Arial Unicode MS"/>
      <charset val="134"/>
    </font>
    <font>
      <vertAlign val="subscript"/>
      <sz val="9"/>
      <name val="Times New Roman"/>
      <charset val="134"/>
    </font>
    <font>
      <sz val="9"/>
      <name val="Times New Roman"/>
      <charset val="134"/>
    </font>
    <font>
      <vertAlign val="superscript"/>
      <sz val="9"/>
      <name val="Times New Roman"/>
      <charset val="134"/>
    </font>
    <font>
      <vertAlign val="subscript"/>
      <sz val="12"/>
      <color theme="0"/>
      <name val="Times New Roman"/>
      <charset val="134"/>
    </font>
    <font>
      <vertAlign val="superscript"/>
      <sz val="12"/>
      <name val="Times New Roman"/>
      <charset val="134"/>
    </font>
    <font>
      <b/>
      <sz val="10.5"/>
      <name val="Arial Unicode MS"/>
      <charset val="134"/>
    </font>
    <font>
      <b/>
      <sz val="11"/>
      <name val="Arial Unicode MS"/>
      <charset val="134"/>
    </font>
    <font>
      <b/>
      <vertAlign val="subscript"/>
      <sz val="10"/>
      <name val="Arial"/>
      <charset val="134"/>
    </font>
    <font>
      <b/>
      <vertAlign val="superscript"/>
      <sz val="10"/>
      <name val="Arial"/>
      <charset val="134"/>
    </font>
    <font>
      <b/>
      <vertAlign val="subscript"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EAC9"/>
        <bgColor indexed="64"/>
      </patternFill>
    </fill>
    <fill>
      <patternFill patternType="solid">
        <fgColor rgb="FFC7EFD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270">
    <xf numFmtId="0" fontId="0" fillId="0" borderId="0">
      <alignment vertical="center"/>
    </xf>
    <xf numFmtId="42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28" applyNumberFormat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49" fontId="4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17" borderId="29" applyNumberFormat="0" applyFont="0" applyAlignment="0" applyProtection="0">
      <alignment vertical="center"/>
    </xf>
    <xf numFmtId="0" fontId="3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0" fillId="0" borderId="0">
      <alignment vertical="center"/>
    </xf>
    <xf numFmtId="0" fontId="43" fillId="21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8" fillId="0" borderId="33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7" fillId="25" borderId="34" applyNumberFormat="0" applyAlignment="0" applyProtection="0">
      <alignment vertical="center"/>
    </xf>
    <xf numFmtId="0" fontId="58" fillId="25" borderId="28" applyNumberFormat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9" fillId="27" borderId="35" applyNumberFormat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61" fillId="0" borderId="38" applyNumberFormat="0" applyFill="0" applyAlignment="0" applyProtection="0">
      <alignment vertical="center"/>
    </xf>
    <xf numFmtId="0" fontId="62" fillId="0" borderId="39" applyNumberFormat="0" applyFill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43" fillId="57" borderId="0" applyNumberFormat="0" applyBorder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9" fillId="0" borderId="0">
      <alignment vertical="center"/>
    </xf>
    <xf numFmtId="0" fontId="33" fillId="0" borderId="0">
      <alignment vertical="center"/>
    </xf>
    <xf numFmtId="0" fontId="43" fillId="59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43" fillId="61" borderId="0" applyNumberFormat="0" applyBorder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67" fillId="62" borderId="40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8" fillId="0" borderId="0">
      <alignment vertical="center"/>
    </xf>
    <xf numFmtId="0" fontId="39" fillId="31" borderId="37" applyNumberFormat="0" applyFon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68" fillId="0" borderId="0">
      <alignment vertical="center"/>
    </xf>
    <xf numFmtId="0" fontId="39" fillId="31" borderId="37" applyNumberFormat="0" applyFon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0" fillId="0" borderId="0">
      <alignment vertical="center"/>
    </xf>
    <xf numFmtId="0" fontId="39" fillId="31" borderId="37" applyNumberFormat="0" applyFon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39" fillId="31" borderId="37" applyNumberFormat="0" applyFont="0" applyAlignment="0" applyProtection="0">
      <alignment vertical="center"/>
    </xf>
    <xf numFmtId="0" fontId="0" fillId="0" borderId="0">
      <alignment vertical="center"/>
    </xf>
    <xf numFmtId="0" fontId="39" fillId="31" borderId="37" applyNumberFormat="0" applyFont="0" applyAlignment="0" applyProtection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39" fillId="31" borderId="37" applyNumberFormat="0" applyFont="0" applyAlignment="0" applyProtection="0">
      <alignment vertical="center"/>
    </xf>
    <xf numFmtId="0" fontId="69" fillId="0" borderId="41" applyNumberFormat="0" applyFill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3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0" borderId="30" applyNumberFormat="0" applyAlignment="0" applyProtection="0">
      <alignment vertical="center"/>
    </xf>
    <xf numFmtId="0" fontId="0" fillId="0" borderId="0">
      <alignment vertical="center"/>
    </xf>
    <xf numFmtId="0" fontId="50" fillId="20" borderId="30" applyNumberFormat="0" applyAlignment="0" applyProtection="0">
      <alignment vertical="center"/>
    </xf>
    <xf numFmtId="0" fontId="0" fillId="0" borderId="0">
      <alignment vertical="center"/>
    </xf>
    <xf numFmtId="0" fontId="50" fillId="20" borderId="30" applyNumberFormat="0" applyAlignment="0" applyProtection="0">
      <alignment vertical="center"/>
    </xf>
    <xf numFmtId="0" fontId="0" fillId="0" borderId="0">
      <alignment vertical="center"/>
    </xf>
    <xf numFmtId="0" fontId="50" fillId="20" borderId="30" applyNumberFormat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60" fillId="29" borderId="36" applyNumberForma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73" fillId="0" borderId="42" applyNumberFormat="0" applyFill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65" fillId="29" borderId="30" applyNumberFormat="0" applyAlignment="0" applyProtection="0">
      <alignment vertical="center"/>
    </xf>
    <xf numFmtId="0" fontId="74" fillId="0" borderId="43" applyNumberFormat="0" applyFill="0" applyAlignment="0" applyProtection="0">
      <alignment vertical="center"/>
    </xf>
    <xf numFmtId="0" fontId="75" fillId="0" borderId="44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77" fillId="55" borderId="0" applyNumberFormat="0" applyBorder="0" applyAlignment="0" applyProtection="0">
      <alignment vertical="center"/>
    </xf>
    <xf numFmtId="0" fontId="78" fillId="0" borderId="0"/>
    <xf numFmtId="0" fontId="0" fillId="0" borderId="0" applyFont="0" applyFill="0" applyBorder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50" fillId="20" borderId="30" applyNumberFormat="0" applyAlignment="0" applyProtection="0">
      <alignment vertical="center"/>
    </xf>
    <xf numFmtId="0" fontId="50" fillId="20" borderId="30" applyNumberFormat="0" applyAlignment="0" applyProtection="0">
      <alignment vertical="center"/>
    </xf>
  </cellStyleXfs>
  <cellXfs count="80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8" fontId="1" fillId="4" borderId="2" xfId="0" applyNumberFormat="1" applyFont="1" applyFill="1" applyBorder="1" applyAlignment="1">
      <alignment vertical="center"/>
    </xf>
    <xf numFmtId="178" fontId="1" fillId="4" borderId="3" xfId="0" applyNumberFormat="1" applyFont="1" applyFill="1" applyBorder="1" applyAlignment="1">
      <alignment vertical="center"/>
    </xf>
    <xf numFmtId="178" fontId="1" fillId="4" borderId="4" xfId="0" applyNumberFormat="1" applyFont="1" applyFill="1" applyBorder="1" applyAlignment="1">
      <alignment vertical="center"/>
    </xf>
    <xf numFmtId="178" fontId="1" fillId="4" borderId="2" xfId="0" applyNumberFormat="1" applyFont="1" applyFill="1" applyBorder="1" applyAlignment="1">
      <alignment horizontal="center" vertical="center"/>
    </xf>
    <xf numFmtId="178" fontId="1" fillId="4" borderId="3" xfId="0" applyNumberFormat="1" applyFont="1" applyFill="1" applyBorder="1" applyAlignment="1">
      <alignment horizontal="center" vertical="center"/>
    </xf>
    <xf numFmtId="178" fontId="1" fillId="4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8" fontId="2" fillId="4" borderId="2" xfId="0" applyNumberFormat="1" applyFont="1" applyFill="1" applyBorder="1" applyAlignment="1">
      <alignment horizontal="center" vertical="center"/>
    </xf>
    <xf numFmtId="178" fontId="2" fillId="4" borderId="3" xfId="0" applyNumberFormat="1" applyFont="1" applyFill="1" applyBorder="1" applyAlignment="1">
      <alignment horizontal="center" vertical="center"/>
    </xf>
    <xf numFmtId="178" fontId="2" fillId="4" borderId="4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79" fontId="1" fillId="3" borderId="2" xfId="0" applyNumberFormat="1" applyFont="1" applyFill="1" applyBorder="1" applyAlignment="1">
      <alignment horizontal="center" vertical="center" wrapText="1"/>
    </xf>
    <xf numFmtId="179" fontId="1" fillId="3" borderId="4" xfId="0" applyNumberFormat="1" applyFont="1" applyFill="1" applyBorder="1" applyAlignment="1">
      <alignment horizontal="center" vertical="center" wrapText="1"/>
    </xf>
    <xf numFmtId="179" fontId="1" fillId="3" borderId="3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4" borderId="1" xfId="0" applyNumberFormat="1" applyFont="1" applyFill="1" applyBorder="1" applyAlignment="1">
      <alignment horizontal="center" vertical="center" wrapText="1"/>
    </xf>
    <xf numFmtId="180" fontId="2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181" fontId="1" fillId="4" borderId="1" xfId="0" applyNumberFormat="1" applyFont="1" applyFill="1" applyBorder="1" applyAlignment="1">
      <alignment horizontal="center" vertical="center"/>
    </xf>
    <xf numFmtId="181" fontId="2" fillId="4" borderId="1" xfId="0" applyNumberFormat="1" applyFont="1" applyFill="1" applyBorder="1" applyAlignment="1">
      <alignment horizontal="center" vertical="center"/>
    </xf>
    <xf numFmtId="179" fontId="5" fillId="3" borderId="2" xfId="0" applyNumberFormat="1" applyFont="1" applyFill="1" applyBorder="1" applyAlignment="1">
      <alignment horizontal="center" vertical="center" wrapText="1"/>
    </xf>
    <xf numFmtId="179" fontId="5" fillId="3" borderId="3" xfId="0" applyNumberFormat="1" applyFont="1" applyFill="1" applyBorder="1" applyAlignment="1">
      <alignment horizontal="center" vertical="center" wrapText="1"/>
    </xf>
    <xf numFmtId="179" fontId="5" fillId="3" borderId="4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180" fontId="5" fillId="4" borderId="1" xfId="0" applyNumberFormat="1" applyFont="1" applyFill="1" applyBorder="1" applyAlignment="1">
      <alignment horizontal="center" vertical="center" wrapText="1"/>
    </xf>
    <xf numFmtId="182" fontId="4" fillId="3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4" borderId="1" xfId="0" applyNumberFormat="1" applyFont="1" applyFill="1" applyBorder="1" applyAlignment="1">
      <alignment horizontal="center" vertical="center"/>
    </xf>
    <xf numFmtId="180" fontId="2" fillId="4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81" fontId="1" fillId="2" borderId="0" xfId="0" applyNumberFormat="1" applyFont="1" applyFill="1" applyAlignment="1">
      <alignment horizontal="center" vertical="center"/>
    </xf>
    <xf numFmtId="181" fontId="1" fillId="2" borderId="0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181" fontId="2" fillId="2" borderId="0" xfId="0" applyNumberFormat="1" applyFont="1" applyFill="1" applyAlignment="1">
      <alignment horizontal="center" vertical="center"/>
    </xf>
    <xf numFmtId="181" fontId="2" fillId="2" borderId="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76" fontId="1" fillId="4" borderId="1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5" fillId="3" borderId="1" xfId="162" applyNumberFormat="1" applyFont="1" applyFill="1" applyBorder="1" applyAlignment="1" applyProtection="1">
      <alignment horizontal="center" vertical="center" wrapText="1"/>
    </xf>
    <xf numFmtId="177" fontId="5" fillId="0" borderId="1" xfId="162" applyNumberFormat="1" applyFont="1" applyFill="1" applyBorder="1" applyAlignment="1" applyProtection="1">
      <alignment horizontal="center" vertical="center" wrapText="1"/>
    </xf>
    <xf numFmtId="177" fontId="5" fillId="4" borderId="1" xfId="162" applyNumberFormat="1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5" fillId="3" borderId="5" xfId="162" applyNumberFormat="1" applyFont="1" applyFill="1" applyBorder="1" applyAlignment="1" applyProtection="1">
      <alignment horizontal="center" vertical="center" wrapText="1"/>
    </xf>
    <xf numFmtId="49" fontId="5" fillId="3" borderId="6" xfId="162" applyNumberFormat="1" applyFont="1" applyFill="1" applyBorder="1" applyAlignment="1" applyProtection="1">
      <alignment horizontal="center" vertical="center" wrapText="1"/>
    </xf>
    <xf numFmtId="49" fontId="5" fillId="3" borderId="7" xfId="162" applyNumberFormat="1" applyFont="1" applyFill="1" applyBorder="1" applyAlignment="1" applyProtection="1">
      <alignment horizontal="center" vertical="center" wrapText="1"/>
    </xf>
    <xf numFmtId="49" fontId="5" fillId="3" borderId="8" xfId="162" applyNumberFormat="1" applyFont="1" applyFill="1" applyBorder="1" applyAlignment="1" applyProtection="1">
      <alignment horizontal="center" vertical="center" wrapText="1"/>
    </xf>
    <xf numFmtId="49" fontId="5" fillId="3" borderId="9" xfId="162" applyNumberFormat="1" applyFont="1" applyFill="1" applyBorder="1" applyAlignment="1" applyProtection="1">
      <alignment horizontal="center" vertical="center" wrapText="1"/>
    </xf>
    <xf numFmtId="49" fontId="5" fillId="3" borderId="10" xfId="162" applyNumberFormat="1" applyFont="1" applyFill="1" applyBorder="1" applyAlignment="1" applyProtection="1">
      <alignment horizontal="center" vertical="center" wrapText="1"/>
    </xf>
    <xf numFmtId="179" fontId="5" fillId="0" borderId="2" xfId="162" applyNumberFormat="1" applyFont="1" applyFill="1" applyBorder="1" applyAlignment="1" applyProtection="1">
      <alignment horizontal="center" vertical="center" wrapText="1"/>
    </xf>
    <xf numFmtId="179" fontId="5" fillId="0" borderId="3" xfId="162" applyNumberFormat="1" applyFont="1" applyFill="1" applyBorder="1" applyAlignment="1" applyProtection="1">
      <alignment horizontal="center" vertical="center" wrapText="1"/>
    </xf>
    <xf numFmtId="179" fontId="5" fillId="0" borderId="4" xfId="162" applyNumberFormat="1" applyFont="1" applyFill="1" applyBorder="1" applyAlignment="1" applyProtection="1">
      <alignment horizontal="center" vertical="center" wrapText="1"/>
    </xf>
    <xf numFmtId="177" fontId="5" fillId="4" borderId="2" xfId="162" applyNumberFormat="1" applyFont="1" applyFill="1" applyBorder="1" applyAlignment="1" applyProtection="1">
      <alignment horizontal="center" vertical="center" wrapText="1"/>
    </xf>
    <xf numFmtId="177" fontId="5" fillId="4" borderId="3" xfId="162" applyNumberFormat="1" applyFont="1" applyFill="1" applyBorder="1" applyAlignment="1" applyProtection="1">
      <alignment horizontal="center" vertical="center" wrapText="1"/>
    </xf>
    <xf numFmtId="177" fontId="5" fillId="4" borderId="4" xfId="162" applyNumberFormat="1" applyFont="1" applyFill="1" applyBorder="1" applyAlignment="1" applyProtection="1">
      <alignment horizontal="center" vertical="center" wrapText="1"/>
    </xf>
    <xf numFmtId="177" fontId="5" fillId="0" borderId="2" xfId="162" applyNumberFormat="1" applyFont="1" applyFill="1" applyBorder="1" applyAlignment="1" applyProtection="1">
      <alignment horizontal="center" vertical="center" wrapText="1"/>
    </xf>
    <xf numFmtId="177" fontId="5" fillId="0" borderId="3" xfId="162" applyNumberFormat="1" applyFont="1" applyFill="1" applyBorder="1" applyAlignment="1" applyProtection="1">
      <alignment horizontal="center" vertical="center" wrapText="1"/>
    </xf>
    <xf numFmtId="177" fontId="5" fillId="0" borderId="4" xfId="162" applyNumberFormat="1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 wrapText="1"/>
    </xf>
    <xf numFmtId="179" fontId="1" fillId="0" borderId="3" xfId="0" applyNumberFormat="1" applyFont="1" applyFill="1" applyBorder="1" applyAlignment="1">
      <alignment horizontal="center" vertical="center" wrapText="1"/>
    </xf>
    <xf numFmtId="179" fontId="1" fillId="0" borderId="4" xfId="0" applyNumberFormat="1" applyFont="1" applyFill="1" applyBorder="1" applyAlignment="1">
      <alignment horizontal="center" vertical="center" wrapText="1"/>
    </xf>
    <xf numFmtId="177" fontId="1" fillId="4" borderId="2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177" fontId="1" fillId="4" borderId="4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1" fillId="4" borderId="1" xfId="0" applyNumberFormat="1" applyFont="1" applyFill="1" applyBorder="1" applyAlignment="1">
      <alignment horizontal="center" vertical="center"/>
    </xf>
    <xf numFmtId="178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82" fontId="1" fillId="3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180" fontId="8" fillId="4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81" fontId="7" fillId="0" borderId="1" xfId="0" applyNumberFormat="1" applyFont="1" applyFill="1" applyBorder="1" applyAlignment="1">
      <alignment horizontal="center" vertical="center"/>
    </xf>
    <xf numFmtId="181" fontId="8" fillId="4" borderId="1" xfId="0" applyNumberFormat="1" applyFont="1" applyFill="1" applyBorder="1" applyAlignment="1">
      <alignment horizontal="center" vertical="center"/>
    </xf>
    <xf numFmtId="182" fontId="5" fillId="3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/>
    </xf>
    <xf numFmtId="180" fontId="8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81" fontId="1" fillId="0" borderId="2" xfId="0" applyNumberFormat="1" applyFont="1" applyFill="1" applyBorder="1" applyAlignment="1">
      <alignment horizontal="center" vertical="center"/>
    </xf>
    <xf numFmtId="181" fontId="1" fillId="0" borderId="4" xfId="0" applyNumberFormat="1" applyFont="1" applyFill="1" applyBorder="1" applyAlignment="1">
      <alignment horizontal="center" vertical="center"/>
    </xf>
    <xf numFmtId="181" fontId="1" fillId="4" borderId="2" xfId="0" applyNumberFormat="1" applyFont="1" applyFill="1" applyBorder="1" applyAlignment="1">
      <alignment horizontal="center" vertical="center"/>
    </xf>
    <xf numFmtId="181" fontId="1" fillId="4" borderId="4" xfId="0" applyNumberFormat="1" applyFont="1" applyFill="1" applyBorder="1" applyAlignment="1">
      <alignment horizontal="center" vertical="center"/>
    </xf>
    <xf numFmtId="181" fontId="7" fillId="0" borderId="2" xfId="0" applyNumberFormat="1" applyFont="1" applyFill="1" applyBorder="1" applyAlignment="1">
      <alignment horizontal="center" vertical="center"/>
    </xf>
    <xf numFmtId="181" fontId="7" fillId="0" borderId="4" xfId="0" applyNumberFormat="1" applyFont="1" applyFill="1" applyBorder="1" applyAlignment="1">
      <alignment horizontal="center" vertical="center"/>
    </xf>
    <xf numFmtId="181" fontId="8" fillId="4" borderId="2" xfId="0" applyNumberFormat="1" applyFont="1" applyFill="1" applyBorder="1" applyAlignment="1">
      <alignment horizontal="center" vertical="center"/>
    </xf>
    <xf numFmtId="181" fontId="8" fillId="4" borderId="4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 wrapText="1"/>
    </xf>
    <xf numFmtId="180" fontId="1" fillId="0" borderId="4" xfId="0" applyNumberFormat="1" applyFont="1" applyFill="1" applyBorder="1" applyAlignment="1">
      <alignment horizontal="center" vertical="center" wrapText="1"/>
    </xf>
    <xf numFmtId="180" fontId="1" fillId="4" borderId="2" xfId="0" applyNumberFormat="1" applyFont="1" applyFill="1" applyBorder="1" applyAlignment="1">
      <alignment horizontal="center" vertical="center" wrapText="1"/>
    </xf>
    <xf numFmtId="180" fontId="1" fillId="4" borderId="4" xfId="0" applyNumberFormat="1" applyFont="1" applyFill="1" applyBorder="1" applyAlignment="1">
      <alignment horizontal="center" vertical="center" wrapText="1"/>
    </xf>
    <xf numFmtId="180" fontId="7" fillId="0" borderId="2" xfId="0" applyNumberFormat="1" applyFont="1" applyFill="1" applyBorder="1" applyAlignment="1">
      <alignment horizontal="center" vertical="center" wrapText="1"/>
    </xf>
    <xf numFmtId="180" fontId="7" fillId="0" borderId="4" xfId="0" applyNumberFormat="1" applyFont="1" applyFill="1" applyBorder="1" applyAlignment="1">
      <alignment horizontal="center" vertical="center" wrapText="1"/>
    </xf>
    <xf numFmtId="180" fontId="8" fillId="4" borderId="2" xfId="0" applyNumberFormat="1" applyFont="1" applyFill="1" applyBorder="1" applyAlignment="1">
      <alignment horizontal="center" vertical="center" wrapText="1"/>
    </xf>
    <xf numFmtId="180" fontId="8" fillId="4" borderId="4" xfId="0" applyNumberFormat="1" applyFont="1" applyFill="1" applyBorder="1" applyAlignment="1">
      <alignment horizontal="center" vertical="center" wrapText="1"/>
    </xf>
    <xf numFmtId="181" fontId="7" fillId="2" borderId="0" xfId="0" applyNumberFormat="1" applyFont="1" applyFill="1" applyAlignment="1">
      <alignment horizontal="center" vertical="center"/>
    </xf>
    <xf numFmtId="181" fontId="7" fillId="2" borderId="0" xfId="0" applyNumberFormat="1" applyFont="1" applyFill="1" applyBorder="1" applyAlignment="1">
      <alignment horizontal="center" vertical="center"/>
    </xf>
    <xf numFmtId="181" fontId="8" fillId="2" borderId="0" xfId="0" applyNumberFormat="1" applyFont="1" applyFill="1" applyAlignment="1">
      <alignment horizontal="center" vertical="center"/>
    </xf>
    <xf numFmtId="181" fontId="8" fillId="2" borderId="0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4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 wrapText="1"/>
    </xf>
    <xf numFmtId="182" fontId="8" fillId="4" borderId="1" xfId="0" applyNumberFormat="1" applyFont="1" applyFill="1" applyBorder="1" applyAlignment="1">
      <alignment horizontal="center" vertical="center" wrapText="1"/>
    </xf>
    <xf numFmtId="0" fontId="5" fillId="3" borderId="1" xfId="162" applyFont="1" applyFill="1" applyBorder="1" applyAlignment="1" applyProtection="1">
      <alignment horizontal="center" vertical="center" wrapText="1"/>
    </xf>
    <xf numFmtId="182" fontId="5" fillId="0" borderId="1" xfId="162" applyNumberFormat="1" applyFont="1" applyFill="1" applyBorder="1" applyAlignment="1" applyProtection="1">
      <alignment horizontal="center" vertical="center" wrapText="1"/>
    </xf>
    <xf numFmtId="182" fontId="5" fillId="3" borderId="1" xfId="162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4" borderId="1" xfId="0" applyNumberFormat="1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182" fontId="8" fillId="4" borderId="1" xfId="0" applyNumberFormat="1" applyFont="1" applyFill="1" applyBorder="1" applyAlignment="1">
      <alignment horizontal="center" vertical="center"/>
    </xf>
    <xf numFmtId="182" fontId="8" fillId="3" borderId="1" xfId="0" applyNumberFormat="1" applyFont="1" applyFill="1" applyBorder="1" applyAlignment="1">
      <alignment horizontal="center" vertical="center" wrapText="1"/>
    </xf>
    <xf numFmtId="183" fontId="1" fillId="0" borderId="2" xfId="0" applyNumberFormat="1" applyFont="1" applyFill="1" applyBorder="1" applyAlignment="1">
      <alignment horizontal="center" vertical="center"/>
    </xf>
    <xf numFmtId="183" fontId="1" fillId="0" borderId="3" xfId="0" applyNumberFormat="1" applyFont="1" applyFill="1" applyBorder="1" applyAlignment="1">
      <alignment horizontal="center" vertical="center"/>
    </xf>
    <xf numFmtId="183" fontId="1" fillId="0" borderId="4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/>
    </xf>
    <xf numFmtId="183" fontId="1" fillId="4" borderId="2" xfId="0" applyNumberFormat="1" applyFont="1" applyFill="1" applyBorder="1" applyAlignment="1">
      <alignment horizontal="center" vertical="center"/>
    </xf>
    <xf numFmtId="183" fontId="1" fillId="4" borderId="3" xfId="0" applyNumberFormat="1" applyFont="1" applyFill="1" applyBorder="1" applyAlignment="1">
      <alignment horizontal="center" vertical="center"/>
    </xf>
    <xf numFmtId="183" fontId="1" fillId="4" borderId="4" xfId="0" applyNumberFormat="1" applyFont="1" applyFill="1" applyBorder="1" applyAlignment="1">
      <alignment horizontal="center" vertical="center"/>
    </xf>
    <xf numFmtId="183" fontId="1" fillId="4" borderId="1" xfId="0" applyNumberFormat="1" applyFont="1" applyFill="1" applyBorder="1" applyAlignment="1">
      <alignment horizontal="center" vertical="center"/>
    </xf>
    <xf numFmtId="183" fontId="7" fillId="0" borderId="2" xfId="0" applyNumberFormat="1" applyFont="1" applyFill="1" applyBorder="1" applyAlignment="1">
      <alignment horizontal="center" vertical="center"/>
    </xf>
    <xf numFmtId="183" fontId="7" fillId="0" borderId="3" xfId="0" applyNumberFormat="1" applyFont="1" applyFill="1" applyBorder="1" applyAlignment="1">
      <alignment horizontal="center" vertical="center"/>
    </xf>
    <xf numFmtId="183" fontId="7" fillId="0" borderId="4" xfId="0" applyNumberFormat="1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183" fontId="8" fillId="4" borderId="2" xfId="0" applyNumberFormat="1" applyFont="1" applyFill="1" applyBorder="1" applyAlignment="1">
      <alignment horizontal="center" vertical="center"/>
    </xf>
    <xf numFmtId="183" fontId="8" fillId="4" borderId="3" xfId="0" applyNumberFormat="1" applyFont="1" applyFill="1" applyBorder="1" applyAlignment="1">
      <alignment horizontal="center" vertical="center"/>
    </xf>
    <xf numFmtId="183" fontId="8" fillId="4" borderId="4" xfId="0" applyNumberFormat="1" applyFont="1" applyFill="1" applyBorder="1" applyAlignment="1">
      <alignment horizontal="center" vertical="center"/>
    </xf>
    <xf numFmtId="183" fontId="8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82" fontId="1" fillId="0" borderId="2" xfId="0" applyNumberFormat="1" applyFont="1" applyFill="1" applyBorder="1" applyAlignment="1">
      <alignment horizontal="center" vertical="center" wrapText="1"/>
    </xf>
    <xf numFmtId="182" fontId="1" fillId="0" borderId="3" xfId="0" applyNumberFormat="1" applyFont="1" applyFill="1" applyBorder="1" applyAlignment="1">
      <alignment horizontal="center" vertical="center" wrapText="1"/>
    </xf>
    <xf numFmtId="182" fontId="1" fillId="0" borderId="4" xfId="0" applyNumberFormat="1" applyFont="1" applyFill="1" applyBorder="1" applyAlignment="1">
      <alignment horizontal="center" vertical="center" wrapText="1"/>
    </xf>
    <xf numFmtId="182" fontId="1" fillId="3" borderId="2" xfId="0" applyNumberFormat="1" applyFont="1" applyFill="1" applyBorder="1" applyAlignment="1">
      <alignment horizontal="center" vertical="center" wrapText="1"/>
    </xf>
    <xf numFmtId="182" fontId="1" fillId="3" borderId="3" xfId="0" applyNumberFormat="1" applyFont="1" applyFill="1" applyBorder="1" applyAlignment="1">
      <alignment horizontal="center" vertical="center" wrapText="1"/>
    </xf>
    <xf numFmtId="182" fontId="1" fillId="3" borderId="4" xfId="0" applyNumberFormat="1" applyFont="1" applyFill="1" applyBorder="1" applyAlignment="1">
      <alignment horizontal="center" vertical="center" wrapText="1"/>
    </xf>
    <xf numFmtId="182" fontId="7" fillId="0" borderId="2" xfId="0" applyNumberFormat="1" applyFont="1" applyFill="1" applyBorder="1" applyAlignment="1">
      <alignment horizontal="center" vertical="center" wrapText="1"/>
    </xf>
    <xf numFmtId="182" fontId="7" fillId="0" borderId="3" xfId="0" applyNumberFormat="1" applyFont="1" applyFill="1" applyBorder="1" applyAlignment="1">
      <alignment horizontal="center" vertical="center" wrapText="1"/>
    </xf>
    <xf numFmtId="182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2" fontId="8" fillId="3" borderId="2" xfId="0" applyNumberFormat="1" applyFont="1" applyFill="1" applyBorder="1" applyAlignment="1">
      <alignment horizontal="center" vertical="center" wrapText="1"/>
    </xf>
    <xf numFmtId="182" fontId="8" fillId="3" borderId="3" xfId="0" applyNumberFormat="1" applyFont="1" applyFill="1" applyBorder="1" applyAlignment="1">
      <alignment horizontal="center" vertical="center" wrapText="1"/>
    </xf>
    <xf numFmtId="182" fontId="8" fillId="3" borderId="4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84" fontId="1" fillId="0" borderId="2" xfId="0" applyNumberFormat="1" applyFont="1" applyFill="1" applyBorder="1" applyAlignment="1">
      <alignment horizontal="center" vertical="center"/>
    </xf>
    <xf numFmtId="184" fontId="1" fillId="0" borderId="4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/>
    </xf>
    <xf numFmtId="184" fontId="1" fillId="4" borderId="2" xfId="0" applyNumberFormat="1" applyFont="1" applyFill="1" applyBorder="1" applyAlignment="1">
      <alignment horizontal="center" vertical="center"/>
    </xf>
    <xf numFmtId="184" fontId="1" fillId="4" borderId="4" xfId="0" applyNumberFormat="1" applyFont="1" applyFill="1" applyBorder="1" applyAlignment="1">
      <alignment horizontal="center" vertical="center"/>
    </xf>
    <xf numFmtId="185" fontId="1" fillId="4" borderId="1" xfId="0" applyNumberFormat="1" applyFont="1" applyFill="1" applyBorder="1" applyAlignment="1">
      <alignment horizontal="center" vertical="center"/>
    </xf>
    <xf numFmtId="184" fontId="7" fillId="0" borderId="2" xfId="0" applyNumberFormat="1" applyFont="1" applyFill="1" applyBorder="1" applyAlignment="1">
      <alignment horizontal="center" vertical="center"/>
    </xf>
    <xf numFmtId="184" fontId="7" fillId="0" borderId="4" xfId="0" applyNumberFormat="1" applyFont="1" applyFill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/>
    </xf>
    <xf numFmtId="184" fontId="8" fillId="4" borderId="2" xfId="0" applyNumberFormat="1" applyFont="1" applyFill="1" applyBorder="1" applyAlignment="1">
      <alignment horizontal="center" vertical="center"/>
    </xf>
    <xf numFmtId="184" fontId="8" fillId="4" borderId="4" xfId="0" applyNumberFormat="1" applyFont="1" applyFill="1" applyBorder="1" applyAlignment="1">
      <alignment horizontal="center" vertical="center"/>
    </xf>
    <xf numFmtId="185" fontId="8" fillId="4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8" fontId="5" fillId="4" borderId="2" xfId="0" applyNumberFormat="1" applyFont="1" applyFill="1" applyBorder="1" applyAlignment="1">
      <alignment horizontal="center" vertical="center"/>
    </xf>
    <xf numFmtId="178" fontId="5" fillId="4" borderId="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80" fontId="1" fillId="0" borderId="11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178" fontId="5" fillId="4" borderId="4" xfId="0" applyNumberFormat="1" applyFont="1" applyFill="1" applyBorder="1" applyAlignment="1">
      <alignment horizontal="center" vertical="center"/>
    </xf>
    <xf numFmtId="181" fontId="5" fillId="4" borderId="1" xfId="0" applyNumberFormat="1" applyFont="1" applyFill="1" applyBorder="1" applyAlignment="1">
      <alignment horizontal="center" vertical="center"/>
    </xf>
    <xf numFmtId="180" fontId="5" fillId="0" borderId="11" xfId="0" applyNumberFormat="1" applyFont="1" applyFill="1" applyBorder="1" applyAlignment="1">
      <alignment horizontal="center" vertical="center" wrapText="1"/>
    </xf>
    <xf numFmtId="180" fontId="1" fillId="0" borderId="11" xfId="0" applyNumberFormat="1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0" fontId="5" fillId="4" borderId="1" xfId="0" applyNumberFormat="1" applyFont="1" applyFill="1" applyBorder="1" applyAlignment="1">
      <alignment horizontal="center" vertical="center"/>
    </xf>
    <xf numFmtId="181" fontId="5" fillId="0" borderId="2" xfId="0" applyNumberFormat="1" applyFont="1" applyFill="1" applyBorder="1" applyAlignment="1">
      <alignment horizontal="center" vertical="center"/>
    </xf>
    <xf numFmtId="181" fontId="5" fillId="0" borderId="4" xfId="0" applyNumberFormat="1" applyFont="1" applyFill="1" applyBorder="1" applyAlignment="1">
      <alignment horizontal="center" vertical="center"/>
    </xf>
    <xf numFmtId="181" fontId="5" fillId="4" borderId="2" xfId="0" applyNumberFormat="1" applyFont="1" applyFill="1" applyBorder="1" applyAlignment="1">
      <alignment horizontal="center" vertical="center"/>
    </xf>
    <xf numFmtId="181" fontId="5" fillId="4" borderId="4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 wrapText="1"/>
    </xf>
    <xf numFmtId="180" fontId="1" fillId="0" borderId="10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180" fontId="5" fillId="4" borderId="2" xfId="0" applyNumberFormat="1" applyFont="1" applyFill="1" applyBorder="1" applyAlignment="1">
      <alignment horizontal="center" vertical="center" wrapText="1"/>
    </xf>
    <xf numFmtId="180" fontId="5" fillId="4" borderId="4" xfId="0" applyNumberFormat="1" applyFont="1" applyFill="1" applyBorder="1" applyAlignment="1">
      <alignment horizontal="center" vertical="center" wrapText="1"/>
    </xf>
    <xf numFmtId="181" fontId="5" fillId="2" borderId="0" xfId="0" applyNumberFormat="1" applyFont="1" applyFill="1" applyAlignment="1">
      <alignment horizontal="center" vertical="center"/>
    </xf>
    <xf numFmtId="181" fontId="5" fillId="2" borderId="0" xfId="0" applyNumberFormat="1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182" fontId="5" fillId="4" borderId="1" xfId="0" applyNumberFormat="1" applyFont="1" applyFill="1" applyBorder="1" applyAlignment="1">
      <alignment horizontal="center" vertical="center" wrapText="1"/>
    </xf>
    <xf numFmtId="182" fontId="5" fillId="4" borderId="1" xfId="0" applyNumberFormat="1" applyFont="1" applyFill="1" applyBorder="1" applyAlignment="1">
      <alignment horizontal="center" vertical="center"/>
    </xf>
    <xf numFmtId="183" fontId="5" fillId="4" borderId="2" xfId="0" applyNumberFormat="1" applyFont="1" applyFill="1" applyBorder="1" applyAlignment="1">
      <alignment horizontal="center" vertical="center"/>
    </xf>
    <xf numFmtId="183" fontId="5" fillId="4" borderId="3" xfId="0" applyNumberFormat="1" applyFont="1" applyFill="1" applyBorder="1" applyAlignment="1">
      <alignment horizontal="center" vertical="center"/>
    </xf>
    <xf numFmtId="183" fontId="5" fillId="4" borderId="4" xfId="0" applyNumberFormat="1" applyFont="1" applyFill="1" applyBorder="1" applyAlignment="1">
      <alignment horizontal="center" vertical="center"/>
    </xf>
    <xf numFmtId="183" fontId="5" fillId="4" borderId="1" xfId="0" applyNumberFormat="1" applyFont="1" applyFill="1" applyBorder="1" applyAlignment="1">
      <alignment horizontal="center" vertical="center"/>
    </xf>
    <xf numFmtId="182" fontId="5" fillId="3" borderId="2" xfId="0" applyNumberFormat="1" applyFont="1" applyFill="1" applyBorder="1" applyAlignment="1">
      <alignment horizontal="center" vertical="center" wrapText="1"/>
    </xf>
    <xf numFmtId="182" fontId="5" fillId="3" borderId="3" xfId="0" applyNumberFormat="1" applyFont="1" applyFill="1" applyBorder="1" applyAlignment="1">
      <alignment horizontal="center" vertical="center" wrapText="1"/>
    </xf>
    <xf numFmtId="182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84" fontId="5" fillId="4" borderId="2" xfId="0" applyNumberFormat="1" applyFont="1" applyFill="1" applyBorder="1" applyAlignment="1">
      <alignment horizontal="center" vertical="center"/>
    </xf>
    <xf numFmtId="184" fontId="5" fillId="4" borderId="4" xfId="0" applyNumberFormat="1" applyFont="1" applyFill="1" applyBorder="1" applyAlignment="1">
      <alignment horizontal="center" vertical="center"/>
    </xf>
    <xf numFmtId="185" fontId="5" fillId="4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178" fontId="1" fillId="3" borderId="2" xfId="0" applyNumberFormat="1" applyFont="1" applyFill="1" applyBorder="1" applyAlignment="1">
      <alignment horizontal="center" vertical="center" wrapText="1"/>
    </xf>
    <xf numFmtId="178" fontId="1" fillId="3" borderId="3" xfId="0" applyNumberFormat="1" applyFont="1" applyFill="1" applyBorder="1" applyAlignment="1">
      <alignment horizontal="center" vertical="center" wrapText="1"/>
    </xf>
    <xf numFmtId="178" fontId="1" fillId="3" borderId="4" xfId="0" applyNumberFormat="1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horizontal="center" vertical="center" wrapText="1"/>
    </xf>
    <xf numFmtId="184" fontId="2" fillId="4" borderId="1" xfId="0" applyNumberFormat="1" applyFont="1" applyFill="1" applyBorder="1" applyAlignment="1">
      <alignment horizontal="center" vertical="center" wrapText="1"/>
    </xf>
    <xf numFmtId="184" fontId="7" fillId="0" borderId="1" xfId="0" applyNumberFormat="1" applyFont="1" applyFill="1" applyBorder="1" applyAlignment="1">
      <alignment horizontal="center" vertical="center" wrapText="1"/>
    </xf>
    <xf numFmtId="184" fontId="5" fillId="0" borderId="1" xfId="0" applyNumberFormat="1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2" fillId="4" borderId="1" xfId="0" applyNumberFormat="1" applyFont="1" applyFill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/>
    </xf>
    <xf numFmtId="183" fontId="2" fillId="4" borderId="1" xfId="0" applyNumberFormat="1" applyFont="1" applyFill="1" applyBorder="1" applyAlignment="1">
      <alignment horizontal="center" vertical="center"/>
    </xf>
    <xf numFmtId="182" fontId="2" fillId="4" borderId="1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83" fontId="5" fillId="0" borderId="1" xfId="162" applyNumberFormat="1" applyFont="1" applyFill="1" applyBorder="1" applyAlignment="1" applyProtection="1">
      <alignment horizontal="center" vertical="center" wrapText="1"/>
    </xf>
    <xf numFmtId="183" fontId="2" fillId="4" borderId="1" xfId="162" applyNumberFormat="1" applyFont="1" applyFill="1" applyBorder="1" applyAlignment="1" applyProtection="1">
      <alignment horizontal="center" vertical="center" wrapText="1"/>
    </xf>
    <xf numFmtId="183" fontId="7" fillId="0" borderId="1" xfId="162" applyNumberFormat="1" applyFont="1" applyFill="1" applyBorder="1" applyAlignment="1" applyProtection="1">
      <alignment horizontal="center" vertical="center" wrapText="1"/>
    </xf>
    <xf numFmtId="0" fontId="2" fillId="4" borderId="15" xfId="162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83" fontId="5" fillId="0" borderId="2" xfId="162" applyNumberFormat="1" applyFont="1" applyFill="1" applyBorder="1" applyAlignment="1" applyProtection="1">
      <alignment horizontal="center" vertical="center" wrapText="1"/>
    </xf>
    <xf numFmtId="183" fontId="5" fillId="0" borderId="3" xfId="162" applyNumberFormat="1" applyFont="1" applyFill="1" applyBorder="1" applyAlignment="1" applyProtection="1">
      <alignment horizontal="center" vertical="center" wrapText="1"/>
    </xf>
    <xf numFmtId="183" fontId="5" fillId="0" borderId="4" xfId="162" applyNumberFormat="1" applyFont="1" applyFill="1" applyBorder="1" applyAlignment="1" applyProtection="1">
      <alignment horizontal="center" vertical="center" wrapText="1"/>
    </xf>
    <xf numFmtId="183" fontId="1" fillId="0" borderId="2" xfId="0" applyNumberFormat="1" applyFont="1" applyFill="1" applyBorder="1" applyAlignment="1">
      <alignment horizontal="center" vertical="center" wrapText="1"/>
    </xf>
    <xf numFmtId="183" fontId="2" fillId="4" borderId="2" xfId="162" applyNumberFormat="1" applyFont="1" applyFill="1" applyBorder="1" applyAlignment="1" applyProtection="1">
      <alignment horizontal="center" vertical="center" wrapText="1"/>
    </xf>
    <xf numFmtId="183" fontId="2" fillId="4" borderId="3" xfId="162" applyNumberFormat="1" applyFont="1" applyFill="1" applyBorder="1" applyAlignment="1" applyProtection="1">
      <alignment horizontal="center" vertical="center" wrapText="1"/>
    </xf>
    <xf numFmtId="183" fontId="2" fillId="4" borderId="4" xfId="162" applyNumberFormat="1" applyFont="1" applyFill="1" applyBorder="1" applyAlignment="1" applyProtection="1">
      <alignment horizontal="center" vertical="center" wrapText="1"/>
    </xf>
    <xf numFmtId="183" fontId="2" fillId="4" borderId="2" xfId="0" applyNumberFormat="1" applyFont="1" applyFill="1" applyBorder="1" applyAlignment="1">
      <alignment horizontal="center" vertical="center" wrapText="1"/>
    </xf>
    <xf numFmtId="183" fontId="7" fillId="0" borderId="2" xfId="162" applyNumberFormat="1" applyFont="1" applyFill="1" applyBorder="1" applyAlignment="1" applyProtection="1">
      <alignment horizontal="center" vertical="center" wrapText="1"/>
    </xf>
    <xf numFmtId="183" fontId="7" fillId="0" borderId="3" xfId="162" applyNumberFormat="1" applyFont="1" applyFill="1" applyBorder="1" applyAlignment="1" applyProtection="1">
      <alignment horizontal="center" vertical="center" wrapText="1"/>
    </xf>
    <xf numFmtId="183" fontId="7" fillId="0" borderId="4" xfId="162" applyNumberFormat="1" applyFont="1" applyFill="1" applyBorder="1" applyAlignment="1" applyProtection="1">
      <alignment horizontal="center" vertical="center" wrapText="1"/>
    </xf>
    <xf numFmtId="183" fontId="7" fillId="0" borderId="2" xfId="0" applyNumberFormat="1" applyFont="1" applyFill="1" applyBorder="1" applyAlignment="1">
      <alignment horizontal="center" vertical="center" wrapText="1"/>
    </xf>
    <xf numFmtId="0" fontId="2" fillId="4" borderId="5" xfId="162" applyFont="1" applyFill="1" applyBorder="1" applyAlignment="1" applyProtection="1">
      <alignment horizontal="center" vertical="center" wrapText="1"/>
    </xf>
    <xf numFmtId="0" fontId="2" fillId="4" borderId="6" xfId="162" applyFont="1" applyFill="1" applyBorder="1" applyAlignment="1" applyProtection="1">
      <alignment horizontal="center" vertical="center" wrapText="1"/>
    </xf>
    <xf numFmtId="0" fontId="2" fillId="4" borderId="7" xfId="162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83" fontId="1" fillId="0" borderId="3" xfId="0" applyNumberFormat="1" applyFont="1" applyFill="1" applyBorder="1" applyAlignment="1">
      <alignment horizontal="center" vertical="center" wrapText="1"/>
    </xf>
    <xf numFmtId="183" fontId="1" fillId="0" borderId="4" xfId="0" applyNumberFormat="1" applyFont="1" applyFill="1" applyBorder="1" applyAlignment="1">
      <alignment horizontal="center" vertical="center" wrapText="1"/>
    </xf>
    <xf numFmtId="183" fontId="1" fillId="0" borderId="1" xfId="0" applyNumberFormat="1" applyFont="1" applyFill="1" applyBorder="1" applyAlignment="1">
      <alignment horizontal="center" vertical="center" wrapText="1"/>
    </xf>
    <xf numFmtId="183" fontId="2" fillId="4" borderId="3" xfId="0" applyNumberFormat="1" applyFont="1" applyFill="1" applyBorder="1" applyAlignment="1">
      <alignment horizontal="center" vertical="center" wrapText="1"/>
    </xf>
    <xf numFmtId="183" fontId="2" fillId="4" borderId="4" xfId="0" applyNumberFormat="1" applyFont="1" applyFill="1" applyBorder="1" applyAlignment="1">
      <alignment horizontal="center" vertical="center" wrapText="1"/>
    </xf>
    <xf numFmtId="183" fontId="2" fillId="4" borderId="1" xfId="0" applyNumberFormat="1" applyFont="1" applyFill="1" applyBorder="1" applyAlignment="1">
      <alignment horizontal="center" vertical="center" wrapText="1"/>
    </xf>
    <xf numFmtId="183" fontId="7" fillId="0" borderId="3" xfId="0" applyNumberFormat="1" applyFont="1" applyFill="1" applyBorder="1" applyAlignment="1">
      <alignment horizontal="center" vertical="center" wrapText="1"/>
    </xf>
    <xf numFmtId="183" fontId="7" fillId="0" borderId="4" xfId="0" applyNumberFormat="1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82" fontId="2" fillId="4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5" borderId="16" xfId="164" applyFont="1" applyFill="1" applyBorder="1" applyAlignment="1">
      <alignment horizontal="center" vertical="center" wrapText="1"/>
    </xf>
    <xf numFmtId="0" fontId="12" fillId="0" borderId="16" xfId="164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185" fontId="12" fillId="0" borderId="16" xfId="0" applyNumberFormat="1" applyFont="1" applyFill="1" applyBorder="1" applyAlignment="1">
      <alignment horizontal="center" vertical="center"/>
    </xf>
    <xf numFmtId="176" fontId="12" fillId="0" borderId="16" xfId="0" applyNumberFormat="1" applyFont="1" applyFill="1" applyBorder="1" applyAlignment="1">
      <alignment horizontal="center" vertical="center"/>
    </xf>
    <xf numFmtId="0" fontId="12" fillId="0" borderId="16" xfId="156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2" fillId="0" borderId="16" xfId="156" applyNumberFormat="1" applyFont="1" applyFill="1" applyBorder="1" applyAlignment="1">
      <alignment horizontal="center" vertical="center"/>
    </xf>
    <xf numFmtId="176" fontId="12" fillId="0" borderId="16" xfId="0" applyNumberFormat="1" applyFont="1" applyFill="1" applyBorder="1" applyAlignment="1">
      <alignment horizontal="center" vertical="center" wrapText="1"/>
    </xf>
    <xf numFmtId="176" fontId="12" fillId="0" borderId="16" xfId="156" applyNumberFormat="1" applyFont="1" applyFill="1" applyBorder="1" applyAlignment="1">
      <alignment horizontal="center" vertical="center" wrapText="1"/>
    </xf>
    <xf numFmtId="186" fontId="12" fillId="0" borderId="16" xfId="0" applyNumberFormat="1" applyFont="1" applyFill="1" applyBorder="1" applyAlignment="1">
      <alignment horizontal="center" vertical="center"/>
    </xf>
    <xf numFmtId="0" fontId="12" fillId="5" borderId="16" xfId="0" applyFont="1" applyFill="1" applyBorder="1" applyAlignment="1" applyProtection="1">
      <alignment horizontal="center" vertical="center"/>
    </xf>
    <xf numFmtId="179" fontId="12" fillId="5" borderId="16" xfId="0" applyNumberFormat="1" applyFont="1" applyFill="1" applyBorder="1" applyAlignment="1" applyProtection="1">
      <alignment horizontal="center" vertical="center" wrapText="1"/>
    </xf>
    <xf numFmtId="183" fontId="12" fillId="0" borderId="16" xfId="0" applyNumberFormat="1" applyFont="1" applyFill="1" applyBorder="1" applyAlignment="1" applyProtection="1">
      <alignment horizontal="center" vertical="center" wrapText="1"/>
    </xf>
    <xf numFmtId="183" fontId="12" fillId="0" borderId="16" xfId="0" applyNumberFormat="1" applyFont="1" applyFill="1" applyBorder="1" applyAlignment="1" applyProtection="1">
      <alignment horizontal="center" vertical="center"/>
    </xf>
    <xf numFmtId="183" fontId="12" fillId="0" borderId="16" xfId="164" applyNumberFormat="1" applyFont="1" applyFill="1" applyBorder="1" applyAlignment="1" applyProtection="1">
      <alignment horizontal="center" vertical="center" wrapText="1"/>
    </xf>
    <xf numFmtId="183" fontId="12" fillId="0" borderId="16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179" fontId="12" fillId="5" borderId="16" xfId="164" applyNumberFormat="1" applyFont="1" applyFill="1" applyBorder="1" applyAlignment="1">
      <alignment horizontal="center" vertical="center" wrapText="1"/>
    </xf>
    <xf numFmtId="0" fontId="13" fillId="0" borderId="16" xfId="164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/>
    </xf>
    <xf numFmtId="177" fontId="13" fillId="0" borderId="16" xfId="0" applyNumberFormat="1" applyFont="1" applyFill="1" applyBorder="1" applyAlignment="1">
      <alignment horizontal="center" vertical="center"/>
    </xf>
    <xf numFmtId="177" fontId="13" fillId="0" borderId="16" xfId="156" applyNumberFormat="1" applyFont="1" applyFill="1" applyBorder="1" applyAlignment="1">
      <alignment horizontal="center" vertical="center"/>
    </xf>
    <xf numFmtId="177" fontId="12" fillId="0" borderId="16" xfId="156" applyNumberFormat="1" applyFont="1" applyFill="1" applyBorder="1" applyAlignment="1">
      <alignment horizontal="center" vertical="center"/>
    </xf>
    <xf numFmtId="177" fontId="12" fillId="0" borderId="16" xfId="0" applyNumberFormat="1" applyFont="1" applyFill="1" applyBorder="1" applyAlignment="1" applyProtection="1">
      <alignment horizontal="center" vertical="center"/>
    </xf>
    <xf numFmtId="177" fontId="13" fillId="0" borderId="16" xfId="0" applyNumberFormat="1" applyFont="1" applyFill="1" applyBorder="1" applyAlignment="1" applyProtection="1">
      <alignment horizontal="center" vertical="center"/>
    </xf>
    <xf numFmtId="179" fontId="12" fillId="0" borderId="16" xfId="0" applyNumberFormat="1" applyFont="1" applyFill="1" applyBorder="1" applyAlignment="1">
      <alignment horizontal="center" vertical="center"/>
    </xf>
    <xf numFmtId="179" fontId="12" fillId="0" borderId="0" xfId="0" applyNumberFormat="1" applyFont="1" applyFill="1" applyAlignment="1">
      <alignment horizontal="center" vertical="center"/>
    </xf>
    <xf numFmtId="0" fontId="12" fillId="5" borderId="16" xfId="0" applyFont="1" applyFill="1" applyBorder="1" applyAlignment="1">
      <alignment horizontal="center" vertical="center" wrapText="1"/>
    </xf>
    <xf numFmtId="188" fontId="12" fillId="0" borderId="16" xfId="164" applyNumberFormat="1" applyFont="1" applyFill="1" applyBorder="1" applyAlignment="1">
      <alignment horizontal="center"/>
    </xf>
    <xf numFmtId="188" fontId="12" fillId="0" borderId="16" xfId="156" applyNumberFormat="1" applyFont="1" applyFill="1" applyBorder="1" applyAlignment="1">
      <alignment horizontal="center" vertical="center"/>
    </xf>
    <xf numFmtId="188" fontId="12" fillId="0" borderId="16" xfId="0" applyNumberFormat="1" applyFont="1" applyFill="1" applyBorder="1" applyAlignment="1">
      <alignment horizontal="center" vertical="center"/>
    </xf>
    <xf numFmtId="0" fontId="12" fillId="5" borderId="17" xfId="164" applyFont="1" applyFill="1" applyBorder="1" applyAlignment="1">
      <alignment horizontal="center" vertical="center" wrapText="1"/>
    </xf>
    <xf numFmtId="0" fontId="12" fillId="5" borderId="18" xfId="164" applyFont="1" applyFill="1" applyBorder="1" applyAlignment="1">
      <alignment horizontal="center" vertical="center" wrapText="1"/>
    </xf>
    <xf numFmtId="0" fontId="12" fillId="5" borderId="16" xfId="164" applyFont="1" applyFill="1" applyBorder="1" applyAlignment="1">
      <alignment horizontal="center" vertical="center"/>
    </xf>
    <xf numFmtId="0" fontId="12" fillId="5" borderId="16" xfId="0" applyFont="1" applyFill="1" applyBorder="1" applyAlignment="1" applyProtection="1">
      <alignment horizontal="center" vertical="center" wrapText="1"/>
    </xf>
    <xf numFmtId="182" fontId="12" fillId="0" borderId="16" xfId="0" applyNumberFormat="1" applyFont="1" applyFill="1" applyBorder="1" applyAlignment="1">
      <alignment horizontal="center" vertical="center"/>
    </xf>
    <xf numFmtId="182" fontId="12" fillId="0" borderId="16" xfId="156" applyNumberFormat="1" applyFont="1" applyFill="1" applyBorder="1" applyAlignment="1">
      <alignment horizontal="center" vertical="center"/>
    </xf>
    <xf numFmtId="0" fontId="12" fillId="5" borderId="19" xfId="164" applyFont="1" applyFill="1" applyBorder="1" applyAlignment="1">
      <alignment horizontal="center" vertical="center" wrapText="1"/>
    </xf>
    <xf numFmtId="182" fontId="12" fillId="6" borderId="16" xfId="0" applyNumberFormat="1" applyFont="1" applyFill="1" applyBorder="1" applyAlignment="1">
      <alignment horizontal="center" vertical="center"/>
    </xf>
    <xf numFmtId="177" fontId="12" fillId="0" borderId="16" xfId="0" applyNumberFormat="1" applyFont="1" applyFill="1" applyBorder="1" applyAlignment="1" applyProtection="1">
      <alignment horizontal="center" vertical="center" wrapText="1"/>
    </xf>
    <xf numFmtId="177" fontId="12" fillId="0" borderId="16" xfId="164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78" fontId="12" fillId="0" borderId="16" xfId="0" applyNumberFormat="1" applyFont="1" applyFill="1" applyBorder="1" applyAlignment="1">
      <alignment horizontal="center" vertical="center"/>
    </xf>
    <xf numFmtId="178" fontId="12" fillId="0" borderId="16" xfId="156" applyNumberFormat="1" applyFont="1" applyFill="1" applyBorder="1" applyAlignment="1">
      <alignment horizontal="center" vertical="center"/>
    </xf>
    <xf numFmtId="178" fontId="12" fillId="0" borderId="16" xfId="0" applyNumberFormat="1" applyFont="1" applyFill="1" applyBorder="1" applyAlignment="1" applyProtection="1">
      <alignment horizontal="center" vertical="center"/>
    </xf>
    <xf numFmtId="180" fontId="12" fillId="0" borderId="16" xfId="0" applyNumberFormat="1" applyFont="1" applyFill="1" applyBorder="1" applyAlignment="1">
      <alignment horizontal="center" vertical="center"/>
    </xf>
    <xf numFmtId="179" fontId="13" fillId="0" borderId="16" xfId="0" applyNumberFormat="1" applyFont="1" applyFill="1" applyBorder="1" applyAlignment="1">
      <alignment horizontal="center" vertical="center"/>
    </xf>
    <xf numFmtId="179" fontId="13" fillId="0" borderId="16" xfId="156" applyNumberFormat="1" applyFont="1" applyFill="1" applyBorder="1" applyAlignment="1">
      <alignment horizontal="center" vertical="center"/>
    </xf>
    <xf numFmtId="180" fontId="12" fillId="0" borderId="16" xfId="156" applyNumberFormat="1" applyFont="1" applyFill="1" applyBorder="1" applyAlignment="1">
      <alignment horizontal="center" vertical="center"/>
    </xf>
    <xf numFmtId="182" fontId="12" fillId="0" borderId="0" xfId="0" applyNumberFormat="1" applyFont="1" applyFill="1" applyAlignment="1">
      <alignment horizontal="center" vertical="center"/>
    </xf>
    <xf numFmtId="184" fontId="12" fillId="0" borderId="16" xfId="0" applyNumberFormat="1" applyFont="1" applyFill="1" applyBorder="1" applyAlignment="1">
      <alignment horizontal="center" vertical="center"/>
    </xf>
    <xf numFmtId="184" fontId="12" fillId="0" borderId="16" xfId="156" applyNumberFormat="1" applyFont="1" applyFill="1" applyBorder="1" applyAlignment="1">
      <alignment horizontal="center" vertical="center"/>
    </xf>
    <xf numFmtId="183" fontId="13" fillId="0" borderId="16" xfId="0" applyNumberFormat="1" applyFont="1" applyFill="1" applyBorder="1" applyAlignment="1">
      <alignment horizontal="center" vertical="center"/>
    </xf>
    <xf numFmtId="185" fontId="12" fillId="0" borderId="16" xfId="156" applyNumberFormat="1" applyFont="1" applyFill="1" applyBorder="1" applyAlignment="1">
      <alignment horizontal="center" vertical="center"/>
    </xf>
    <xf numFmtId="184" fontId="12" fillId="0" borderId="0" xfId="0" applyNumberFormat="1" applyFont="1" applyFill="1" applyAlignment="1">
      <alignment horizontal="center" vertical="center"/>
    </xf>
    <xf numFmtId="180" fontId="12" fillId="0" borderId="0" xfId="0" applyNumberFormat="1" applyFont="1" applyFill="1" applyAlignment="1">
      <alignment horizontal="center" vertical="center"/>
    </xf>
    <xf numFmtId="180" fontId="12" fillId="5" borderId="16" xfId="156" applyNumberFormat="1" applyFont="1" applyFill="1" applyBorder="1" applyAlignment="1">
      <alignment horizontal="center" vertical="center"/>
    </xf>
    <xf numFmtId="0" fontId="13" fillId="5" borderId="17" xfId="164" applyFont="1" applyFill="1" applyBorder="1" applyAlignment="1">
      <alignment horizontal="center" vertical="center" wrapText="1"/>
    </xf>
    <xf numFmtId="0" fontId="13" fillId="5" borderId="18" xfId="164" applyFont="1" applyFill="1" applyBorder="1" applyAlignment="1">
      <alignment horizontal="center" vertical="center" wrapText="1"/>
    </xf>
    <xf numFmtId="184" fontId="13" fillId="0" borderId="16" xfId="156" applyNumberFormat="1" applyFont="1" applyFill="1" applyBorder="1" applyAlignment="1">
      <alignment horizontal="center" vertical="center"/>
    </xf>
    <xf numFmtId="0" fontId="13" fillId="5" borderId="19" xfId="164" applyFont="1" applyFill="1" applyBorder="1" applyAlignment="1">
      <alignment horizontal="center" vertical="center" wrapText="1"/>
    </xf>
    <xf numFmtId="0" fontId="12" fillId="0" borderId="17" xfId="164" applyFont="1" applyFill="1" applyBorder="1" applyAlignment="1">
      <alignment horizontal="center" vertical="center" wrapText="1"/>
    </xf>
    <xf numFmtId="49" fontId="14" fillId="7" borderId="20" xfId="0" applyNumberFormat="1" applyFont="1" applyFill="1" applyBorder="1" applyAlignment="1" applyProtection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1" fillId="8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189" fontId="1" fillId="0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horizontal="center" vertical="center"/>
    </xf>
    <xf numFmtId="189" fontId="5" fillId="1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189" fontId="5" fillId="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indent="1"/>
    </xf>
    <xf numFmtId="0" fontId="1" fillId="8" borderId="1" xfId="0" applyFont="1" applyFill="1" applyBorder="1" applyAlignment="1">
      <alignment horizontal="center" vertical="center" wrapText="1"/>
    </xf>
    <xf numFmtId="180" fontId="5" fillId="10" borderId="1" xfId="0" applyNumberFormat="1" applyFont="1" applyFill="1" applyBorder="1" applyAlignment="1">
      <alignment horizontal="center" vertical="center"/>
    </xf>
    <xf numFmtId="190" fontId="1" fillId="0" borderId="1" xfId="0" applyNumberFormat="1" applyFont="1" applyFill="1" applyBorder="1" applyAlignment="1">
      <alignment horizontal="center" vertical="center"/>
    </xf>
    <xf numFmtId="190" fontId="5" fillId="10" borderId="1" xfId="0" applyNumberFormat="1" applyFont="1" applyFill="1" applyBorder="1" applyAlignment="1">
      <alignment horizontal="center" vertical="center"/>
    </xf>
    <xf numFmtId="190" fontId="5" fillId="0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178" fontId="1" fillId="8" borderId="1" xfId="0" applyNumberFormat="1" applyFont="1" applyFill="1" applyBorder="1" applyAlignment="1">
      <alignment horizontal="center" vertical="center"/>
    </xf>
    <xf numFmtId="178" fontId="5" fillId="1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8" borderId="2" xfId="162" applyFont="1" applyFill="1" applyBorder="1" applyAlignment="1" applyProtection="1">
      <alignment horizontal="center" vertical="center"/>
    </xf>
    <xf numFmtId="0" fontId="5" fillId="8" borderId="3" xfId="162" applyFont="1" applyFill="1" applyBorder="1" applyAlignment="1" applyProtection="1">
      <alignment horizontal="center" vertical="center"/>
    </xf>
    <xf numFmtId="0" fontId="5" fillId="8" borderId="4" xfId="162" applyFont="1" applyFill="1" applyBorder="1" applyAlignment="1" applyProtection="1">
      <alignment horizontal="center" vertical="center"/>
    </xf>
    <xf numFmtId="0" fontId="5" fillId="8" borderId="1" xfId="162" applyFont="1" applyFill="1" applyBorder="1" applyAlignment="1" applyProtection="1">
      <alignment horizontal="center" vertical="center" wrapText="1"/>
    </xf>
    <xf numFmtId="181" fontId="5" fillId="0" borderId="1" xfId="162" applyNumberFormat="1" applyFont="1" applyFill="1" applyBorder="1" applyAlignment="1" applyProtection="1">
      <alignment horizontal="center" vertical="center" wrapText="1"/>
    </xf>
    <xf numFmtId="181" fontId="5" fillId="10" borderId="1" xfId="162" applyNumberFormat="1" applyFont="1" applyFill="1" applyBorder="1" applyAlignment="1" applyProtection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49" fontId="16" fillId="8" borderId="1" xfId="0" applyNumberFormat="1" applyFont="1" applyFill="1" applyBorder="1" applyAlignment="1">
      <alignment horizontal="center" vertical="center"/>
    </xf>
    <xf numFmtId="182" fontId="5" fillId="10" borderId="1" xfId="0" applyNumberFormat="1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/>
    </xf>
    <xf numFmtId="182" fontId="5" fillId="10" borderId="15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5" fillId="1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5" fillId="10" borderId="1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 wrapText="1"/>
    </xf>
    <xf numFmtId="178" fontId="5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indent="1"/>
    </xf>
    <xf numFmtId="185" fontId="5" fillId="10" borderId="1" xfId="0" applyNumberFormat="1" applyFont="1" applyFill="1" applyBorder="1" applyAlignment="1">
      <alignment horizontal="center" vertical="center"/>
    </xf>
    <xf numFmtId="185" fontId="5" fillId="0" borderId="1" xfId="0" applyNumberFormat="1" applyFont="1" applyFill="1" applyBorder="1" applyAlignment="1">
      <alignment horizontal="center" vertical="center"/>
    </xf>
    <xf numFmtId="182" fontId="5" fillId="10" borderId="1" xfId="0" applyNumberFormat="1" applyFont="1" applyFill="1" applyBorder="1" applyAlignment="1">
      <alignment horizontal="center" vertical="center" wrapText="1"/>
    </xf>
    <xf numFmtId="0" fontId="5" fillId="8" borderId="1" xfId="162" applyFont="1" applyFill="1" applyBorder="1" applyAlignment="1" applyProtection="1">
      <alignment horizontal="center" vertical="center"/>
    </xf>
    <xf numFmtId="182" fontId="5" fillId="9" borderId="1" xfId="0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178" fontId="5" fillId="9" borderId="2" xfId="0" applyNumberFormat="1" applyFont="1" applyFill="1" applyBorder="1" applyAlignment="1">
      <alignment horizontal="center" vertical="center"/>
    </xf>
    <xf numFmtId="178" fontId="5" fillId="9" borderId="3" xfId="0" applyNumberFormat="1" applyFont="1" applyFill="1" applyBorder="1" applyAlignment="1">
      <alignment horizontal="center" vertical="center"/>
    </xf>
    <xf numFmtId="181" fontId="5" fillId="10" borderId="15" xfId="162" applyNumberFormat="1" applyFont="1" applyFill="1" applyBorder="1" applyAlignment="1" applyProtection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/>
    </xf>
    <xf numFmtId="182" fontId="1" fillId="0" borderId="2" xfId="0" applyNumberFormat="1" applyFont="1" applyFill="1" applyBorder="1" applyAlignment="1">
      <alignment horizontal="center" vertical="center"/>
    </xf>
    <xf numFmtId="182" fontId="1" fillId="0" borderId="4" xfId="0" applyNumberFormat="1" applyFont="1" applyFill="1" applyBorder="1" applyAlignment="1">
      <alignment horizontal="center" vertical="center"/>
    </xf>
    <xf numFmtId="178" fontId="5" fillId="9" borderId="4" xfId="0" applyNumberFormat="1" applyFont="1" applyFill="1" applyBorder="1" applyAlignment="1">
      <alignment horizontal="center" vertical="center"/>
    </xf>
    <xf numFmtId="182" fontId="5" fillId="9" borderId="2" xfId="0" applyNumberFormat="1" applyFont="1" applyFill="1" applyBorder="1" applyAlignment="1">
      <alignment horizontal="center" vertical="center"/>
    </xf>
    <xf numFmtId="182" fontId="5" fillId="9" borderId="4" xfId="0" applyNumberFormat="1" applyFont="1" applyFill="1" applyBorder="1" applyAlignment="1">
      <alignment horizontal="center" vertical="center"/>
    </xf>
    <xf numFmtId="182" fontId="5" fillId="0" borderId="2" xfId="0" applyNumberFormat="1" applyFont="1" applyFill="1" applyBorder="1" applyAlignment="1">
      <alignment horizontal="center" vertical="center"/>
    </xf>
    <xf numFmtId="182" fontId="5" fillId="0" borderId="4" xfId="0" applyNumberFormat="1" applyFont="1" applyFill="1" applyBorder="1" applyAlignment="1">
      <alignment horizontal="center" vertical="center"/>
    </xf>
    <xf numFmtId="182" fontId="5" fillId="10" borderId="2" xfId="0" applyNumberFormat="1" applyFont="1" applyFill="1" applyBorder="1" applyAlignment="1">
      <alignment horizontal="center" vertical="center"/>
    </xf>
    <xf numFmtId="182" fontId="5" fillId="10" borderId="4" xfId="0" applyNumberFormat="1" applyFont="1" applyFill="1" applyBorder="1" applyAlignment="1">
      <alignment horizontal="center" vertical="center"/>
    </xf>
    <xf numFmtId="0" fontId="18" fillId="2" borderId="0" xfId="162" applyFont="1" applyFill="1" applyAlignment="1" applyProtection="1"/>
    <xf numFmtId="0" fontId="18" fillId="2" borderId="0" xfId="162" applyFont="1" applyFill="1" applyAlignment="1" applyProtection="1">
      <alignment horizontal="center"/>
    </xf>
    <xf numFmtId="0" fontId="19" fillId="2" borderId="0" xfId="162" applyFont="1" applyFill="1" applyAlignment="1" applyProtection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2" fillId="2" borderId="6" xfId="162" applyFont="1" applyFill="1" applyBorder="1" applyAlignment="1" applyProtection="1">
      <alignment horizontal="center" vertical="center"/>
    </xf>
    <xf numFmtId="0" fontId="22" fillId="2" borderId="7" xfId="162" applyFont="1" applyFill="1" applyBorder="1" applyAlignment="1" applyProtection="1">
      <alignment horizontal="center" vertical="center"/>
    </xf>
    <xf numFmtId="0" fontId="18" fillId="2" borderId="0" xfId="162" applyFont="1" applyFill="1" applyBorder="1" applyAlignment="1" applyProtection="1">
      <alignment horizontal="center"/>
    </xf>
    <xf numFmtId="0" fontId="23" fillId="2" borderId="2" xfId="162" applyFont="1" applyFill="1" applyBorder="1" applyAlignment="1" applyProtection="1">
      <alignment horizontal="right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2" fillId="2" borderId="9" xfId="162" applyFont="1" applyFill="1" applyBorder="1" applyAlignment="1" applyProtection="1">
      <alignment horizontal="center" vertical="center"/>
    </xf>
    <xf numFmtId="0" fontId="22" fillId="2" borderId="10" xfId="162" applyFont="1" applyFill="1" applyBorder="1" applyAlignment="1" applyProtection="1">
      <alignment horizontal="center" vertical="center"/>
    </xf>
    <xf numFmtId="0" fontId="24" fillId="2" borderId="1" xfId="162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5" fillId="2" borderId="0" xfId="0" applyFont="1" applyFill="1" applyBorder="1" applyAlignment="1"/>
    <xf numFmtId="0" fontId="24" fillId="2" borderId="1" xfId="162" applyFont="1" applyFill="1" applyBorder="1" applyAlignment="1" applyProtection="1">
      <alignment horizontal="center" vertical="center" wrapText="1"/>
    </xf>
    <xf numFmtId="0" fontId="26" fillId="2" borderId="1" xfId="162" applyFont="1" applyFill="1" applyBorder="1" applyAlignment="1" applyProtection="1">
      <alignment horizontal="center" vertical="center"/>
    </xf>
    <xf numFmtId="0" fontId="26" fillId="2" borderId="2" xfId="162" applyFont="1" applyFill="1" applyBorder="1" applyAlignment="1" applyProtection="1">
      <alignment horizontal="center" vertical="center" wrapText="1"/>
    </xf>
    <xf numFmtId="0" fontId="26" fillId="2" borderId="3" xfId="162" applyFont="1" applyFill="1" applyBorder="1" applyAlignment="1" applyProtection="1">
      <alignment horizontal="center" vertical="center" wrapText="1"/>
    </xf>
    <xf numFmtId="0" fontId="26" fillId="2" borderId="4" xfId="162" applyFont="1" applyFill="1" applyBorder="1" applyAlignment="1" applyProtection="1">
      <alignment horizontal="center" vertical="center" wrapText="1"/>
    </xf>
    <xf numFmtId="0" fontId="26" fillId="2" borderId="0" xfId="162" applyFont="1" applyFill="1" applyBorder="1" applyAlignment="1" applyProtection="1">
      <alignment horizontal="center"/>
    </xf>
    <xf numFmtId="189" fontId="26" fillId="2" borderId="1" xfId="162" applyNumberFormat="1" applyFont="1" applyFill="1" applyBorder="1" applyAlignment="1" applyProtection="1">
      <alignment horizontal="center" vertical="center"/>
    </xf>
    <xf numFmtId="189" fontId="26" fillId="2" borderId="0" xfId="162" applyNumberFormat="1" applyFont="1" applyFill="1" applyBorder="1" applyAlignment="1" applyProtection="1">
      <alignment horizontal="center"/>
    </xf>
    <xf numFmtId="0" fontId="26" fillId="2" borderId="1" xfId="162" applyFont="1" applyFill="1" applyBorder="1" applyAlignment="1" applyProtection="1">
      <alignment horizontal="center" vertical="center" wrapText="1"/>
    </xf>
    <xf numFmtId="178" fontId="26" fillId="2" borderId="2" xfId="162" applyNumberFormat="1" applyFont="1" applyFill="1" applyBorder="1" applyAlignment="1" applyProtection="1">
      <alignment horizontal="center" vertical="center" wrapText="1"/>
    </xf>
    <xf numFmtId="178" fontId="26" fillId="2" borderId="3" xfId="162" applyNumberFormat="1" applyFont="1" applyFill="1" applyBorder="1" applyAlignment="1" applyProtection="1">
      <alignment horizontal="center" vertical="center" wrapText="1"/>
    </xf>
    <xf numFmtId="178" fontId="26" fillId="2" borderId="4" xfId="162" applyNumberFormat="1" applyFont="1" applyFill="1" applyBorder="1" applyAlignment="1" applyProtection="1">
      <alignment horizontal="center" vertical="center" wrapText="1"/>
    </xf>
    <xf numFmtId="189" fontId="26" fillId="2" borderId="2" xfId="162" applyNumberFormat="1" applyFont="1" applyFill="1" applyBorder="1" applyAlignment="1" applyProtection="1">
      <alignment horizontal="center" vertical="center"/>
    </xf>
    <xf numFmtId="189" fontId="26" fillId="2" borderId="4" xfId="162" applyNumberFormat="1" applyFont="1" applyFill="1" applyBorder="1" applyAlignment="1" applyProtection="1">
      <alignment horizontal="center" vertical="center"/>
    </xf>
    <xf numFmtId="0" fontId="26" fillId="2" borderId="0" xfId="162" applyFont="1" applyFill="1" applyAlignment="1" applyProtection="1"/>
    <xf numFmtId="0" fontId="27" fillId="2" borderId="5" xfId="162" applyFont="1" applyFill="1" applyBorder="1" applyAlignment="1" applyProtection="1">
      <alignment horizontal="center" vertical="center" wrapText="1"/>
    </xf>
    <xf numFmtId="0" fontId="27" fillId="2" borderId="8" xfId="162" applyFont="1" applyFill="1" applyBorder="1" applyAlignment="1" applyProtection="1">
      <alignment horizontal="center" vertical="center" wrapText="1"/>
    </xf>
    <xf numFmtId="0" fontId="24" fillId="2" borderId="2" xfId="162" applyFont="1" applyFill="1" applyBorder="1" applyAlignment="1" applyProtection="1">
      <alignment horizontal="center" vertical="center"/>
    </xf>
    <xf numFmtId="0" fontId="26" fillId="2" borderId="2" xfId="162" applyFont="1" applyFill="1" applyBorder="1" applyAlignment="1" applyProtection="1">
      <alignment horizontal="center" vertical="center"/>
    </xf>
    <xf numFmtId="0" fontId="28" fillId="2" borderId="2" xfId="162" applyFont="1" applyFill="1" applyBorder="1" applyAlignment="1" applyProtection="1">
      <alignment horizontal="center" vertical="center"/>
    </xf>
    <xf numFmtId="0" fontId="25" fillId="2" borderId="0" xfId="162" applyFont="1" applyFill="1" applyBorder="1" applyAlignment="1" applyProtection="1">
      <alignment horizontal="center"/>
    </xf>
    <xf numFmtId="0" fontId="26" fillId="2" borderId="0" xfId="162" applyFont="1" applyFill="1" applyAlignment="1" applyProtection="1">
      <alignment horizontal="center"/>
    </xf>
    <xf numFmtId="191" fontId="26" fillId="2" borderId="0" xfId="162" applyNumberFormat="1" applyFont="1" applyFill="1" applyBorder="1" applyAlignment="1" applyProtection="1">
      <alignment horizontal="center"/>
    </xf>
    <xf numFmtId="0" fontId="24" fillId="2" borderId="3" xfId="162" applyFont="1" applyFill="1" applyBorder="1" applyAlignment="1" applyProtection="1">
      <alignment horizontal="center" vertical="center"/>
    </xf>
    <xf numFmtId="0" fontId="24" fillId="2" borderId="4" xfId="162" applyFont="1" applyFill="1" applyBorder="1" applyAlignment="1" applyProtection="1">
      <alignment horizontal="center" vertical="center"/>
    </xf>
    <xf numFmtId="0" fontId="29" fillId="2" borderId="1" xfId="162" applyFont="1" applyFill="1" applyBorder="1" applyAlignment="1" applyProtection="1">
      <alignment horizontal="center" vertical="center"/>
    </xf>
    <xf numFmtId="191" fontId="26" fillId="2" borderId="2" xfId="162" applyNumberFormat="1" applyFont="1" applyFill="1" applyBorder="1" applyAlignment="1" applyProtection="1">
      <alignment horizontal="center" vertical="center"/>
    </xf>
    <xf numFmtId="191" fontId="26" fillId="2" borderId="3" xfId="162" applyNumberFormat="1" applyFont="1" applyFill="1" applyBorder="1" applyAlignment="1" applyProtection="1">
      <alignment horizontal="center" vertical="center"/>
    </xf>
    <xf numFmtId="191" fontId="26" fillId="2" borderId="4" xfId="162" applyNumberFormat="1" applyFont="1" applyFill="1" applyBorder="1" applyAlignment="1" applyProtection="1">
      <alignment horizontal="center" vertical="center"/>
    </xf>
    <xf numFmtId="0" fontId="30" fillId="2" borderId="1" xfId="162" applyFont="1" applyFill="1" applyBorder="1" applyAlignment="1" applyProtection="1">
      <alignment horizontal="center" vertical="center" wrapText="1"/>
    </xf>
    <xf numFmtId="0" fontId="25" fillId="2" borderId="0" xfId="162" applyFont="1" applyFill="1" applyBorder="1" applyAlignment="1" applyProtection="1">
      <alignment wrapText="1"/>
    </xf>
    <xf numFmtId="0" fontId="26" fillId="2" borderId="0" xfId="162" applyFont="1" applyFill="1" applyAlignment="1" applyProtection="1">
      <alignment vertical="center"/>
    </xf>
    <xf numFmtId="0" fontId="26" fillId="2" borderId="0" xfId="162" applyFont="1" applyFill="1" applyAlignment="1" applyProtection="1">
      <alignment horizontal="center" vertical="center"/>
    </xf>
    <xf numFmtId="0" fontId="24" fillId="2" borderId="0" xfId="162" applyFont="1" applyFill="1" applyBorder="1" applyAlignment="1" applyProtection="1">
      <alignment horizontal="center" vertical="center"/>
    </xf>
    <xf numFmtId="181" fontId="26" fillId="2" borderId="0" xfId="162" applyNumberFormat="1" applyFont="1" applyFill="1" applyBorder="1" applyAlignment="1" applyProtection="1">
      <alignment horizontal="center"/>
    </xf>
    <xf numFmtId="178" fontId="26" fillId="2" borderId="1" xfId="162" applyNumberFormat="1" applyFont="1" applyFill="1" applyBorder="1" applyAlignment="1" applyProtection="1">
      <alignment vertical="center"/>
    </xf>
    <xf numFmtId="178" fontId="26" fillId="2" borderId="0" xfId="162" applyNumberFormat="1" applyFont="1" applyFill="1" applyBorder="1" applyAlignment="1" applyProtection="1">
      <alignment vertical="center"/>
    </xf>
    <xf numFmtId="0" fontId="26" fillId="2" borderId="4" xfId="162" applyFont="1" applyFill="1" applyBorder="1" applyAlignment="1" applyProtection="1">
      <alignment horizontal="center" vertical="center"/>
    </xf>
    <xf numFmtId="179" fontId="26" fillId="2" borderId="1" xfId="162" applyNumberFormat="1" applyFont="1" applyFill="1" applyBorder="1" applyAlignment="1" applyProtection="1">
      <alignment horizontal="center" vertical="center"/>
    </xf>
    <xf numFmtId="0" fontId="27" fillId="2" borderId="2" xfId="162" applyFont="1" applyFill="1" applyBorder="1" applyAlignment="1" applyProtection="1">
      <alignment horizontal="center" vertical="center" wrapText="1"/>
    </xf>
    <xf numFmtId="0" fontId="24" fillId="2" borderId="21" xfId="162" applyFont="1" applyFill="1" applyBorder="1" applyAlignment="1" applyProtection="1">
      <alignment horizontal="center" vertical="center" wrapText="1"/>
    </xf>
    <xf numFmtId="0" fontId="24" fillId="2" borderId="22" xfId="162" applyFont="1" applyFill="1" applyBorder="1" applyAlignment="1" applyProtection="1">
      <alignment horizontal="center" vertical="center" wrapText="1"/>
    </xf>
    <xf numFmtId="0" fontId="24" fillId="2" borderId="23" xfId="162" applyFont="1" applyFill="1" applyBorder="1" applyAlignment="1" applyProtection="1">
      <alignment horizontal="center" vertical="center" wrapText="1"/>
    </xf>
    <xf numFmtId="0" fontId="27" fillId="2" borderId="1" xfId="162" applyFont="1" applyFill="1" applyBorder="1" applyAlignment="1" applyProtection="1">
      <alignment horizontal="center" vertical="center" wrapText="1"/>
    </xf>
    <xf numFmtId="0" fontId="24" fillId="2" borderId="14" xfId="162" applyFont="1" applyFill="1" applyBorder="1" applyAlignment="1" applyProtection="1">
      <alignment horizontal="center" vertical="center"/>
    </xf>
    <xf numFmtId="49" fontId="26" fillId="2" borderId="2" xfId="162" applyNumberFormat="1" applyFont="1" applyFill="1" applyBorder="1" applyAlignment="1" applyProtection="1">
      <alignment horizontal="center" vertical="center" wrapText="1"/>
    </xf>
    <xf numFmtId="179" fontId="26" fillId="2" borderId="1" xfId="162" applyNumberFormat="1" applyFont="1" applyFill="1" applyBorder="1" applyAlignment="1" applyProtection="1">
      <alignment horizontal="center" vertical="center" wrapText="1"/>
    </xf>
    <xf numFmtId="179" fontId="26" fillId="2" borderId="2" xfId="162" applyNumberFormat="1" applyFont="1" applyFill="1" applyBorder="1" applyAlignment="1" applyProtection="1">
      <alignment horizontal="center" vertical="center"/>
    </xf>
    <xf numFmtId="179" fontId="26" fillId="2" borderId="4" xfId="162" applyNumberFormat="1" applyFont="1" applyFill="1" applyBorder="1" applyAlignment="1" applyProtection="1">
      <alignment horizontal="center" vertical="center"/>
    </xf>
    <xf numFmtId="49" fontId="26" fillId="2" borderId="2" xfId="162" applyNumberFormat="1" applyFont="1" applyFill="1" applyBorder="1" applyAlignment="1" applyProtection="1">
      <alignment horizontal="center" vertical="center"/>
    </xf>
    <xf numFmtId="0" fontId="26" fillId="2" borderId="5" xfId="162" applyFont="1" applyFill="1" applyBorder="1" applyAlignment="1" applyProtection="1">
      <alignment horizontal="center" vertical="center"/>
    </xf>
    <xf numFmtId="179" fontId="18" fillId="2" borderId="0" xfId="162" applyNumberFormat="1" applyFont="1" applyFill="1" applyBorder="1" applyAlignment="1" applyProtection="1">
      <alignment horizontal="center"/>
    </xf>
    <xf numFmtId="179" fontId="18" fillId="2" borderId="0" xfId="162" applyNumberFormat="1" applyFont="1" applyFill="1" applyBorder="1" applyAlignment="1" applyProtection="1">
      <alignment horizontal="center" wrapText="1"/>
    </xf>
    <xf numFmtId="0" fontId="22" fillId="2" borderId="0" xfId="162" applyFont="1" applyFill="1" applyAlignment="1" applyProtection="1">
      <alignment horizontal="center" vertical="center"/>
    </xf>
    <xf numFmtId="192" fontId="23" fillId="2" borderId="3" xfId="162" applyNumberFormat="1" applyFont="1" applyFill="1" applyBorder="1" applyAlignment="1" applyProtection="1">
      <alignment horizontal="left" vertical="center"/>
    </xf>
    <xf numFmtId="192" fontId="23" fillId="2" borderId="4" xfId="162" applyNumberFormat="1" applyFont="1" applyFill="1" applyBorder="1" applyAlignment="1" applyProtection="1">
      <alignment horizontal="left" vertical="center"/>
    </xf>
    <xf numFmtId="0" fontId="23" fillId="2" borderId="3" xfId="162" applyFont="1" applyFill="1" applyBorder="1" applyAlignment="1" applyProtection="1">
      <alignment horizontal="right" vertical="center"/>
    </xf>
    <xf numFmtId="178" fontId="23" fillId="2" borderId="3" xfId="162" applyNumberFormat="1" applyFont="1" applyFill="1" applyBorder="1" applyAlignment="1" applyProtection="1">
      <alignment horizontal="left" vertical="center"/>
    </xf>
    <xf numFmtId="178" fontId="23" fillId="2" borderId="4" xfId="162" applyNumberFormat="1" applyFont="1" applyFill="1" applyBorder="1" applyAlignment="1" applyProtection="1">
      <alignment horizontal="left" vertical="center"/>
    </xf>
    <xf numFmtId="0" fontId="23" fillId="2" borderId="2" xfId="162" applyFont="1" applyFill="1" applyBorder="1" applyAlignment="1" applyProtection="1">
      <alignment horizontal="right" vertical="center" wrapText="1"/>
    </xf>
    <xf numFmtId="192" fontId="18" fillId="2" borderId="0" xfId="162" applyNumberFormat="1" applyFont="1" applyFill="1" applyAlignment="1" applyProtection="1"/>
    <xf numFmtId="0" fontId="25" fillId="2" borderId="0" xfId="162" applyFont="1" applyFill="1" applyBorder="1" applyAlignment="1" applyProtection="1">
      <alignment vertical="center"/>
    </xf>
    <xf numFmtId="0" fontId="27" fillId="2" borderId="6" xfId="162" applyFont="1" applyFill="1" applyBorder="1" applyAlignment="1" applyProtection="1">
      <alignment horizontal="center" vertical="center" wrapText="1"/>
    </xf>
    <xf numFmtId="0" fontId="27" fillId="2" borderId="7" xfId="162" applyFont="1" applyFill="1" applyBorder="1" applyAlignment="1" applyProtection="1">
      <alignment horizontal="center" vertical="center" wrapText="1"/>
    </xf>
    <xf numFmtId="0" fontId="26" fillId="2" borderId="0" xfId="162" applyFont="1" applyFill="1" applyBorder="1" applyAlignment="1" applyProtection="1">
      <alignment vertical="center"/>
    </xf>
    <xf numFmtId="0" fontId="27" fillId="2" borderId="9" xfId="162" applyFont="1" applyFill="1" applyBorder="1" applyAlignment="1" applyProtection="1">
      <alignment horizontal="center" vertical="center" wrapText="1"/>
    </xf>
    <xf numFmtId="0" fontId="27" fillId="2" borderId="10" xfId="162" applyFont="1" applyFill="1" applyBorder="1" applyAlignment="1" applyProtection="1">
      <alignment horizontal="center" vertical="center" wrapText="1"/>
    </xf>
    <xf numFmtId="181" fontId="26" fillId="2" borderId="1" xfId="162" applyNumberFormat="1" applyFont="1" applyFill="1" applyBorder="1" applyAlignment="1" applyProtection="1">
      <alignment horizontal="center" vertical="center"/>
    </xf>
    <xf numFmtId="177" fontId="26" fillId="2" borderId="1" xfId="162" applyNumberFormat="1" applyFont="1" applyFill="1" applyBorder="1" applyAlignment="1" applyProtection="1">
      <alignment horizontal="center" vertical="center"/>
    </xf>
    <xf numFmtId="0" fontId="26" fillId="2" borderId="0" xfId="162" applyFont="1" applyFill="1" applyBorder="1" applyAlignment="1" applyProtection="1">
      <alignment horizontal="center" vertical="center"/>
    </xf>
    <xf numFmtId="0" fontId="25" fillId="2" borderId="6" xfId="162" applyFont="1" applyFill="1" applyBorder="1" applyAlignment="1" applyProtection="1">
      <alignment wrapText="1"/>
    </xf>
    <xf numFmtId="0" fontId="25" fillId="2" borderId="3" xfId="162" applyFont="1" applyFill="1" applyBorder="1" applyAlignment="1" applyProtection="1">
      <alignment wrapText="1"/>
    </xf>
    <xf numFmtId="0" fontId="24" fillId="2" borderId="5" xfId="162" applyFont="1" applyFill="1" applyBorder="1" applyAlignment="1" applyProtection="1">
      <alignment horizontal="center" vertical="center" wrapText="1"/>
    </xf>
    <xf numFmtId="181" fontId="26" fillId="2" borderId="2" xfId="162" applyNumberFormat="1" applyFont="1" applyFill="1" applyBorder="1" applyAlignment="1" applyProtection="1">
      <alignment horizontal="center" vertical="center" wrapText="1"/>
    </xf>
    <xf numFmtId="181" fontId="26" fillId="2" borderId="4" xfId="162" applyNumberFormat="1" applyFont="1" applyFill="1" applyBorder="1" applyAlignment="1" applyProtection="1">
      <alignment horizontal="center" vertical="center" wrapText="1"/>
    </xf>
    <xf numFmtId="0" fontId="24" fillId="2" borderId="15" xfId="162" applyFont="1" applyFill="1" applyBorder="1" applyAlignment="1" applyProtection="1">
      <alignment horizontal="center" vertical="center" wrapText="1"/>
    </xf>
    <xf numFmtId="49" fontId="26" fillId="2" borderId="8" xfId="162" applyNumberFormat="1" applyFont="1" applyFill="1" applyBorder="1" applyAlignment="1" applyProtection="1">
      <alignment horizontal="center" vertical="center"/>
    </xf>
    <xf numFmtId="49" fontId="26" fillId="2" borderId="10" xfId="162" applyNumberFormat="1" applyFont="1" applyFill="1" applyBorder="1" applyAlignment="1" applyProtection="1">
      <alignment horizontal="center" vertical="center"/>
    </xf>
    <xf numFmtId="182" fontId="26" fillId="2" borderId="11" xfId="162" applyNumberFormat="1" applyFont="1" applyFill="1" applyBorder="1" applyAlignment="1" applyProtection="1">
      <alignment horizontal="center" vertical="center"/>
    </xf>
    <xf numFmtId="177" fontId="26" fillId="2" borderId="0" xfId="162" applyNumberFormat="1" applyFont="1" applyFill="1" applyBorder="1" applyAlignment="1" applyProtection="1">
      <alignment horizontal="center"/>
    </xf>
    <xf numFmtId="49" fontId="26" fillId="2" borderId="4" xfId="162" applyNumberFormat="1" applyFont="1" applyFill="1" applyBorder="1" applyAlignment="1" applyProtection="1">
      <alignment horizontal="center" vertical="center"/>
    </xf>
    <xf numFmtId="182" fontId="26" fillId="2" borderId="1" xfId="162" applyNumberFormat="1" applyFont="1" applyFill="1" applyBorder="1" applyAlignment="1" applyProtection="1">
      <alignment horizontal="center" vertical="center"/>
    </xf>
    <xf numFmtId="182" fontId="26" fillId="2" borderId="0" xfId="162" applyNumberFormat="1" applyFont="1" applyFill="1" applyBorder="1" applyAlignment="1" applyProtection="1">
      <alignment horizontal="center"/>
    </xf>
    <xf numFmtId="0" fontId="28" fillId="2" borderId="4" xfId="162" applyFont="1" applyFill="1" applyBorder="1" applyAlignment="1" applyProtection="1">
      <alignment horizontal="center" vertical="center"/>
    </xf>
    <xf numFmtId="182" fontId="26" fillId="2" borderId="0" xfId="162" applyNumberFormat="1" applyFont="1" applyFill="1" applyBorder="1" applyAlignment="1" applyProtection="1"/>
    <xf numFmtId="185" fontId="26" fillId="2" borderId="1" xfId="162" applyNumberFormat="1" applyFont="1" applyFill="1" applyBorder="1" applyAlignment="1" applyProtection="1">
      <alignment horizontal="center" vertical="center"/>
    </xf>
    <xf numFmtId="180" fontId="26" fillId="2" borderId="0" xfId="162" applyNumberFormat="1" applyFont="1" applyFill="1" applyBorder="1" applyAlignment="1" applyProtection="1"/>
    <xf numFmtId="182" fontId="29" fillId="2" borderId="1" xfId="162" applyNumberFormat="1" applyFont="1" applyFill="1" applyBorder="1" applyAlignment="1" applyProtection="1">
      <alignment horizontal="center" vertical="center"/>
    </xf>
    <xf numFmtId="0" fontId="25" fillId="2" borderId="0" xfId="162" applyFont="1" applyFill="1" applyBorder="1" applyAlignment="1" applyProtection="1">
      <alignment horizontal="center" wrapText="1"/>
    </xf>
    <xf numFmtId="178" fontId="26" fillId="2" borderId="0" xfId="162" applyNumberFormat="1" applyFont="1" applyFill="1" applyBorder="1" applyAlignment="1" applyProtection="1">
      <alignment horizontal="center"/>
    </xf>
    <xf numFmtId="181" fontId="26" fillId="2" borderId="0" xfId="162" applyNumberFormat="1" applyFont="1" applyFill="1" applyBorder="1" applyAlignment="1" applyProtection="1">
      <alignment horizontal="center" wrapText="1"/>
    </xf>
    <xf numFmtId="180" fontId="26" fillId="2" borderId="1" xfId="162" applyNumberFormat="1" applyFont="1" applyFill="1" applyBorder="1" applyAlignment="1" applyProtection="1">
      <alignment horizontal="center" vertical="center"/>
    </xf>
    <xf numFmtId="0" fontId="25" fillId="2" borderId="0" xfId="162" applyFont="1" applyFill="1" applyBorder="1" applyAlignment="1" applyProtection="1"/>
    <xf numFmtId="178" fontId="26" fillId="2" borderId="1" xfId="162" applyNumberFormat="1" applyFont="1" applyFill="1" applyBorder="1" applyAlignment="1" applyProtection="1">
      <alignment horizontal="center" vertical="center"/>
    </xf>
    <xf numFmtId="0" fontId="26" fillId="2" borderId="0" xfId="162" applyFont="1" applyFill="1" applyBorder="1" applyAlignment="1" applyProtection="1"/>
    <xf numFmtId="0" fontId="24" fillId="2" borderId="24" xfId="162" applyFont="1" applyFill="1" applyBorder="1" applyAlignment="1" applyProtection="1">
      <alignment horizontal="center" vertical="center" wrapText="1"/>
    </xf>
    <xf numFmtId="179" fontId="26" fillId="2" borderId="2" xfId="162" applyNumberFormat="1" applyFont="1" applyFill="1" applyBorder="1" applyAlignment="1" applyProtection="1">
      <alignment horizontal="center" vertical="center" wrapText="1"/>
    </xf>
    <xf numFmtId="179" fontId="26" fillId="2" borderId="4" xfId="162" applyNumberFormat="1" applyFont="1" applyFill="1" applyBorder="1" applyAlignment="1" applyProtection="1">
      <alignment horizontal="center" vertical="center" wrapText="1"/>
    </xf>
    <xf numFmtId="179" fontId="26" fillId="2" borderId="0" xfId="162" applyNumberFormat="1" applyFont="1" applyFill="1" applyBorder="1" applyAlignment="1" applyProtection="1">
      <alignment horizontal="center" wrapText="1"/>
    </xf>
    <xf numFmtId="0" fontId="24" fillId="2" borderId="12" xfId="162" applyFont="1" applyFill="1" applyBorder="1" applyAlignment="1" applyProtection="1">
      <alignment horizontal="center" vertical="center" wrapText="1"/>
    </xf>
    <xf numFmtId="0" fontId="24" fillId="2" borderId="8" xfId="162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horizontal="center" vertical="center"/>
    </xf>
    <xf numFmtId="11" fontId="26" fillId="2" borderId="1" xfId="162" applyNumberFormat="1" applyFont="1" applyFill="1" applyBorder="1" applyAlignment="1" applyProtection="1">
      <alignment horizontal="center" vertical="center" wrapText="1"/>
    </xf>
    <xf numFmtId="11" fontId="18" fillId="2" borderId="0" xfId="162" applyNumberFormat="1" applyFont="1" applyFill="1" applyBorder="1" applyAlignment="1" applyProtection="1">
      <alignment horizontal="center" wrapText="1"/>
    </xf>
    <xf numFmtId="0" fontId="31" fillId="2" borderId="0" xfId="0" applyFont="1" applyFill="1">
      <alignment vertical="center"/>
    </xf>
    <xf numFmtId="0" fontId="23" fillId="2" borderId="3" xfId="162" applyFont="1" applyFill="1" applyBorder="1" applyAlignment="1" applyProtection="1">
      <alignment horizontal="right" vertical="center" wrapText="1"/>
    </xf>
    <xf numFmtId="193" fontId="23" fillId="2" borderId="3" xfId="162" applyNumberFormat="1" applyFont="1" applyFill="1" applyBorder="1" applyAlignment="1" applyProtection="1">
      <alignment horizontal="left" vertical="center" wrapText="1"/>
    </xf>
    <xf numFmtId="193" fontId="23" fillId="2" borderId="4" xfId="0" applyNumberFormat="1" applyFont="1" applyFill="1" applyBorder="1" applyAlignment="1">
      <alignment vertical="center"/>
    </xf>
    <xf numFmtId="180" fontId="26" fillId="2" borderId="2" xfId="162" applyNumberFormat="1" applyFont="1" applyFill="1" applyBorder="1" applyAlignment="1" applyProtection="1">
      <alignment horizontal="center" vertical="center"/>
    </xf>
    <xf numFmtId="180" fontId="26" fillId="2" borderId="4" xfId="162" applyNumberFormat="1" applyFont="1" applyFill="1" applyBorder="1" applyAlignment="1" applyProtection="1">
      <alignment horizontal="center" vertical="center"/>
    </xf>
    <xf numFmtId="180" fontId="18" fillId="2" borderId="0" xfId="162" applyNumberFormat="1" applyFont="1" applyFill="1" applyAlignment="1" applyProtection="1"/>
    <xf numFmtId="0" fontId="24" fillId="2" borderId="0" xfId="162" applyFont="1" applyFill="1" applyAlignment="1" applyProtection="1">
      <alignment horizontal="center" vertical="center" wrapText="1"/>
    </xf>
    <xf numFmtId="0" fontId="24" fillId="2" borderId="13" xfId="162" applyFont="1" applyFill="1" applyBorder="1" applyAlignment="1" applyProtection="1">
      <alignment horizontal="center" vertical="center" wrapText="1"/>
    </xf>
    <xf numFmtId="0" fontId="24" fillId="2" borderId="9" xfId="162" applyFont="1" applyFill="1" applyBorder="1" applyAlignment="1" applyProtection="1">
      <alignment horizontal="center" vertical="center" wrapText="1"/>
    </xf>
    <xf numFmtId="0" fontId="24" fillId="2" borderId="10" xfId="162" applyFont="1" applyFill="1" applyBorder="1" applyAlignment="1" applyProtection="1">
      <alignment horizontal="center" vertical="center" wrapText="1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4" xfId="0" applyFont="1" applyFill="1" applyBorder="1" applyAlignment="1" applyProtection="1">
      <alignment horizontal="center" vertical="center"/>
    </xf>
    <xf numFmtId="11" fontId="26" fillId="2" borderId="2" xfId="162" applyNumberFormat="1" applyFont="1" applyFill="1" applyBorder="1" applyAlignment="1" applyProtection="1">
      <alignment horizontal="center" vertical="center" wrapText="1"/>
    </xf>
    <xf numFmtId="11" fontId="26" fillId="2" borderId="4" xfId="162" applyNumberFormat="1" applyFont="1" applyFill="1" applyBorder="1" applyAlignment="1" applyProtection="1">
      <alignment horizontal="center" vertical="center" wrapText="1"/>
    </xf>
    <xf numFmtId="0" fontId="32" fillId="2" borderId="0" xfId="162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177" fontId="33" fillId="0" borderId="0" xfId="0" applyNumberFormat="1" applyFont="1" applyFill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0" xfId="0" applyNumberFormat="1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 vertical="center" indent="1"/>
    </xf>
    <xf numFmtId="0" fontId="33" fillId="0" borderId="25" xfId="0" applyFont="1" applyFill="1" applyBorder="1" applyAlignment="1" applyProtection="1">
      <alignment horizontal="center" vertical="center"/>
    </xf>
    <xf numFmtId="0" fontId="33" fillId="0" borderId="25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 vertical="center"/>
    </xf>
    <xf numFmtId="0" fontId="14" fillId="0" borderId="26" xfId="0" applyFont="1" applyFill="1" applyBorder="1" applyAlignment="1" applyProtection="1">
      <alignment horizontal="center" vertical="center" wrapText="1"/>
    </xf>
    <xf numFmtId="0" fontId="33" fillId="0" borderId="26" xfId="0" applyNumberFormat="1" applyFont="1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 applyProtection="1">
      <alignment horizontal="center" vertical="center"/>
    </xf>
    <xf numFmtId="177" fontId="33" fillId="0" borderId="26" xfId="0" applyNumberFormat="1" applyFont="1" applyFill="1" applyBorder="1" applyAlignment="1" applyProtection="1">
      <alignment horizontal="center" vertical="center"/>
    </xf>
    <xf numFmtId="177" fontId="33" fillId="0" borderId="26" xfId="0" applyNumberFormat="1" applyFont="1" applyFill="1" applyBorder="1" applyAlignment="1" applyProtection="1">
      <alignment horizontal="center" vertical="center" wrapText="1"/>
    </xf>
    <xf numFmtId="0" fontId="15" fillId="0" borderId="26" xfId="0" applyFont="1" applyFill="1" applyBorder="1" applyAlignment="1" applyProtection="1">
      <alignment horizontal="center" vertical="center"/>
    </xf>
    <xf numFmtId="0" fontId="33" fillId="0" borderId="26" xfId="0" applyNumberFormat="1" applyFont="1" applyFill="1" applyBorder="1" applyAlignment="1" applyProtection="1">
      <alignment horizontal="center" vertical="center"/>
    </xf>
    <xf numFmtId="0" fontId="33" fillId="0" borderId="26" xfId="0" applyFont="1" applyFill="1" applyBorder="1" applyAlignment="1" applyProtection="1">
      <alignment horizontal="left" vertical="center"/>
    </xf>
    <xf numFmtId="0" fontId="33" fillId="0" borderId="26" xfId="0" applyFont="1" applyFill="1" applyBorder="1" applyAlignment="1" applyProtection="1">
      <alignment horizontal="center" vertical="center" wrapText="1"/>
    </xf>
    <xf numFmtId="0" fontId="33" fillId="0" borderId="26" xfId="0" applyFont="1" applyFill="1" applyBorder="1" applyAlignment="1" applyProtection="1">
      <alignment horizontal="center" vertical="center"/>
    </xf>
    <xf numFmtId="0" fontId="33" fillId="0" borderId="26" xfId="164" applyFont="1" applyFill="1" applyBorder="1" applyAlignment="1" applyProtection="1">
      <alignment horizontal="center" vertical="center" wrapText="1"/>
    </xf>
    <xf numFmtId="0" fontId="33" fillId="0" borderId="26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left" vertical="center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 applyProtection="1">
      <alignment vertical="center" wrapText="1"/>
    </xf>
    <xf numFmtId="0" fontId="34" fillId="0" borderId="26" xfId="0" applyFont="1" applyFill="1" applyBorder="1" applyAlignment="1" applyProtection="1">
      <alignment horizontal="center" vertical="center" wrapText="1"/>
    </xf>
    <xf numFmtId="0" fontId="33" fillId="0" borderId="26" xfId="164" applyFont="1" applyFill="1" applyBorder="1" applyAlignment="1" applyProtection="1">
      <alignment horizontal="left" vertical="center"/>
    </xf>
    <xf numFmtId="0" fontId="33" fillId="0" borderId="26" xfId="164" applyFont="1" applyFill="1" applyBorder="1" applyAlignment="1" applyProtection="1">
      <alignment horizontal="center" vertical="center"/>
    </xf>
    <xf numFmtId="0" fontId="35" fillId="0" borderId="26" xfId="0" applyFont="1" applyFill="1" applyBorder="1">
      <alignment vertical="center"/>
    </xf>
    <xf numFmtId="49" fontId="33" fillId="0" borderId="26" xfId="12" applyFont="1" applyFill="1" applyBorder="1" applyAlignment="1" applyProtection="1">
      <alignment horizontal="left" vertical="center"/>
    </xf>
    <xf numFmtId="0" fontId="33" fillId="0" borderId="27" xfId="0" applyFont="1" applyFill="1" applyBorder="1" applyAlignment="1" applyProtection="1">
      <alignment horizontal="center" vertical="center"/>
    </xf>
    <xf numFmtId="0" fontId="35" fillId="0" borderId="27" xfId="0" applyFont="1" applyFill="1" applyBorder="1">
      <alignment vertical="center"/>
    </xf>
    <xf numFmtId="0" fontId="33" fillId="0" borderId="27" xfId="0" applyFont="1" applyFill="1" applyBorder="1" applyAlignment="1" applyProtection="1">
      <alignment horizontal="center" vertical="center" wrapText="1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 indent="1"/>
    </xf>
    <xf numFmtId="0" fontId="14" fillId="0" borderId="0" xfId="0" applyFont="1" applyFill="1" applyBorder="1" applyAlignment="1" applyProtection="1">
      <alignment horizontal="center" vertical="center"/>
    </xf>
    <xf numFmtId="177" fontId="33" fillId="0" borderId="0" xfId="0" applyNumberFormat="1" applyFont="1" applyFill="1" applyBorder="1" applyAlignment="1" applyProtection="1">
      <alignment horizontal="center" vertical="center"/>
    </xf>
    <xf numFmtId="178" fontId="33" fillId="0" borderId="0" xfId="0" applyNumberFormat="1" applyFont="1" applyFill="1" applyBorder="1" applyAlignment="1" applyProtection="1">
      <alignment horizontal="center" vertical="center"/>
    </xf>
    <xf numFmtId="190" fontId="33" fillId="0" borderId="0" xfId="0" applyNumberFormat="1" applyFont="1" applyFill="1" applyBorder="1" applyAlignment="1" applyProtection="1">
      <alignment horizontal="center" vertical="center"/>
    </xf>
    <xf numFmtId="189" fontId="33" fillId="0" borderId="0" xfId="0" applyNumberFormat="1" applyFont="1" applyFill="1" applyBorder="1" applyAlignment="1" applyProtection="1">
      <alignment horizontal="center" vertical="center"/>
    </xf>
    <xf numFmtId="11" fontId="33" fillId="0" borderId="0" xfId="0" applyNumberFormat="1" applyFont="1" applyFill="1" applyBorder="1" applyAlignment="1" applyProtection="1">
      <alignment horizontal="center" vertical="center"/>
    </xf>
    <xf numFmtId="182" fontId="33" fillId="0" borderId="0" xfId="0" applyNumberFormat="1" applyFont="1" applyFill="1" applyBorder="1" applyAlignment="1" applyProtection="1">
      <alignment horizontal="center" vertical="center"/>
    </xf>
    <xf numFmtId="179" fontId="33" fillId="0" borderId="0" xfId="0" applyNumberFormat="1" applyFont="1" applyFill="1" applyBorder="1" applyAlignment="1" applyProtection="1">
      <alignment horizontal="center" vertical="center"/>
    </xf>
    <xf numFmtId="180" fontId="33" fillId="0" borderId="0" xfId="0" applyNumberFormat="1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 applyProtection="1">
      <alignment horizontal="left" vertical="center"/>
    </xf>
    <xf numFmtId="0" fontId="14" fillId="0" borderId="20" xfId="0" applyFont="1" applyFill="1" applyBorder="1" applyAlignment="1" applyProtection="1">
      <alignment horizontal="center" vertical="center" wrapText="1"/>
    </xf>
    <xf numFmtId="0" fontId="33" fillId="0" borderId="20" xfId="0" applyNumberFormat="1" applyFont="1" applyFill="1" applyBorder="1" applyAlignment="1" applyProtection="1">
      <alignment horizontal="center" vertical="center" wrapText="1"/>
    </xf>
    <xf numFmtId="178" fontId="14" fillId="0" borderId="20" xfId="0" applyNumberFormat="1" applyFont="1" applyFill="1" applyBorder="1" applyAlignment="1" applyProtection="1">
      <alignment horizontal="center" vertical="center" wrapText="1"/>
    </xf>
    <xf numFmtId="190" fontId="14" fillId="0" borderId="20" xfId="0" applyNumberFormat="1" applyFont="1" applyFill="1" applyBorder="1" applyAlignment="1" applyProtection="1">
      <alignment horizontal="center" vertical="center" wrapText="1"/>
    </xf>
    <xf numFmtId="177" fontId="33" fillId="0" borderId="20" xfId="0" applyNumberFormat="1" applyFont="1" applyFill="1" applyBorder="1" applyAlignment="1" applyProtection="1">
      <alignment horizontal="center" vertical="center"/>
    </xf>
    <xf numFmtId="177" fontId="33" fillId="0" borderId="20" xfId="0" applyNumberFormat="1" applyFont="1" applyFill="1" applyBorder="1" applyAlignment="1" applyProtection="1">
      <alignment horizontal="center" vertical="center" wrapText="1"/>
    </xf>
    <xf numFmtId="182" fontId="33" fillId="0" borderId="20" xfId="0" applyNumberFormat="1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/>
    </xf>
    <xf numFmtId="0" fontId="33" fillId="0" borderId="20" xfId="0" applyNumberFormat="1" applyFont="1" applyFill="1" applyBorder="1" applyAlignment="1" applyProtection="1">
      <alignment horizontal="center" vertical="center"/>
    </xf>
    <xf numFmtId="0" fontId="33" fillId="0" borderId="20" xfId="0" applyFont="1" applyFill="1" applyBorder="1" applyAlignment="1" applyProtection="1">
      <alignment horizontal="left" vertical="center"/>
    </xf>
    <xf numFmtId="178" fontId="33" fillId="0" borderId="20" xfId="0" applyNumberFormat="1" applyFont="1" applyFill="1" applyBorder="1" applyAlignment="1" applyProtection="1">
      <alignment horizontal="center" vertical="center"/>
    </xf>
    <xf numFmtId="190" fontId="33" fillId="0" borderId="20" xfId="0" applyNumberFormat="1" applyFont="1" applyFill="1" applyBorder="1" applyAlignment="1" applyProtection="1">
      <alignment horizontal="center" vertical="center"/>
    </xf>
    <xf numFmtId="177" fontId="33" fillId="0" borderId="20" xfId="164" applyNumberFormat="1" applyFont="1" applyFill="1" applyBorder="1" applyAlignment="1" applyProtection="1">
      <alignment horizontal="center" vertical="center"/>
    </xf>
    <xf numFmtId="190" fontId="33" fillId="0" borderId="20" xfId="156" applyNumberFormat="1" applyFont="1" applyFill="1" applyBorder="1" applyAlignment="1" applyProtection="1">
      <alignment horizontal="center" vertical="center"/>
    </xf>
    <xf numFmtId="0" fontId="33" fillId="0" borderId="20" xfId="0" applyFont="1" applyFill="1" applyBorder="1" applyAlignment="1" applyProtection="1">
      <alignment horizontal="left" vertical="center" wrapText="1"/>
    </xf>
    <xf numFmtId="190" fontId="33" fillId="0" borderId="20" xfId="0" applyNumberFormat="1" applyFont="1" applyFill="1" applyBorder="1" applyAlignment="1" applyProtection="1">
      <alignment horizontal="center" vertical="center" wrapText="1"/>
    </xf>
    <xf numFmtId="177" fontId="33" fillId="0" borderId="20" xfId="0" applyNumberFormat="1" applyFont="1" applyFill="1" applyBorder="1" applyAlignment="1">
      <alignment horizontal="center" vertical="center" wrapText="1"/>
    </xf>
    <xf numFmtId="178" fontId="33" fillId="0" borderId="20" xfId="0" applyNumberFormat="1" applyFont="1" applyFill="1" applyBorder="1" applyAlignment="1">
      <alignment horizontal="center" vertical="center"/>
    </xf>
    <xf numFmtId="190" fontId="33" fillId="0" borderId="20" xfId="0" applyNumberFormat="1" applyFont="1" applyFill="1" applyBorder="1" applyAlignment="1">
      <alignment horizontal="center" vertical="center"/>
    </xf>
    <xf numFmtId="189" fontId="14" fillId="0" borderId="20" xfId="0" applyNumberFormat="1" applyFont="1" applyFill="1" applyBorder="1" applyAlignment="1" applyProtection="1">
      <alignment horizontal="center" vertical="center" wrapText="1"/>
    </xf>
    <xf numFmtId="189" fontId="14" fillId="0" borderId="20" xfId="0" applyNumberFormat="1" applyFont="1" applyFill="1" applyBorder="1" applyAlignment="1" applyProtection="1">
      <alignment horizontal="center" vertical="center"/>
    </xf>
    <xf numFmtId="189" fontId="33" fillId="0" borderId="20" xfId="0" applyNumberFormat="1" applyFont="1" applyFill="1" applyBorder="1" applyAlignment="1" applyProtection="1">
      <alignment horizontal="center" vertical="center"/>
    </xf>
    <xf numFmtId="189" fontId="33" fillId="0" borderId="20" xfId="0" applyNumberFormat="1" applyFont="1" applyFill="1" applyBorder="1" applyAlignment="1" applyProtection="1">
      <alignment horizontal="center" vertical="center" wrapText="1"/>
    </xf>
    <xf numFmtId="189" fontId="33" fillId="0" borderId="20" xfId="162" applyNumberFormat="1" applyFont="1" applyFill="1" applyBorder="1" applyAlignment="1" applyProtection="1">
      <alignment horizontal="center" vertical="center"/>
    </xf>
    <xf numFmtId="189" fontId="33" fillId="0" borderId="20" xfId="0" applyNumberFormat="1" applyFont="1" applyFill="1" applyBorder="1" applyAlignment="1">
      <alignment horizontal="center" vertical="center"/>
    </xf>
    <xf numFmtId="180" fontId="14" fillId="0" borderId="20" xfId="0" applyNumberFormat="1" applyFont="1" applyFill="1" applyBorder="1" applyAlignment="1" applyProtection="1">
      <alignment horizontal="center" vertical="center" wrapText="1"/>
    </xf>
    <xf numFmtId="189" fontId="33" fillId="0" borderId="20" xfId="159" applyNumberFormat="1" applyFont="1" applyFill="1" applyBorder="1" applyAlignment="1" applyProtection="1">
      <alignment horizontal="center" vertical="center" wrapText="1"/>
    </xf>
    <xf numFmtId="189" fontId="33" fillId="0" borderId="20" xfId="0" applyNumberFormat="1" applyFont="1" applyFill="1" applyBorder="1" applyAlignment="1">
      <alignment horizontal="center" vertical="center" wrapText="1"/>
    </xf>
    <xf numFmtId="189" fontId="33" fillId="0" borderId="20" xfId="159" applyNumberFormat="1" applyFont="1" applyFill="1" applyBorder="1" applyAlignment="1">
      <alignment horizontal="center" vertical="center" wrapText="1"/>
    </xf>
    <xf numFmtId="191" fontId="33" fillId="0" borderId="20" xfId="0" applyNumberFormat="1" applyFont="1" applyFill="1" applyBorder="1" applyAlignment="1" applyProtection="1">
      <alignment horizontal="center" vertical="center" wrapText="1"/>
    </xf>
    <xf numFmtId="191" fontId="33" fillId="0" borderId="20" xfId="0" applyNumberFormat="1" applyFont="1" applyFill="1" applyBorder="1" applyAlignment="1" applyProtection="1">
      <alignment horizontal="center" vertical="center"/>
    </xf>
    <xf numFmtId="191" fontId="33" fillId="0" borderId="20" xfId="205" applyNumberFormat="1" applyFont="1" applyFill="1" applyBorder="1" applyAlignment="1" applyProtection="1">
      <alignment horizontal="center" vertical="center" wrapText="1"/>
    </xf>
    <xf numFmtId="191" fontId="33" fillId="0" borderId="20" xfId="0" applyNumberFormat="1" applyFont="1" applyFill="1" applyBorder="1" applyAlignment="1">
      <alignment horizontal="center" vertical="center" wrapText="1"/>
    </xf>
    <xf numFmtId="191" fontId="33" fillId="0" borderId="20" xfId="0" applyNumberFormat="1" applyFont="1" applyFill="1" applyBorder="1" applyAlignment="1">
      <alignment horizontal="center" vertical="center"/>
    </xf>
    <xf numFmtId="181" fontId="33" fillId="0" borderId="20" xfId="0" applyNumberFormat="1" applyFont="1" applyFill="1" applyBorder="1" applyAlignment="1" applyProtection="1">
      <alignment horizontal="center" vertical="center" wrapText="1"/>
    </xf>
    <xf numFmtId="181" fontId="33" fillId="0" borderId="20" xfId="0" applyNumberFormat="1" applyFont="1" applyFill="1" applyBorder="1" applyAlignment="1" applyProtection="1">
      <alignment horizontal="center" vertical="center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20" xfId="162" applyFont="1" applyFill="1" applyBorder="1" applyAlignment="1" applyProtection="1">
      <alignment horizontal="center" vertical="center" wrapText="1"/>
    </xf>
    <xf numFmtId="179" fontId="14" fillId="0" borderId="20" xfId="0" applyNumberFormat="1" applyFont="1" applyFill="1" applyBorder="1" applyAlignment="1" applyProtection="1">
      <alignment horizontal="center" vertical="center" wrapText="1"/>
    </xf>
    <xf numFmtId="179" fontId="33" fillId="0" borderId="20" xfId="0" applyNumberFormat="1" applyFont="1" applyFill="1" applyBorder="1" applyAlignment="1" applyProtection="1">
      <alignment horizontal="center" vertical="center" wrapText="1"/>
    </xf>
    <xf numFmtId="179" fontId="33" fillId="0" borderId="20" xfId="0" applyNumberFormat="1" applyFont="1" applyFill="1" applyBorder="1" applyAlignment="1" applyProtection="1">
      <alignment horizontal="center" vertical="center"/>
    </xf>
    <xf numFmtId="179" fontId="33" fillId="0" borderId="20" xfId="164" applyNumberFormat="1" applyFont="1" applyFill="1" applyBorder="1" applyAlignment="1" applyProtection="1">
      <alignment horizontal="center" vertical="center" wrapText="1"/>
    </xf>
    <xf numFmtId="179" fontId="33" fillId="0" borderId="20" xfId="0" applyNumberFormat="1" applyFont="1" applyFill="1" applyBorder="1" applyAlignment="1">
      <alignment horizontal="center" vertical="center" wrapText="1"/>
    </xf>
    <xf numFmtId="179" fontId="33" fillId="0" borderId="20" xfId="0" applyNumberFormat="1" applyFont="1" applyFill="1" applyBorder="1" applyAlignment="1">
      <alignment horizontal="center" vertical="center"/>
    </xf>
    <xf numFmtId="179" fontId="33" fillId="0" borderId="20" xfId="164" applyNumberFormat="1" applyFont="1" applyFill="1" applyBorder="1" applyAlignment="1" applyProtection="1">
      <alignment horizontal="center" vertical="center"/>
    </xf>
    <xf numFmtId="187" fontId="33" fillId="0" borderId="20" xfId="0" applyNumberFormat="1" applyFont="1" applyFill="1" applyBorder="1" applyAlignment="1" applyProtection="1">
      <alignment horizontal="center" vertical="center"/>
    </xf>
    <xf numFmtId="11" fontId="14" fillId="0" borderId="20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/>
    </xf>
    <xf numFmtId="11" fontId="33" fillId="0" borderId="20" xfId="0" applyNumberFormat="1" applyFont="1" applyFill="1" applyBorder="1" applyAlignment="1" applyProtection="1">
      <alignment horizontal="center" vertical="center"/>
    </xf>
    <xf numFmtId="11" fontId="33" fillId="0" borderId="20" xfId="164" applyNumberFormat="1" applyFont="1" applyFill="1" applyBorder="1" applyAlignment="1" applyProtection="1">
      <alignment horizontal="center" vertical="center"/>
    </xf>
    <xf numFmtId="11" fontId="33" fillId="0" borderId="20" xfId="0" applyNumberFormat="1" applyFont="1" applyFill="1" applyBorder="1" applyAlignment="1" applyProtection="1">
      <alignment horizontal="center" vertical="center" wrapText="1"/>
    </xf>
    <xf numFmtId="11" fontId="33" fillId="0" borderId="20" xfId="164" applyNumberFormat="1" applyFont="1" applyFill="1" applyBorder="1" applyAlignment="1" applyProtection="1">
      <alignment horizontal="center" vertical="center" wrapText="1"/>
    </xf>
    <xf numFmtId="11" fontId="33" fillId="0" borderId="20" xfId="0" applyNumberFormat="1" applyFont="1" applyFill="1" applyBorder="1" applyAlignment="1">
      <alignment horizontal="center" vertical="center" wrapText="1"/>
    </xf>
    <xf numFmtId="11" fontId="33" fillId="0" borderId="20" xfId="0" applyNumberFormat="1" applyFont="1" applyFill="1" applyBorder="1" applyAlignment="1">
      <alignment horizontal="center" vertical="center"/>
    </xf>
    <xf numFmtId="0" fontId="33" fillId="0" borderId="20" xfId="0" applyFont="1" applyFill="1" applyBorder="1" applyAlignment="1" applyProtection="1">
      <alignment horizontal="center" vertical="center" wrapText="1"/>
    </xf>
    <xf numFmtId="0" fontId="33" fillId="0" borderId="20" xfId="164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182" fontId="14" fillId="0" borderId="20" xfId="0" applyNumberFormat="1" applyFont="1" applyFill="1" applyBorder="1" applyAlignment="1" applyProtection="1">
      <alignment horizontal="center" vertical="center" wrapText="1"/>
    </xf>
    <xf numFmtId="182" fontId="14" fillId="0" borderId="20" xfId="0" applyNumberFormat="1" applyFont="1" applyFill="1" applyBorder="1" applyAlignment="1" applyProtection="1">
      <alignment horizontal="center" vertical="center"/>
    </xf>
    <xf numFmtId="182" fontId="33" fillId="0" borderId="20" xfId="176" applyNumberFormat="1" applyFont="1" applyFill="1" applyBorder="1" applyAlignment="1" applyProtection="1">
      <alignment horizontal="center" vertical="center" wrapText="1"/>
    </xf>
    <xf numFmtId="182" fontId="33" fillId="0" borderId="20" xfId="186" applyNumberFormat="1" applyFont="1" applyFill="1" applyBorder="1" applyAlignment="1" applyProtection="1">
      <alignment horizontal="center" vertical="center" wrapText="1"/>
    </xf>
    <xf numFmtId="182" fontId="33" fillId="0" borderId="20" xfId="164" applyNumberFormat="1" applyFont="1" applyFill="1" applyBorder="1" applyAlignment="1" applyProtection="1">
      <alignment horizontal="center" vertical="center" wrapText="1"/>
    </xf>
    <xf numFmtId="182" fontId="33" fillId="0" borderId="20" xfId="175" applyNumberFormat="1" applyFont="1" applyFill="1" applyBorder="1" applyAlignment="1" applyProtection="1">
      <alignment horizontal="center" vertical="center"/>
    </xf>
    <xf numFmtId="182" fontId="33" fillId="0" borderId="20" xfId="0" applyNumberFormat="1" applyFont="1" applyFill="1" applyBorder="1" applyAlignment="1" applyProtection="1">
      <alignment horizontal="center" vertical="center"/>
    </xf>
    <xf numFmtId="182" fontId="33" fillId="0" borderId="20" xfId="194" applyNumberFormat="1" applyFont="1" applyFill="1" applyBorder="1" applyAlignment="1" applyProtection="1">
      <alignment horizontal="center" vertical="center" wrapText="1"/>
    </xf>
    <xf numFmtId="182" fontId="33" fillId="0" borderId="20" xfId="195" applyNumberFormat="1" applyFont="1" applyFill="1" applyBorder="1" applyAlignment="1" applyProtection="1">
      <alignment horizontal="center" vertical="center" wrapText="1"/>
    </xf>
    <xf numFmtId="182" fontId="33" fillId="0" borderId="20" xfId="23" applyNumberFormat="1" applyFont="1" applyFill="1" applyBorder="1" applyAlignment="1" applyProtection="1">
      <alignment horizontal="center" vertical="center" wrapText="1"/>
    </xf>
    <xf numFmtId="182" fontId="33" fillId="0" borderId="20" xfId="197" applyNumberFormat="1" applyFont="1" applyFill="1" applyBorder="1" applyAlignment="1" applyProtection="1">
      <alignment horizontal="center" vertical="center" wrapText="1"/>
    </xf>
    <xf numFmtId="182" fontId="33" fillId="0" borderId="20" xfId="199" applyNumberFormat="1" applyFont="1" applyFill="1" applyBorder="1" applyAlignment="1" applyProtection="1">
      <alignment horizontal="center" vertical="center" wrapText="1"/>
    </xf>
    <xf numFmtId="182" fontId="33" fillId="0" borderId="20" xfId="199" applyNumberFormat="1" applyFont="1" applyFill="1" applyBorder="1" applyAlignment="1">
      <alignment horizontal="center" vertical="center" wrapText="1"/>
    </xf>
    <xf numFmtId="182" fontId="33" fillId="0" borderId="20" xfId="0" applyNumberFormat="1" applyFont="1" applyFill="1" applyBorder="1" applyAlignment="1">
      <alignment horizontal="center" vertical="center" wrapText="1"/>
    </xf>
    <xf numFmtId="182" fontId="33" fillId="0" borderId="20" xfId="201" applyNumberFormat="1" applyFont="1" applyFill="1" applyBorder="1" applyAlignment="1" applyProtection="1">
      <alignment horizontal="center" vertical="center" wrapText="1"/>
    </xf>
    <xf numFmtId="178" fontId="33" fillId="0" borderId="20" xfId="0" applyNumberFormat="1" applyFont="1" applyFill="1" applyBorder="1" applyAlignment="1" applyProtection="1">
      <alignment horizontal="center" vertical="center" wrapText="1"/>
    </xf>
    <xf numFmtId="178" fontId="33" fillId="0" borderId="20" xfId="164" applyNumberFormat="1" applyFont="1" applyFill="1" applyBorder="1" applyAlignment="1" applyProtection="1">
      <alignment horizontal="center" vertical="center" wrapText="1"/>
    </xf>
    <xf numFmtId="178" fontId="33" fillId="0" borderId="20" xfId="0" applyNumberFormat="1" applyFont="1" applyFill="1" applyBorder="1" applyAlignment="1">
      <alignment horizontal="center" vertical="center" wrapText="1"/>
    </xf>
    <xf numFmtId="182" fontId="33" fillId="0" borderId="20" xfId="0" applyNumberFormat="1" applyFont="1" applyFill="1" applyBorder="1" applyAlignment="1">
      <alignment horizontal="center" vertical="center"/>
    </xf>
    <xf numFmtId="182" fontId="14" fillId="0" borderId="20" xfId="162" applyNumberFormat="1" applyFont="1" applyFill="1" applyBorder="1" applyAlignment="1" applyProtection="1">
      <alignment horizontal="center" vertical="center" wrapText="1"/>
    </xf>
    <xf numFmtId="179" fontId="37" fillId="0" borderId="20" xfId="0" applyNumberFormat="1" applyFont="1" applyFill="1" applyBorder="1" applyAlignment="1" applyProtection="1">
      <alignment horizontal="center" vertical="center" wrapText="1"/>
    </xf>
    <xf numFmtId="180" fontId="33" fillId="0" borderId="20" xfId="0" applyNumberFormat="1" applyFont="1" applyFill="1" applyBorder="1" applyAlignment="1" applyProtection="1">
      <alignment horizontal="center" vertical="center" wrapText="1"/>
    </xf>
    <xf numFmtId="180" fontId="33" fillId="0" borderId="20" xfId="0" applyNumberFormat="1" applyFont="1" applyFill="1" applyBorder="1" applyAlignment="1" applyProtection="1">
      <alignment horizontal="center" vertical="center"/>
    </xf>
    <xf numFmtId="180" fontId="33" fillId="0" borderId="20" xfId="164" applyNumberFormat="1" applyFont="1" applyFill="1" applyBorder="1" applyAlignment="1" applyProtection="1">
      <alignment horizontal="center" vertical="center" wrapText="1"/>
    </xf>
    <xf numFmtId="49" fontId="33" fillId="0" borderId="20" xfId="0" applyNumberFormat="1" applyFont="1" applyFill="1" applyBorder="1" applyAlignment="1" applyProtection="1">
      <alignment horizontal="center" vertical="center" wrapText="1"/>
    </xf>
    <xf numFmtId="180" fontId="33" fillId="0" borderId="20" xfId="0" applyNumberFormat="1" applyFont="1" applyFill="1" applyBorder="1" applyAlignment="1">
      <alignment horizontal="center" vertical="center" wrapText="1"/>
    </xf>
    <xf numFmtId="180" fontId="33" fillId="0" borderId="20" xfId="158" applyNumberFormat="1" applyFont="1" applyFill="1" applyBorder="1" applyAlignment="1" applyProtection="1">
      <alignment horizontal="center" vertical="center"/>
    </xf>
    <xf numFmtId="180" fontId="33" fillId="0" borderId="20" xfId="0" applyNumberFormat="1" applyFont="1" applyFill="1" applyBorder="1" applyAlignment="1">
      <alignment horizontal="center" vertical="center"/>
    </xf>
    <xf numFmtId="180" fontId="33" fillId="0" borderId="20" xfId="164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wrapText="1"/>
    </xf>
    <xf numFmtId="185" fontId="14" fillId="0" borderId="20" xfId="0" applyNumberFormat="1" applyFont="1" applyFill="1" applyBorder="1" applyAlignment="1">
      <alignment horizontal="center" vertical="center"/>
    </xf>
    <xf numFmtId="184" fontId="33" fillId="0" borderId="20" xfId="0" applyNumberFormat="1" applyFont="1" applyFill="1" applyBorder="1" applyAlignment="1" applyProtection="1">
      <alignment horizontal="center" vertical="center" wrapText="1"/>
    </xf>
    <xf numFmtId="180" fontId="33" fillId="0" borderId="20" xfId="0" applyNumberFormat="1" applyFont="1" applyFill="1" applyBorder="1" applyAlignment="1">
      <alignment horizontal="left" vertical="center"/>
    </xf>
    <xf numFmtId="0" fontId="33" fillId="0" borderId="20" xfId="0" applyFont="1" applyFill="1" applyBorder="1" applyAlignment="1">
      <alignment horizontal="left" vertical="center"/>
    </xf>
    <xf numFmtId="184" fontId="14" fillId="0" borderId="20" xfId="0" applyNumberFormat="1" applyFont="1" applyFill="1" applyBorder="1" applyAlignment="1">
      <alignment horizontal="center" vertical="center"/>
    </xf>
    <xf numFmtId="184" fontId="33" fillId="0" borderId="20" xfId="0" applyNumberFormat="1" applyFont="1" applyFill="1" applyBorder="1" applyAlignment="1">
      <alignment horizontal="left" vertical="center"/>
    </xf>
    <xf numFmtId="177" fontId="33" fillId="0" borderId="20" xfId="0" applyNumberFormat="1" applyFont="1" applyFill="1" applyBorder="1" applyAlignment="1">
      <alignment horizontal="center" vertical="center"/>
    </xf>
    <xf numFmtId="182" fontId="33" fillId="0" borderId="20" xfId="0" applyNumberFormat="1" applyFont="1" applyFill="1" applyBorder="1" applyAlignment="1">
      <alignment horizontal="left" vertical="center"/>
    </xf>
    <xf numFmtId="177" fontId="33" fillId="0" borderId="20" xfId="0" applyNumberFormat="1" applyFont="1" applyFill="1" applyBorder="1" applyAlignment="1">
      <alignment horizontal="left" vertical="center"/>
    </xf>
    <xf numFmtId="182" fontId="33" fillId="0" borderId="20" xfId="201" applyNumberFormat="1" applyFont="1" applyFill="1" applyBorder="1" applyAlignment="1" applyProtection="1">
      <alignment horizontal="center" vertical="center"/>
    </xf>
    <xf numFmtId="182" fontId="33" fillId="0" borderId="20" xfId="203" applyNumberFormat="1" applyFont="1" applyFill="1" applyBorder="1" applyAlignment="1" applyProtection="1">
      <alignment horizontal="center" vertical="center" wrapText="1"/>
    </xf>
    <xf numFmtId="180" fontId="33" fillId="0" borderId="20" xfId="164" applyNumberFormat="1" applyFont="1" applyFill="1" applyBorder="1" applyAlignment="1">
      <alignment horizontal="center" vertical="center" wrapText="1"/>
    </xf>
    <xf numFmtId="180" fontId="33" fillId="0" borderId="20" xfId="151" applyNumberFormat="1" applyFont="1" applyFill="1" applyBorder="1" applyAlignment="1" applyProtection="1">
      <alignment horizontal="center" vertical="center"/>
    </xf>
    <xf numFmtId="180" fontId="33" fillId="0" borderId="20" xfId="153" applyNumberFormat="1" applyFont="1" applyFill="1" applyBorder="1" applyAlignment="1" applyProtection="1">
      <alignment horizontal="center" vertical="center"/>
    </xf>
    <xf numFmtId="180" fontId="33" fillId="0" borderId="20" xfId="155" applyNumberFormat="1" applyFont="1" applyFill="1" applyBorder="1" applyAlignment="1" applyProtection="1">
      <alignment horizontal="center" vertical="center"/>
    </xf>
    <xf numFmtId="49" fontId="33" fillId="0" borderId="20" xfId="0" applyNumberFormat="1" applyFont="1" applyFill="1" applyBorder="1" applyAlignment="1" applyProtection="1">
      <alignment horizontal="center" vertical="center"/>
    </xf>
    <xf numFmtId="49" fontId="33" fillId="0" borderId="20" xfId="12" applyFont="1" applyFill="1" applyBorder="1" applyAlignment="1" applyProtection="1">
      <alignment horizontal="left" vertical="center"/>
    </xf>
    <xf numFmtId="0" fontId="33" fillId="0" borderId="20" xfId="0" applyFont="1" applyFill="1" applyBorder="1">
      <alignment vertical="center"/>
    </xf>
    <xf numFmtId="182" fontId="33" fillId="0" borderId="20" xfId="168" applyNumberFormat="1" applyFont="1" applyFill="1" applyBorder="1" applyAlignment="1" applyProtection="1">
      <alignment horizontal="center" vertical="center" wrapText="1"/>
    </xf>
    <xf numFmtId="182" fontId="33" fillId="0" borderId="20" xfId="90" applyNumberFormat="1" applyFont="1" applyFill="1" applyBorder="1" applyAlignment="1" applyProtection="1">
      <alignment horizontal="center" vertical="center" wrapText="1"/>
    </xf>
    <xf numFmtId="182" fontId="33" fillId="0" borderId="20" xfId="171" applyNumberFormat="1" applyFont="1" applyFill="1" applyBorder="1" applyAlignment="1" applyProtection="1">
      <alignment horizontal="center" vertical="center" wrapText="1"/>
    </xf>
    <xf numFmtId="182" fontId="33" fillId="0" borderId="20" xfId="182" applyNumberFormat="1" applyFont="1" applyFill="1" applyBorder="1" applyAlignment="1" applyProtection="1">
      <alignment horizontal="center" vertical="center" wrapText="1"/>
    </xf>
    <xf numFmtId="182" fontId="33" fillId="0" borderId="20" xfId="173" applyNumberFormat="1" applyFont="1" applyFill="1" applyBorder="1" applyAlignment="1" applyProtection="1">
      <alignment horizontal="center" vertical="center" wrapText="1"/>
    </xf>
    <xf numFmtId="182" fontId="33" fillId="0" borderId="20" xfId="180" applyNumberFormat="1" applyFont="1" applyFill="1" applyBorder="1" applyAlignment="1" applyProtection="1">
      <alignment horizontal="center" vertical="center" wrapText="1"/>
    </xf>
    <xf numFmtId="182" fontId="33" fillId="0" borderId="20" xfId="174" applyNumberFormat="1" applyFont="1" applyFill="1" applyBorder="1" applyAlignment="1" applyProtection="1">
      <alignment horizontal="center" vertical="center" wrapText="1"/>
    </xf>
    <xf numFmtId="180" fontId="33" fillId="0" borderId="20" xfId="106" applyNumberFormat="1" applyFont="1" applyFill="1" applyBorder="1" applyAlignment="1">
      <alignment horizontal="left" vertical="center"/>
    </xf>
    <xf numFmtId="49" fontId="33" fillId="0" borderId="20" xfId="0" applyNumberFormat="1" applyFont="1" applyFill="1" applyBorder="1" applyAlignment="1">
      <alignment horizontal="center" vertical="center"/>
    </xf>
    <xf numFmtId="49" fontId="33" fillId="0" borderId="20" xfId="0" applyNumberFormat="1" applyFont="1" applyFill="1" applyBorder="1" applyAlignment="1">
      <alignment horizontal="left" vertical="center"/>
    </xf>
    <xf numFmtId="189" fontId="33" fillId="0" borderId="20" xfId="156" applyNumberFormat="1" applyFont="1" applyFill="1" applyBorder="1" applyAlignment="1" applyProtection="1">
      <alignment horizontal="center" vertical="center"/>
    </xf>
    <xf numFmtId="189" fontId="33" fillId="0" borderId="20" xfId="156" applyNumberFormat="1" applyFont="1" applyFill="1" applyBorder="1" applyAlignment="1" applyProtection="1">
      <alignment horizontal="center" vertical="center" wrapText="1"/>
    </xf>
    <xf numFmtId="189" fontId="33" fillId="0" borderId="0" xfId="159" applyNumberFormat="1" applyFont="1" applyFill="1" applyBorder="1" applyAlignment="1" applyProtection="1">
      <alignment horizontal="center" vertical="center" wrapText="1"/>
    </xf>
    <xf numFmtId="191" fontId="33" fillId="0" borderId="0" xfId="0" applyNumberFormat="1" applyFont="1" applyFill="1" applyBorder="1" applyAlignment="1" applyProtection="1">
      <alignment horizontal="center" vertical="center" wrapText="1"/>
    </xf>
    <xf numFmtId="181" fontId="33" fillId="0" borderId="0" xfId="0" applyNumberFormat="1" applyFont="1" applyFill="1" applyBorder="1" applyAlignment="1" applyProtection="1">
      <alignment horizontal="center" vertical="center" wrapText="1"/>
    </xf>
    <xf numFmtId="179" fontId="33" fillId="0" borderId="0" xfId="0" applyNumberFormat="1" applyFont="1" applyFill="1" applyBorder="1" applyAlignment="1" applyProtection="1">
      <alignment horizontal="center" vertical="center" wrapText="1"/>
    </xf>
    <xf numFmtId="11" fontId="33" fillId="0" borderId="0" xfId="0" applyNumberFormat="1" applyFont="1" applyFill="1" applyBorder="1" applyAlignment="1" applyProtection="1">
      <alignment horizontal="center" vertical="center" wrapText="1"/>
    </xf>
    <xf numFmtId="182" fontId="33" fillId="0" borderId="20" xfId="174" applyNumberFormat="1" applyFont="1" applyFill="1" applyBorder="1" applyAlignment="1" applyProtection="1">
      <alignment horizontal="center" vertical="center"/>
    </xf>
    <xf numFmtId="182" fontId="33" fillId="0" borderId="0" xfId="0" applyNumberFormat="1" applyFont="1" applyFill="1" applyBorder="1" applyAlignment="1" applyProtection="1">
      <alignment horizontal="center" vertical="center" wrapText="1"/>
    </xf>
    <xf numFmtId="182" fontId="33" fillId="0" borderId="0" xfId="175" applyNumberFormat="1" applyFont="1" applyFill="1" applyBorder="1" applyAlignment="1" applyProtection="1">
      <alignment horizontal="center" vertical="center" wrapText="1"/>
    </xf>
    <xf numFmtId="178" fontId="33" fillId="0" borderId="0" xfId="0" applyNumberFormat="1" applyFont="1" applyFill="1" applyBorder="1" applyAlignment="1" applyProtection="1">
      <alignment horizontal="center" vertical="center" wrapText="1"/>
    </xf>
    <xf numFmtId="182" fontId="33" fillId="0" borderId="0" xfId="0" applyNumberFormat="1" applyFont="1" applyFill="1" applyBorder="1" applyAlignment="1">
      <alignment horizontal="center" vertical="center"/>
    </xf>
    <xf numFmtId="180" fontId="33" fillId="0" borderId="0" xfId="0" applyNumberFormat="1" applyFont="1" applyFill="1" applyBorder="1" applyAlignment="1" applyProtection="1">
      <alignment horizontal="center" vertical="center" wrapText="1"/>
    </xf>
    <xf numFmtId="180" fontId="33" fillId="0" borderId="0" xfId="158" applyNumberFormat="1" applyFont="1" applyFill="1" applyBorder="1" applyAlignment="1" applyProtection="1">
      <alignment horizontal="center" vertical="center"/>
    </xf>
    <xf numFmtId="18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center" vertical="center"/>
    </xf>
  </cellXfs>
  <cellStyles count="270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差" xfId="7" builtinId="27"/>
    <cellStyle name="アクセント 5 2" xfId="8"/>
    <cellStyle name="40% - 强调文字颜色 3" xfId="9" builtinId="39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警告文本" xfId="17" builtinId="11"/>
    <cellStyle name="60% - アクセント 6 2" xfId="18"/>
    <cellStyle name="60% - 强调文字颜色 2" xfId="19" builtinId="36"/>
    <cellStyle name="标题 4" xfId="20" builtinId="19"/>
    <cellStyle name="标题" xfId="21" builtinId="15"/>
    <cellStyle name="入力 2 10" xfId="22"/>
    <cellStyle name="常规 2 5" xfId="23"/>
    <cellStyle name="60% - アクセント 2 2" xfId="24"/>
    <cellStyle name="20% - アクセント 6 2" xfId="25"/>
    <cellStyle name="解释性文本" xfId="26" builtinId="53"/>
    <cellStyle name="集計 2 16" xfId="27"/>
    <cellStyle name="标题 1" xfId="28" builtinId="16"/>
    <cellStyle name="どちらでもない 2" xfId="29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アクセント 3 2" xfId="36"/>
    <cellStyle name="检查单元格" xfId="37" builtinId="23"/>
    <cellStyle name="20% - 强调文字颜色 6" xfId="38" builtinId="50"/>
    <cellStyle name="出力 2" xfId="39"/>
    <cellStyle name="强调文字颜色 2" xfId="40" builtinId="33"/>
    <cellStyle name="メモ 2 2 13" xfId="41"/>
    <cellStyle name="链接单元格" xfId="42" builtinId="24"/>
    <cellStyle name="汇总" xfId="43" builtinId="25"/>
    <cellStyle name="好" xfId="44" builtinId="26"/>
    <cellStyle name="适中" xfId="45" builtinId="28"/>
    <cellStyle name="强调文字颜色 1" xfId="46" builtinId="29"/>
    <cellStyle name="メモ 2 2 12" xfId="47"/>
    <cellStyle name="20% - 强调文字颜色 5" xfId="48" builtinId="46"/>
    <cellStyle name="20% - 强调文字颜色 1" xfId="49" builtinId="30"/>
    <cellStyle name="40% - アクセント 5 2" xfId="50"/>
    <cellStyle name="40% - 强调文字颜色 1" xfId="51" builtinId="31"/>
    <cellStyle name="20% - 强调文字颜色 2" xfId="52" builtinId="34"/>
    <cellStyle name="40% - 强调文字颜色 2" xfId="53" builtinId="35"/>
    <cellStyle name="メモ 2 2 14" xfId="54"/>
    <cellStyle name="强调文字颜色 3" xfId="55" builtinId="37"/>
    <cellStyle name="メモ 2 2 15" xfId="56"/>
    <cellStyle name="强调文字颜色 4" xfId="57" builtinId="41"/>
    <cellStyle name="40% - アクセント 6 2" xfId="58"/>
    <cellStyle name="20% - 强调文字颜色 4" xfId="59" builtinId="42"/>
    <cellStyle name="40% - 强调文字颜色 4" xfId="60" builtinId="43"/>
    <cellStyle name="メモ 2 2 16" xfId="61"/>
    <cellStyle name="强调文字颜色 5" xfId="62" builtinId="45"/>
    <cellStyle name="40% - 强调文字颜色 5" xfId="63" builtinId="47"/>
    <cellStyle name="計算 2 10" xfId="64"/>
    <cellStyle name="60% - 强调文字颜色 5" xfId="65" builtinId="48"/>
    <cellStyle name="メモ 2 2 17" xfId="66"/>
    <cellStyle name="强调文字颜色 6" xfId="67" builtinId="49"/>
    <cellStyle name="40% - 强调文字颜色 6" xfId="68" builtinId="51"/>
    <cellStyle name="計算 2 11" xfId="69"/>
    <cellStyle name="60% - 强调文字颜色 6" xfId="70" builtinId="52"/>
    <cellStyle name="出力 2 9" xfId="71"/>
    <cellStyle name="メモ 2 2 5" xfId="72"/>
    <cellStyle name="メモ 2 16" xfId="73"/>
    <cellStyle name="40% - アクセント 1 2" xfId="74"/>
    <cellStyle name="60% - アクセント 1 2" xfId="75"/>
    <cellStyle name="20% - アクセント 5 2" xfId="76"/>
    <cellStyle name="出力 2 16" xfId="77"/>
    <cellStyle name="20% - アクセント 1 2" xfId="78"/>
    <cellStyle name="20% - アクセント 2 2" xfId="79"/>
    <cellStyle name="20% - アクセント 3 2" xfId="80"/>
    <cellStyle name="20% - アクセント 4 2" xfId="81"/>
    <cellStyle name="40% - アクセント 2 2" xfId="82"/>
    <cellStyle name="40% - アクセント 3 2" xfId="83"/>
    <cellStyle name="40% - アクセント 4 2" xfId="84"/>
    <cellStyle name="メモ 2 2 9" xfId="85"/>
    <cellStyle name="60% - アクセント 3 2" xfId="86"/>
    <cellStyle name="計算 2 4" xfId="87"/>
    <cellStyle name="60% - アクセント 4 2" xfId="88"/>
    <cellStyle name="60% - アクセント 5 2" xfId="89"/>
    <cellStyle name="常规 2 2 15" xfId="90"/>
    <cellStyle name="Standard_O2Kmini Sort 2003 Feb 13 Korr 17 Juli 2003 Daten" xfId="91"/>
    <cellStyle name="アクセント 1 2" xfId="92"/>
    <cellStyle name="アクセント 2 2" xfId="93"/>
    <cellStyle name="アクセント 4 2" xfId="94"/>
    <cellStyle name="アクセント 6 2" xfId="95"/>
    <cellStyle name="計算 2 12" xfId="96"/>
    <cellStyle name="タイトル 2" xfId="97"/>
    <cellStyle name="入力 2" xfId="98"/>
    <cellStyle name="チェック セル 2" xfId="99"/>
    <cellStyle name="メモ 2" xfId="100"/>
    <cellStyle name="出力 2 3" xfId="101"/>
    <cellStyle name="メモ 2 10" xfId="102"/>
    <cellStyle name="出力 2 4" xfId="103"/>
    <cellStyle name="メモ 2 11" xfId="104"/>
    <cellStyle name="出力 2 5" xfId="105"/>
    <cellStyle name="標準_InternalCatalogCurve（M-硝材その2）" xfId="106"/>
    <cellStyle name="メモ 2 12" xfId="107"/>
    <cellStyle name="出力 2 6" xfId="108"/>
    <cellStyle name="メモ 2 2 2" xfId="109"/>
    <cellStyle name="メモ 2 13" xfId="110"/>
    <cellStyle name="出力 2 7" xfId="111"/>
    <cellStyle name="メモ 2 2 3" xfId="112"/>
    <cellStyle name="メモ 2 14" xfId="113"/>
    <cellStyle name="出力 2 8" xfId="114"/>
    <cellStyle name="メモ 2 20" xfId="115"/>
    <cellStyle name="メモ 2 2 4" xfId="116"/>
    <cellStyle name="メモ 2 15" xfId="117"/>
    <cellStyle name="メモ 2 2 6" xfId="118"/>
    <cellStyle name="メモ 2 17" xfId="119"/>
    <cellStyle name="メモ 2 2 7" xfId="120"/>
    <cellStyle name="メモ 2 18" xfId="121"/>
    <cellStyle name="メモ 2 2 8" xfId="122"/>
    <cellStyle name="メモ 2 19" xfId="123"/>
    <cellStyle name="入力 2 5" xfId="124"/>
    <cellStyle name="メモ 2 2" xfId="125"/>
    <cellStyle name="メモ 2 2 10" xfId="126"/>
    <cellStyle name="メモ 2 2 11" xfId="127"/>
    <cellStyle name="メモ 2 2 18" xfId="128"/>
    <cellStyle name="メモ 2 2 19" xfId="129"/>
    <cellStyle name="入力 2 6" xfId="130"/>
    <cellStyle name="メモ 2 3" xfId="131"/>
    <cellStyle name="入力 2 7" xfId="132"/>
    <cellStyle name="標準 2" xfId="133"/>
    <cellStyle name="メモ 2 4" xfId="134"/>
    <cellStyle name="入力 2 8" xfId="135"/>
    <cellStyle name="標準 3" xfId="136"/>
    <cellStyle name="メモ 2 5" xfId="137"/>
    <cellStyle name="入力 2 9" xfId="138"/>
    <cellStyle name="メモ 2 6" xfId="139"/>
    <cellStyle name="メモ 2 7" xfId="140"/>
    <cellStyle name="常规 10" xfId="141"/>
    <cellStyle name="メモ 2 8" xfId="142"/>
    <cellStyle name="常规 11" xfId="143"/>
    <cellStyle name="標準 7" xfId="144"/>
    <cellStyle name="メモ 2 9" xfId="145"/>
    <cellStyle name="リンク セル 2" xfId="146"/>
    <cellStyle name="出力 2 17" xfId="147"/>
    <cellStyle name="標準 2 2" xfId="148"/>
    <cellStyle name="標準 3 2" xfId="149"/>
    <cellStyle name="常规 10 2" xfId="150"/>
    <cellStyle name="常规 11 2" xfId="151"/>
    <cellStyle name="常规 12" xfId="152"/>
    <cellStyle name="常规 12 2" xfId="153"/>
    <cellStyle name="常规 13" xfId="154"/>
    <cellStyle name="常规 13 2" xfId="155"/>
    <cellStyle name="常规 14" xfId="156"/>
    <cellStyle name="常规 20" xfId="157"/>
    <cellStyle name="常规 15" xfId="158"/>
    <cellStyle name="常规 16" xfId="159"/>
    <cellStyle name="常规 17" xfId="160"/>
    <cellStyle name="常规 17 2" xfId="161"/>
    <cellStyle name="常规 18" xfId="162"/>
    <cellStyle name="常规 19" xfId="163"/>
    <cellStyle name="常规 2" xfId="164"/>
    <cellStyle name="常规 2 10" xfId="165"/>
    <cellStyle name="常规 2 11" xfId="166"/>
    <cellStyle name="常规 2 12" xfId="167"/>
    <cellStyle name="常规 2 13" xfId="168"/>
    <cellStyle name="常规 2 14" xfId="169"/>
    <cellStyle name="常规 2 15" xfId="170"/>
    <cellStyle name="常规 2 16" xfId="171"/>
    <cellStyle name="千位分隔 2 2" xfId="172"/>
    <cellStyle name="常规 2 17" xfId="173"/>
    <cellStyle name="常规 2 18" xfId="174"/>
    <cellStyle name="常规 2 19" xfId="175"/>
    <cellStyle name="常规 2 2" xfId="176"/>
    <cellStyle name="常规 2 2 10" xfId="177"/>
    <cellStyle name="常规 2 2 11" xfId="178"/>
    <cellStyle name="常规 2 2 12" xfId="179"/>
    <cellStyle name="常规 2 2 13" xfId="180"/>
    <cellStyle name="常规 2 2 14" xfId="181"/>
    <cellStyle name="常规 2 2 16" xfId="182"/>
    <cellStyle name="常规 2 2 17" xfId="183"/>
    <cellStyle name="常规 2 2 18" xfId="184"/>
    <cellStyle name="常规 2 2 19" xfId="185"/>
    <cellStyle name="常规 2 2 2" xfId="186"/>
    <cellStyle name="説明文 2" xfId="187"/>
    <cellStyle name="常规 2 2 3" xfId="188"/>
    <cellStyle name="常规 2 2 5" xfId="189"/>
    <cellStyle name="常规 2 2 6" xfId="190"/>
    <cellStyle name="常规 2 2 7" xfId="191"/>
    <cellStyle name="常规 2 2 8" xfId="192"/>
    <cellStyle name="常规 2 2 9" xfId="193"/>
    <cellStyle name="常规 2 3" xfId="194"/>
    <cellStyle name="常规 2 4" xfId="195"/>
    <cellStyle name="入力 2 11" xfId="196"/>
    <cellStyle name="常规 2 6" xfId="197"/>
    <cellStyle name="入力 2 12" xfId="198"/>
    <cellStyle name="常规 2 7" xfId="199"/>
    <cellStyle name="入力 2 13" xfId="200"/>
    <cellStyle name="常规 2 8" xfId="201"/>
    <cellStyle name="入力 2 14" xfId="202"/>
    <cellStyle name="常规 2 9" xfId="203"/>
    <cellStyle name="常规 3" xfId="204"/>
    <cellStyle name="常规 4" xfId="205"/>
    <cellStyle name="常规 5" xfId="206"/>
    <cellStyle name="常规 7" xfId="207"/>
    <cellStyle name="常规 8" xfId="208"/>
    <cellStyle name="常规 9" xfId="209"/>
    <cellStyle name="常规 9 2" xfId="210"/>
    <cellStyle name="出力 2 10" xfId="211"/>
    <cellStyle name="出力 2 11" xfId="212"/>
    <cellStyle name="出力 2 12" xfId="213"/>
    <cellStyle name="出力 2 13" xfId="214"/>
    <cellStyle name="出力 2 14" xfId="215"/>
    <cellStyle name="出力 2 15" xfId="216"/>
    <cellStyle name="出力 2 18" xfId="217"/>
    <cellStyle name="出力 2 19" xfId="218"/>
    <cellStyle name="出力 2 2" xfId="219"/>
    <cellStyle name="入力 2 15" xfId="220"/>
    <cellStyle name="悪い 2" xfId="221"/>
    <cellStyle name="集計 2" xfId="222"/>
    <cellStyle name="集計 2 10" xfId="223"/>
    <cellStyle name="集計 2 11" xfId="224"/>
    <cellStyle name="集計 2 12" xfId="225"/>
    <cellStyle name="集計 2 13" xfId="226"/>
    <cellStyle name="集計 2 14" xfId="227"/>
    <cellStyle name="集計 2 15" xfId="228"/>
    <cellStyle name="集計 2 17" xfId="229"/>
    <cellStyle name="集計 2 18" xfId="230"/>
    <cellStyle name="集計 2 19" xfId="231"/>
    <cellStyle name="集計 2 2" xfId="232"/>
    <cellStyle name="集計 2 3" xfId="233"/>
    <cellStyle name="集計 2 4" xfId="234"/>
    <cellStyle name="集計 2 5" xfId="235"/>
    <cellStyle name="集計 2 6" xfId="236"/>
    <cellStyle name="集計 2 7" xfId="237"/>
    <cellStyle name="集計 2 8" xfId="238"/>
    <cellStyle name="集計 2 9" xfId="239"/>
    <cellStyle name="入力 2 16" xfId="240"/>
    <cellStyle name="計算 2" xfId="241"/>
    <cellStyle name="計算 2 13" xfId="242"/>
    <cellStyle name="計算 2 14" xfId="243"/>
    <cellStyle name="計算 2 15" xfId="244"/>
    <cellStyle name="見出し 2 2" xfId="245"/>
    <cellStyle name="計算 2 16" xfId="246"/>
    <cellStyle name="計算 2 17" xfId="247"/>
    <cellStyle name="計算 2 18" xfId="248"/>
    <cellStyle name="計算 2 19" xfId="249"/>
    <cellStyle name="計算 2 2" xfId="250"/>
    <cellStyle name="計算 2 3" xfId="251"/>
    <cellStyle name="計算 2 5" xfId="252"/>
    <cellStyle name="計算 2 6" xfId="253"/>
    <cellStyle name="計算 2 7" xfId="254"/>
    <cellStyle name="計算 2 8" xfId="255"/>
    <cellStyle name="計算 2 9" xfId="256"/>
    <cellStyle name="見出し 1 2" xfId="257"/>
    <cellStyle name="見出し 3 2" xfId="258"/>
    <cellStyle name="見出し 4 2" xfId="259"/>
    <cellStyle name="警告文 2" xfId="260"/>
    <cellStyle name="入力 2 3" xfId="261"/>
    <cellStyle name="良い 2" xfId="262"/>
    <cellStyle name="常规_5L试验结果" xfId="263"/>
    <cellStyle name="千位分隔 2" xfId="264"/>
    <cellStyle name="入力 2 17" xfId="265"/>
    <cellStyle name="入力 2 18" xfId="266"/>
    <cellStyle name="入力 2 19" xfId="267"/>
    <cellStyle name="入力 2 2" xfId="268"/>
    <cellStyle name="入力 2 4" xfId="269"/>
  </cellStyles>
  <tableStyles count="0" defaultTableStyle="TableStyleMedium9" defaultPivotStyle="PivotStyleLight16"/>
  <colors>
    <mruColors>
      <color rgb="00C7E6D0"/>
      <color rgb="00C7E6D4"/>
      <color rgb="00C7EFD4"/>
      <color rgb="000066CC"/>
      <color rgb="008FFE22"/>
      <color rgb="000000FF"/>
      <color rgb="00FF0000"/>
      <color rgb="00FFFF00"/>
      <color rgb="00B7DEE8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68;&#25454;&#31649;&#29702;\&#21508;&#20844;&#21496;&#25163;&#20876;\2017&#24180;&#25968;&#25454;&#20462;&#35746;\2017NHG&#25163;&#20876;\2017NHG&#25968;&#25454;&#34920;201707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68;&#25454;&#31649;&#29702;\&#21508;&#20844;&#21496;&#21382;&#24180;&#25163;&#20876;\2017&#24180;&#25968;&#25454;&#20462;&#35746;\2017NHG&#25163;&#20876;\NHG&#25163;&#20876;&#25490;&#29256;20170808\2017NHG&#25968;&#25454;&#34920;8.9(&#23545;&#2280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HG2017数据"/>
      <sheetName val="数据手册"/>
      <sheetName val="简化版 无色"/>
      <sheetName val="IR GLASS "/>
      <sheetName val="硫系玻璃手册"/>
      <sheetName val="简化版 中红外"/>
      <sheetName val="简化版 硫系"/>
      <sheetName val="2017年对比"/>
      <sheetName val="NHGDZB"/>
      <sheetName val="OHARA2016数据"/>
      <sheetName val="HOYA2016数据"/>
      <sheetName val="CDGM2016数据"/>
      <sheetName val="SCHOTT2016数据"/>
      <sheetName val="简化本"/>
    </sheetNames>
    <sheetDataSet>
      <sheetData sheetId="0" refreshError="1">
        <row r="5">
          <cell r="B5" t="str">
            <v>H-FK61</v>
          </cell>
          <cell r="C5">
            <v>497816</v>
          </cell>
          <cell r="D5">
            <v>81.61</v>
          </cell>
          <cell r="E5">
            <v>81.2</v>
          </cell>
          <cell r="F5">
            <v>0.00609</v>
          </cell>
          <cell r="G5">
            <v>0.006139</v>
          </cell>
          <cell r="H5">
            <v>1.4795</v>
          </cell>
          <cell r="I5">
            <v>1.48263</v>
          </cell>
          <cell r="J5">
            <v>1.48606</v>
          </cell>
          <cell r="K5">
            <v>1.4891</v>
          </cell>
          <cell r="L5">
            <v>1.4901</v>
          </cell>
          <cell r="M5">
            <v>1.49183</v>
          </cell>
          <cell r="N5">
            <v>1.49301</v>
          </cell>
          <cell r="O5">
            <v>1.49407</v>
          </cell>
          <cell r="P5">
            <v>1.49514</v>
          </cell>
          <cell r="Q5">
            <v>1.49543</v>
          </cell>
          <cell r="R5">
            <v>1.49571</v>
          </cell>
          <cell r="S5">
            <v>1.49694</v>
          </cell>
          <cell r="T5">
            <v>1.497</v>
          </cell>
          <cell r="U5">
            <v>1.49845</v>
          </cell>
          <cell r="V5">
            <v>1.50123</v>
          </cell>
          <cell r="W5">
            <v>1.50157</v>
          </cell>
          <cell r="X5">
            <v>1.50451</v>
          </cell>
          <cell r="Y5">
            <v>1.50721</v>
          </cell>
          <cell r="Z5">
            <v>1.51173</v>
          </cell>
          <cell r="AA5">
            <v>2.21807952</v>
          </cell>
          <cell r="AB5">
            <v>-0.00567922113</v>
          </cell>
          <cell r="AC5">
            <v>0.00828756139</v>
          </cell>
          <cell r="AD5">
            <v>9.66891434e-5</v>
          </cell>
          <cell r="AE5">
            <v>3.56668643e-6</v>
          </cell>
          <cell r="AF5">
            <v>-3.63065113e-7</v>
          </cell>
          <cell r="AG5">
            <v>0.305418719211847</v>
          </cell>
          <cell r="AH5">
            <v>0.238095238095224</v>
          </cell>
          <cell r="AI5">
            <v>0.538587848932655</v>
          </cell>
          <cell r="AJ5">
            <v>0.255700325732909</v>
          </cell>
          <cell r="AK5">
            <v>0.236156351791522</v>
          </cell>
          <cell r="AL5">
            <v>0.478827361563506</v>
          </cell>
          <cell r="AM5">
            <v>0.0113347626929287</v>
          </cell>
          <cell r="AN5">
            <v>0.0305420589326549</v>
          </cell>
          <cell r="AO5">
            <v>-0.10799585310348</v>
          </cell>
          <cell r="AP5">
            <v>-0.0527500426929652</v>
          </cell>
          <cell r="AQ5">
            <v>-5.5</v>
          </cell>
          <cell r="AR5">
            <v>-5.8</v>
          </cell>
          <cell r="AS5">
            <v>-6.1</v>
          </cell>
          <cell r="AT5">
            <v>-6.4</v>
          </cell>
          <cell r="AU5">
            <v>-6.6</v>
          </cell>
          <cell r="AV5">
            <v>-6.7</v>
          </cell>
          <cell r="AW5">
            <v>-5.3</v>
          </cell>
          <cell r="AX5">
            <v>-5.7</v>
          </cell>
          <cell r="AY5">
            <v>-5.9</v>
          </cell>
          <cell r="AZ5">
            <v>-6.2</v>
          </cell>
          <cell r="BA5">
            <v>-6.4</v>
          </cell>
          <cell r="BB5">
            <v>-6.6</v>
          </cell>
          <cell r="BC5">
            <v>-5.3</v>
          </cell>
          <cell r="BD5">
            <v>-5.7</v>
          </cell>
          <cell r="BE5">
            <v>-5.9</v>
          </cell>
          <cell r="BF5">
            <v>-6.2</v>
          </cell>
          <cell r="BG5">
            <v>-6.4</v>
          </cell>
          <cell r="BH5">
            <v>-6.5</v>
          </cell>
          <cell r="BI5">
            <v>-5.3</v>
          </cell>
          <cell r="BJ5">
            <v>-5.6</v>
          </cell>
          <cell r="BK5">
            <v>-5.9</v>
          </cell>
          <cell r="BL5">
            <v>-6.1</v>
          </cell>
          <cell r="BM5">
            <v>-6.3</v>
          </cell>
          <cell r="BN5">
            <v>-6.5</v>
          </cell>
          <cell r="BO5">
            <v>-5.2</v>
          </cell>
          <cell r="BP5">
            <v>-5.5</v>
          </cell>
          <cell r="BQ5">
            <v>-5.8</v>
          </cell>
          <cell r="BR5">
            <v>-6</v>
          </cell>
          <cell r="BS5">
            <v>-6.2</v>
          </cell>
          <cell r="BT5">
            <v>-6.4</v>
          </cell>
          <cell r="BU5">
            <v>-5</v>
          </cell>
          <cell r="BV5">
            <v>-5.4</v>
          </cell>
          <cell r="BW5">
            <v>-5.6</v>
          </cell>
          <cell r="BX5">
            <v>-5.9</v>
          </cell>
          <cell r="BY5">
            <v>-6.1</v>
          </cell>
          <cell r="BZ5">
            <v>-6.2</v>
          </cell>
          <cell r="CA5">
            <v>-4.9</v>
          </cell>
          <cell r="CB5">
            <v>-5.2</v>
          </cell>
          <cell r="CC5">
            <v>-5.4</v>
          </cell>
          <cell r="CD5">
            <v>-5.7</v>
          </cell>
          <cell r="CE5">
            <v>-5.9</v>
          </cell>
          <cell r="CF5">
            <v>-6</v>
          </cell>
          <cell r="CG5">
            <v>-7.3</v>
          </cell>
          <cell r="CH5">
            <v>-7.4</v>
          </cell>
          <cell r="CI5">
            <v>-7.4</v>
          </cell>
          <cell r="CJ5">
            <v>-7.5</v>
          </cell>
          <cell r="CK5">
            <v>-7.5</v>
          </cell>
          <cell r="CL5">
            <v>-7.6</v>
          </cell>
          <cell r="CM5">
            <v>-1.9e-5</v>
          </cell>
          <cell r="CN5">
            <v>-3.74e-9</v>
          </cell>
          <cell r="CO5">
            <v>-2.14e-12</v>
          </cell>
          <cell r="CP5">
            <v>3.58e-7</v>
          </cell>
          <cell r="CQ5">
            <v>4.093e-10</v>
          </cell>
          <cell r="CR5">
            <v>0.17</v>
          </cell>
          <cell r="CS5">
            <v>1</v>
          </cell>
          <cell r="CT5">
            <v>2</v>
          </cell>
          <cell r="CU5">
            <v>1</v>
          </cell>
          <cell r="CV5">
            <v>3</v>
          </cell>
          <cell r="CW5">
            <v>2</v>
          </cell>
          <cell r="CX5">
            <v>2</v>
          </cell>
          <cell r="CY5">
            <v>0</v>
          </cell>
          <cell r="CZ5">
            <v>0</v>
          </cell>
          <cell r="DA5">
            <v>450</v>
          </cell>
          <cell r="DB5">
            <v>488</v>
          </cell>
          <cell r="DC5">
            <v>421</v>
          </cell>
          <cell r="DD5">
            <v>442</v>
          </cell>
          <cell r="DE5">
            <v>124</v>
          </cell>
          <cell r="DF5">
            <v>0</v>
          </cell>
          <cell r="DG5">
            <v>155</v>
          </cell>
          <cell r="DH5">
            <v>0</v>
          </cell>
          <cell r="DI5">
            <v>58</v>
          </cell>
          <cell r="DJ5">
            <v>0</v>
          </cell>
          <cell r="DK5">
            <v>350</v>
          </cell>
          <cell r="DL5">
            <v>405</v>
          </cell>
          <cell r="DM5">
            <v>7011</v>
          </cell>
          <cell r="DN5">
            <v>2691</v>
          </cell>
          <cell r="DO5">
            <v>0.301</v>
          </cell>
          <cell r="DP5">
            <v>0</v>
          </cell>
          <cell r="DQ5" t="str">
            <v>330/280</v>
          </cell>
          <cell r="DR5">
            <v>325</v>
          </cell>
          <cell r="DS5">
            <v>278</v>
          </cell>
          <cell r="DT5">
            <v>3.67</v>
          </cell>
          <cell r="DU5">
            <v>0.999</v>
          </cell>
          <cell r="DV5">
            <v>0.999</v>
          </cell>
          <cell r="DW5">
            <v>0.999</v>
          </cell>
          <cell r="DX5">
            <v>0.999</v>
          </cell>
          <cell r="DY5">
            <v>0.999</v>
          </cell>
          <cell r="DZ5">
            <v>0.999</v>
          </cell>
          <cell r="EA5">
            <v>0.999</v>
          </cell>
          <cell r="EB5">
            <v>0.999</v>
          </cell>
          <cell r="EC5">
            <v>0.999</v>
          </cell>
          <cell r="ED5">
            <v>0.999</v>
          </cell>
          <cell r="EE5">
            <v>0.999</v>
          </cell>
          <cell r="EF5">
            <v>0.999</v>
          </cell>
          <cell r="EG5">
            <v>0.999</v>
          </cell>
          <cell r="EH5">
            <v>0.999</v>
          </cell>
          <cell r="EI5">
            <v>0.999</v>
          </cell>
          <cell r="EJ5">
            <v>0.999</v>
          </cell>
          <cell r="EK5">
            <v>0.999</v>
          </cell>
          <cell r="EL5">
            <v>0.999</v>
          </cell>
          <cell r="EM5">
            <v>0.999</v>
          </cell>
          <cell r="EN5">
            <v>0.999</v>
          </cell>
          <cell r="EO5">
            <v>0.999</v>
          </cell>
          <cell r="EP5">
            <v>0.999</v>
          </cell>
          <cell r="EQ5">
            <v>0.999</v>
          </cell>
          <cell r="ER5">
            <v>0.999</v>
          </cell>
          <cell r="ES5">
            <v>0.998</v>
          </cell>
          <cell r="ET5">
            <v>0.996</v>
          </cell>
          <cell r="EU5">
            <v>0.993</v>
          </cell>
          <cell r="EV5">
            <v>0.991</v>
          </cell>
          <cell r="EW5">
            <v>0.982</v>
          </cell>
          <cell r="EX5">
            <v>0.96</v>
          </cell>
          <cell r="EY5">
            <v>0.92</v>
          </cell>
          <cell r="EZ5">
            <v>0.848</v>
          </cell>
          <cell r="FA5">
            <v>0.733</v>
          </cell>
          <cell r="FB5">
            <v>0.578</v>
          </cell>
          <cell r="FC5">
            <v>0.408</v>
          </cell>
          <cell r="FD5">
            <v>0.257</v>
          </cell>
          <cell r="FE5">
            <v>0.998</v>
          </cell>
          <cell r="FF5">
            <v>0.998</v>
          </cell>
          <cell r="FG5">
            <v>0.998</v>
          </cell>
          <cell r="FH5">
            <v>0.998</v>
          </cell>
          <cell r="FI5">
            <v>0.998</v>
          </cell>
          <cell r="FJ5">
            <v>0.998</v>
          </cell>
          <cell r="FK5">
            <v>0.998</v>
          </cell>
          <cell r="FL5">
            <v>0.998</v>
          </cell>
          <cell r="FM5">
            <v>0.998</v>
          </cell>
          <cell r="FN5">
            <v>0.998</v>
          </cell>
          <cell r="FO5">
            <v>0.998</v>
          </cell>
          <cell r="FP5">
            <v>0.998</v>
          </cell>
          <cell r="FQ5">
            <v>0.998</v>
          </cell>
          <cell r="FR5">
            <v>0.998</v>
          </cell>
          <cell r="FS5">
            <v>0.998</v>
          </cell>
          <cell r="FT5">
            <v>0.998</v>
          </cell>
          <cell r="FU5">
            <v>0.998</v>
          </cell>
          <cell r="FV5">
            <v>0.998</v>
          </cell>
          <cell r="FW5">
            <v>0.998</v>
          </cell>
          <cell r="FX5">
            <v>0.998</v>
          </cell>
          <cell r="FY5">
            <v>0.998</v>
          </cell>
          <cell r="FZ5">
            <v>0.998</v>
          </cell>
          <cell r="GA5">
            <v>0.998</v>
          </cell>
          <cell r="GB5">
            <v>0.997</v>
          </cell>
          <cell r="GC5">
            <v>0.995</v>
          </cell>
          <cell r="GD5">
            <v>0.992</v>
          </cell>
          <cell r="GE5">
            <v>0.987</v>
          </cell>
          <cell r="GF5">
            <v>0.98</v>
          </cell>
          <cell r="GG5">
            <v>0.962</v>
          </cell>
          <cell r="GH5">
            <v>0.923</v>
          </cell>
          <cell r="GI5">
            <v>0.848</v>
          </cell>
          <cell r="GJ5">
            <v>0.721</v>
          </cell>
          <cell r="GK5">
            <v>0.54</v>
          </cell>
          <cell r="GL5">
            <v>0.339</v>
          </cell>
          <cell r="GM5">
            <v>0.171</v>
          </cell>
          <cell r="GN5">
            <v>0.07</v>
          </cell>
        </row>
        <row r="6">
          <cell r="B6" t="str">
            <v>H-FK69</v>
          </cell>
          <cell r="C6">
            <v>593686</v>
          </cell>
          <cell r="D6">
            <v>68.63</v>
          </cell>
          <cell r="E6">
            <v>68.25</v>
          </cell>
          <cell r="F6">
            <v>0.008638</v>
          </cell>
          <cell r="G6">
            <v>0.008716</v>
          </cell>
          <cell r="H6">
            <v>1.57002</v>
          </cell>
          <cell r="I6">
            <v>1.57383</v>
          </cell>
          <cell r="J6">
            <v>1.57808</v>
          </cell>
          <cell r="K6">
            <v>1.58198</v>
          </cell>
          <cell r="L6">
            <v>1.58328</v>
          </cell>
          <cell r="M6">
            <v>1.58561</v>
          </cell>
          <cell r="N6">
            <v>1.58723</v>
          </cell>
          <cell r="O6">
            <v>1.58873</v>
          </cell>
          <cell r="P6">
            <v>1.59021</v>
          </cell>
          <cell r="Q6">
            <v>1.59062</v>
          </cell>
          <cell r="R6">
            <v>1.59101</v>
          </cell>
          <cell r="S6">
            <v>1.59275</v>
          </cell>
          <cell r="T6">
            <v>1.59282</v>
          </cell>
          <cell r="U6">
            <v>1.59489</v>
          </cell>
          <cell r="V6">
            <v>1.59884</v>
          </cell>
          <cell r="W6">
            <v>1.59934</v>
          </cell>
          <cell r="X6">
            <v>1.60354</v>
          </cell>
          <cell r="Y6">
            <v>1.6074</v>
          </cell>
          <cell r="Z6">
            <v>1.61397</v>
          </cell>
          <cell r="AA6">
            <v>2.50210584</v>
          </cell>
          <cell r="AB6">
            <v>-0.00729437368</v>
          </cell>
          <cell r="AC6">
            <v>0.0122873858</v>
          </cell>
          <cell r="AD6">
            <v>0.000257463363</v>
          </cell>
          <cell r="AE6">
            <v>-1.16391265e-5</v>
          </cell>
          <cell r="AF6">
            <v>6.15553004e-7</v>
          </cell>
          <cell r="AG6">
            <v>0.30243337195828</v>
          </cell>
          <cell r="AH6">
            <v>0.23986095017381</v>
          </cell>
          <cell r="AI6">
            <v>0.544611819235209</v>
          </cell>
          <cell r="AJ6">
            <v>0.252293577981647</v>
          </cell>
          <cell r="AK6">
            <v>0.237385321100918</v>
          </cell>
          <cell r="AL6">
            <v>0.481651376146783</v>
          </cell>
          <cell r="AM6">
            <v>0.00538943786790925</v>
          </cell>
          <cell r="AN6">
            <v>0.0150062492352088</v>
          </cell>
          <cell r="AO6">
            <v>-0.0696682337659594</v>
          </cell>
          <cell r="AP6">
            <v>-0.0320876662804328</v>
          </cell>
          <cell r="AQ6">
            <v>-5.5</v>
          </cell>
          <cell r="AR6">
            <v>-5.8</v>
          </cell>
          <cell r="AS6">
            <v>-5.9</v>
          </cell>
          <cell r="AT6">
            <v>-6.1</v>
          </cell>
          <cell r="AU6">
            <v>-6.1</v>
          </cell>
          <cell r="AV6">
            <v>-6.1</v>
          </cell>
          <cell r="AW6">
            <v>-5.2</v>
          </cell>
          <cell r="AX6">
            <v>-5.5</v>
          </cell>
          <cell r="AY6">
            <v>-5.7</v>
          </cell>
          <cell r="AZ6">
            <v>-5.8</v>
          </cell>
          <cell r="BA6">
            <v>-5.8</v>
          </cell>
          <cell r="BB6">
            <v>-5.8</v>
          </cell>
          <cell r="BC6">
            <v>-5.2</v>
          </cell>
          <cell r="BD6">
            <v>-5.5</v>
          </cell>
          <cell r="BE6">
            <v>-5.7</v>
          </cell>
          <cell r="BF6">
            <v>-5.8</v>
          </cell>
          <cell r="BG6">
            <v>-5.8</v>
          </cell>
          <cell r="BH6">
            <v>-5.8</v>
          </cell>
          <cell r="BI6">
            <v>-5.1</v>
          </cell>
          <cell r="BJ6">
            <v>-5.5</v>
          </cell>
          <cell r="BK6">
            <v>-5.6</v>
          </cell>
          <cell r="BL6">
            <v>-5.7</v>
          </cell>
          <cell r="BM6">
            <v>-5.7</v>
          </cell>
          <cell r="BN6">
            <v>-5.7</v>
          </cell>
          <cell r="BO6">
            <v>-5.1</v>
          </cell>
          <cell r="BP6">
            <v>-5.3</v>
          </cell>
          <cell r="BQ6">
            <v>-5.5</v>
          </cell>
          <cell r="BR6">
            <v>-5.6</v>
          </cell>
          <cell r="BS6">
            <v>-5.6</v>
          </cell>
          <cell r="BT6">
            <v>-5.6</v>
          </cell>
          <cell r="BU6">
            <v>-4.8</v>
          </cell>
          <cell r="BV6">
            <v>-5.1</v>
          </cell>
          <cell r="BW6">
            <v>-5.3</v>
          </cell>
          <cell r="BX6">
            <v>-5.4</v>
          </cell>
          <cell r="BY6">
            <v>-5.4</v>
          </cell>
          <cell r="BZ6">
            <v>-5.4</v>
          </cell>
          <cell r="CA6">
            <v>-4.6</v>
          </cell>
          <cell r="CB6">
            <v>-4.9</v>
          </cell>
          <cell r="CC6">
            <v>-5.1</v>
          </cell>
          <cell r="CD6">
            <v>-5.1</v>
          </cell>
          <cell r="CE6">
            <v>-5.1</v>
          </cell>
          <cell r="CF6">
            <v>-5.1</v>
          </cell>
          <cell r="CG6">
            <v>-7.4</v>
          </cell>
          <cell r="CH6">
            <v>-7.4</v>
          </cell>
          <cell r="CI6">
            <v>-7.3</v>
          </cell>
          <cell r="CJ6">
            <v>-7.2</v>
          </cell>
          <cell r="CK6">
            <v>-7</v>
          </cell>
          <cell r="CL6">
            <v>-6.9</v>
          </cell>
          <cell r="CM6">
            <v>-1.53210371028667e-5</v>
          </cell>
          <cell r="CN6">
            <v>3.89362255391826e-9</v>
          </cell>
          <cell r="CO6">
            <v>2.25750531843756e-11</v>
          </cell>
          <cell r="CP6">
            <v>1.29108542233888e-7</v>
          </cell>
          <cell r="CQ6">
            <v>1.16567283398502e-10</v>
          </cell>
          <cell r="CR6">
            <v>0.346017889573545</v>
          </cell>
          <cell r="CS6">
            <v>1</v>
          </cell>
          <cell r="CT6">
            <v>1</v>
          </cell>
          <cell r="CU6">
            <v>1</v>
          </cell>
          <cell r="CV6">
            <v>3</v>
          </cell>
          <cell r="CW6">
            <v>2</v>
          </cell>
          <cell r="CX6">
            <v>2</v>
          </cell>
          <cell r="CY6">
            <v>0</v>
          </cell>
          <cell r="CZ6">
            <v>0</v>
          </cell>
          <cell r="DA6">
            <v>589</v>
          </cell>
          <cell r="DB6">
            <v>608</v>
          </cell>
          <cell r="DC6">
            <v>564</v>
          </cell>
          <cell r="DD6">
            <v>575</v>
          </cell>
          <cell r="DE6">
            <v>113</v>
          </cell>
          <cell r="DF6">
            <v>0</v>
          </cell>
          <cell r="DG6">
            <v>136</v>
          </cell>
          <cell r="DH6">
            <v>0</v>
          </cell>
          <cell r="DI6">
            <v>95</v>
          </cell>
          <cell r="DJ6">
            <v>0</v>
          </cell>
          <cell r="DK6">
            <v>390</v>
          </cell>
          <cell r="DL6">
            <v>365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 t="str">
            <v>365/305</v>
          </cell>
          <cell r="DR6">
            <v>353</v>
          </cell>
          <cell r="DS6">
            <v>300</v>
          </cell>
          <cell r="DT6">
            <v>4.07</v>
          </cell>
          <cell r="DU6">
            <v>0.999</v>
          </cell>
          <cell r="DV6">
            <v>0.999</v>
          </cell>
          <cell r="DW6">
            <v>0.999</v>
          </cell>
          <cell r="DX6">
            <v>0.999</v>
          </cell>
          <cell r="DY6">
            <v>0.999</v>
          </cell>
          <cell r="DZ6">
            <v>0.999</v>
          </cell>
          <cell r="EA6">
            <v>0.999</v>
          </cell>
          <cell r="EB6">
            <v>0.999</v>
          </cell>
          <cell r="EC6">
            <v>0.999</v>
          </cell>
          <cell r="ED6">
            <v>0.999</v>
          </cell>
          <cell r="EE6">
            <v>0.999</v>
          </cell>
          <cell r="EF6">
            <v>0.999</v>
          </cell>
          <cell r="EG6">
            <v>0.999</v>
          </cell>
          <cell r="EH6">
            <v>0.999</v>
          </cell>
          <cell r="EI6">
            <v>0.999</v>
          </cell>
          <cell r="EJ6">
            <v>0.999</v>
          </cell>
          <cell r="EK6">
            <v>0.999</v>
          </cell>
          <cell r="EL6">
            <v>0.999</v>
          </cell>
          <cell r="EM6">
            <v>0.999</v>
          </cell>
          <cell r="EN6">
            <v>0.999</v>
          </cell>
          <cell r="EO6">
            <v>0.999</v>
          </cell>
          <cell r="EP6">
            <v>0.997</v>
          </cell>
          <cell r="EQ6">
            <v>0.995</v>
          </cell>
          <cell r="ER6">
            <v>0.992</v>
          </cell>
          <cell r="ES6">
            <v>0.988</v>
          </cell>
          <cell r="ET6">
            <v>0.979</v>
          </cell>
          <cell r="EU6">
            <v>0.961</v>
          </cell>
          <cell r="EV6">
            <v>0.919</v>
          </cell>
          <cell r="EW6">
            <v>0.851</v>
          </cell>
          <cell r="EX6">
            <v>0.742</v>
          </cell>
          <cell r="EY6">
            <v>0.589</v>
          </cell>
          <cell r="EZ6">
            <v>0.415</v>
          </cell>
          <cell r="FA6">
            <v>0.261</v>
          </cell>
          <cell r="FB6">
            <v>0.152</v>
          </cell>
          <cell r="FC6">
            <v>0</v>
          </cell>
          <cell r="FD6">
            <v>0</v>
          </cell>
          <cell r="FE6">
            <v>0.998</v>
          </cell>
          <cell r="FF6">
            <v>0.998</v>
          </cell>
          <cell r="FG6">
            <v>0.998</v>
          </cell>
          <cell r="FH6">
            <v>0.998</v>
          </cell>
          <cell r="FI6">
            <v>0.998</v>
          </cell>
          <cell r="FJ6">
            <v>0.998</v>
          </cell>
          <cell r="FK6">
            <v>0.998</v>
          </cell>
          <cell r="FL6">
            <v>0.998</v>
          </cell>
          <cell r="FM6">
            <v>0.998</v>
          </cell>
          <cell r="FN6">
            <v>0.998</v>
          </cell>
          <cell r="FO6">
            <v>0.998</v>
          </cell>
          <cell r="FP6">
            <v>0.998</v>
          </cell>
          <cell r="FQ6">
            <v>0.998</v>
          </cell>
          <cell r="FR6">
            <v>0.998</v>
          </cell>
          <cell r="FS6">
            <v>0.998</v>
          </cell>
          <cell r="FT6">
            <v>0.998</v>
          </cell>
          <cell r="FU6">
            <v>0.998</v>
          </cell>
          <cell r="FV6">
            <v>0.998</v>
          </cell>
          <cell r="FW6">
            <v>0.998</v>
          </cell>
          <cell r="FX6">
            <v>0.998</v>
          </cell>
          <cell r="FY6">
            <v>0.998</v>
          </cell>
          <cell r="FZ6">
            <v>0.994</v>
          </cell>
          <cell r="GA6">
            <v>0.99</v>
          </cell>
          <cell r="GB6">
            <v>0.985</v>
          </cell>
          <cell r="GC6">
            <v>0.976</v>
          </cell>
          <cell r="GD6">
            <v>0.96</v>
          </cell>
          <cell r="GE6">
            <v>0.925</v>
          </cell>
          <cell r="GF6">
            <v>0.852</v>
          </cell>
          <cell r="GG6">
            <v>0.737</v>
          </cell>
          <cell r="GH6">
            <v>0.565</v>
          </cell>
          <cell r="GI6">
            <v>0.362</v>
          </cell>
          <cell r="GJ6">
            <v>0.185</v>
          </cell>
          <cell r="GK6">
            <v>0.076</v>
          </cell>
          <cell r="GL6">
            <v>0.027</v>
          </cell>
          <cell r="GM6">
            <v>0</v>
          </cell>
          <cell r="GN6">
            <v>0</v>
          </cell>
        </row>
        <row r="7">
          <cell r="B7" t="str">
            <v>H-QK3L</v>
          </cell>
          <cell r="C7">
            <v>487704</v>
          </cell>
          <cell r="D7">
            <v>70.44</v>
          </cell>
          <cell r="E7">
            <v>70.24</v>
          </cell>
          <cell r="F7">
            <v>0.006921</v>
          </cell>
          <cell r="G7">
            <v>0.006964</v>
          </cell>
          <cell r="H7">
            <v>1.46249</v>
          </cell>
          <cell r="I7">
            <v>1.46773</v>
          </cell>
          <cell r="J7">
            <v>1.47329</v>
          </cell>
          <cell r="K7">
            <v>1.47783</v>
          </cell>
          <cell r="L7">
            <v>1.47919</v>
          </cell>
          <cell r="M7">
            <v>1.48141</v>
          </cell>
          <cell r="N7">
            <v>1.48284</v>
          </cell>
          <cell r="O7">
            <v>1.48411</v>
          </cell>
          <cell r="P7">
            <v>1.48535</v>
          </cell>
          <cell r="Q7">
            <v>1.48569</v>
          </cell>
          <cell r="R7">
            <v>1.48601</v>
          </cell>
          <cell r="S7">
            <v>1.48743</v>
          </cell>
          <cell r="T7">
            <v>1.48749</v>
          </cell>
          <cell r="U7">
            <v>1.48914</v>
          </cell>
          <cell r="V7">
            <v>1.49227</v>
          </cell>
          <cell r="W7">
            <v>1.49266</v>
          </cell>
          <cell r="X7">
            <v>1.49594</v>
          </cell>
          <cell r="Y7">
            <v>1.49896</v>
          </cell>
          <cell r="Z7">
            <v>1.50405</v>
          </cell>
          <cell r="AA7">
            <v>2.18954799</v>
          </cell>
          <cell r="AB7">
            <v>-0.00965634602</v>
          </cell>
          <cell r="AC7">
            <v>0.00830751905</v>
          </cell>
          <cell r="AD7">
            <v>0.000365672497</v>
          </cell>
          <cell r="AE7">
            <v>-3.5472293e-5</v>
          </cell>
          <cell r="AF7">
            <v>1.87564584e-6</v>
          </cell>
          <cell r="AG7">
            <v>0.309248554913298</v>
          </cell>
          <cell r="AH7">
            <v>0.23843930635837</v>
          </cell>
          <cell r="AI7">
            <v>0.530346820809255</v>
          </cell>
          <cell r="AJ7">
            <v>0.258249641319941</v>
          </cell>
          <cell r="AK7">
            <v>0.236728837876599</v>
          </cell>
          <cell r="AL7">
            <v>0.470588235294101</v>
          </cell>
          <cell r="AM7">
            <v>0.000995018728332395</v>
          </cell>
          <cell r="AN7">
            <v>0.0037476608092547</v>
          </cell>
          <cell r="AO7">
            <v>0.00872117040461129</v>
          </cell>
          <cell r="AP7">
            <v>-9.18381502841292e-5</v>
          </cell>
          <cell r="AQ7">
            <v>-1.9</v>
          </cell>
          <cell r="AR7">
            <v>-1.9</v>
          </cell>
          <cell r="AS7">
            <v>-1.9</v>
          </cell>
          <cell r="AT7">
            <v>-1.8</v>
          </cell>
          <cell r="AU7">
            <v>-1.7</v>
          </cell>
          <cell r="AV7">
            <v>-1.5</v>
          </cell>
          <cell r="AW7">
            <v>-1.7</v>
          </cell>
          <cell r="AX7">
            <v>-1.7</v>
          </cell>
          <cell r="AY7">
            <v>-1.6</v>
          </cell>
          <cell r="AZ7">
            <v>-1.6</v>
          </cell>
          <cell r="BA7">
            <v>-1.4</v>
          </cell>
          <cell r="BB7">
            <v>-1.3</v>
          </cell>
          <cell r="BC7">
            <v>-1.7</v>
          </cell>
          <cell r="BD7">
            <v>-1.7</v>
          </cell>
          <cell r="BE7">
            <v>-1.6</v>
          </cell>
          <cell r="BF7">
            <v>-1.6</v>
          </cell>
          <cell r="BG7">
            <v>-1.4</v>
          </cell>
          <cell r="BH7">
            <v>-1.3</v>
          </cell>
          <cell r="BI7">
            <v>-1.6</v>
          </cell>
          <cell r="BJ7">
            <v>-1.6</v>
          </cell>
          <cell r="BK7">
            <v>-1.6</v>
          </cell>
          <cell r="BL7">
            <v>-1.5</v>
          </cell>
          <cell r="BM7">
            <v>-1.4</v>
          </cell>
          <cell r="BN7">
            <v>-1.2</v>
          </cell>
          <cell r="BO7">
            <v>-1.5</v>
          </cell>
          <cell r="BP7">
            <v>-1.5</v>
          </cell>
          <cell r="BQ7">
            <v>-1.5</v>
          </cell>
          <cell r="BR7">
            <v>-1.4</v>
          </cell>
          <cell r="BS7">
            <v>-1.3</v>
          </cell>
          <cell r="BT7">
            <v>-1.1</v>
          </cell>
          <cell r="BU7">
            <v>-1.3</v>
          </cell>
          <cell r="BV7">
            <v>-1.3</v>
          </cell>
          <cell r="BW7">
            <v>-1.3</v>
          </cell>
          <cell r="BX7">
            <v>-1.2</v>
          </cell>
          <cell r="BY7">
            <v>-1.1</v>
          </cell>
          <cell r="BZ7">
            <v>-0.9</v>
          </cell>
          <cell r="CA7">
            <v>-1.2</v>
          </cell>
          <cell r="CB7">
            <v>-1.2</v>
          </cell>
          <cell r="CC7">
            <v>-1.1</v>
          </cell>
          <cell r="CD7">
            <v>-1</v>
          </cell>
          <cell r="CE7">
            <v>-0.9</v>
          </cell>
          <cell r="CF7">
            <v>-0.7</v>
          </cell>
          <cell r="CG7">
            <v>-3.7</v>
          </cell>
          <cell r="CH7">
            <v>-3.4</v>
          </cell>
          <cell r="CI7">
            <v>-3.1</v>
          </cell>
          <cell r="CJ7">
            <v>-2.8</v>
          </cell>
          <cell r="CK7">
            <v>-2.6</v>
          </cell>
          <cell r="CL7">
            <v>-2.3</v>
          </cell>
          <cell r="CM7">
            <v>-8.70205067408654e-6</v>
          </cell>
          <cell r="CN7">
            <v>1.61062392961107e-8</v>
          </cell>
          <cell r="CO7">
            <v>1.0223579350388e-11</v>
          </cell>
          <cell r="CP7">
            <v>5.198790858356e-7</v>
          </cell>
          <cell r="CQ7">
            <v>3.75960458771608e-10</v>
          </cell>
          <cell r="CR7">
            <v>0</v>
          </cell>
          <cell r="CS7">
            <v>1</v>
          </cell>
          <cell r="CT7">
            <v>3</v>
          </cell>
          <cell r="CU7">
            <v>4</v>
          </cell>
          <cell r="CV7">
            <v>4</v>
          </cell>
          <cell r="CW7">
            <v>1</v>
          </cell>
          <cell r="CX7">
            <v>1</v>
          </cell>
          <cell r="CY7">
            <v>0</v>
          </cell>
          <cell r="CZ7">
            <v>0</v>
          </cell>
          <cell r="DA7">
            <v>481</v>
          </cell>
          <cell r="DB7">
            <v>563</v>
          </cell>
          <cell r="DC7">
            <v>424</v>
          </cell>
          <cell r="DD7">
            <v>463</v>
          </cell>
          <cell r="DE7">
            <v>88</v>
          </cell>
        </row>
        <row r="7">
          <cell r="DG7">
            <v>98</v>
          </cell>
          <cell r="DH7">
            <v>0</v>
          </cell>
          <cell r="DI7">
            <v>100</v>
          </cell>
          <cell r="DJ7">
            <v>0</v>
          </cell>
          <cell r="DK7">
            <v>457</v>
          </cell>
          <cell r="DL7">
            <v>109</v>
          </cell>
          <cell r="DM7">
            <v>5896</v>
          </cell>
          <cell r="DN7">
            <v>2407</v>
          </cell>
          <cell r="DO7">
            <v>0.225</v>
          </cell>
          <cell r="DP7">
            <v>2.87</v>
          </cell>
          <cell r="DQ7" t="str">
            <v>310/270</v>
          </cell>
          <cell r="DR7">
            <v>297</v>
          </cell>
          <cell r="DS7">
            <v>266</v>
          </cell>
          <cell r="DT7">
            <v>2.48</v>
          </cell>
          <cell r="DU7">
            <v>0.823</v>
          </cell>
          <cell r="DV7">
            <v>0.863</v>
          </cell>
          <cell r="DW7">
            <v>0.949</v>
          </cell>
          <cell r="DX7">
            <v>0.978</v>
          </cell>
          <cell r="DY7">
            <v>0.999</v>
          </cell>
          <cell r="DZ7">
            <v>0.999</v>
          </cell>
          <cell r="EA7">
            <v>0.999</v>
          </cell>
          <cell r="EB7">
            <v>0.999</v>
          </cell>
          <cell r="EC7">
            <v>0.999</v>
          </cell>
          <cell r="ED7">
            <v>0.999</v>
          </cell>
          <cell r="EE7">
            <v>0.999</v>
          </cell>
          <cell r="EF7">
            <v>0.999</v>
          </cell>
          <cell r="EG7">
            <v>0.999</v>
          </cell>
          <cell r="EH7">
            <v>0.999</v>
          </cell>
          <cell r="EI7">
            <v>0.999</v>
          </cell>
          <cell r="EJ7">
            <v>0.999</v>
          </cell>
          <cell r="EK7">
            <v>0.999</v>
          </cell>
          <cell r="EL7">
            <v>0.999</v>
          </cell>
          <cell r="EM7">
            <v>0.999</v>
          </cell>
          <cell r="EN7">
            <v>0.999</v>
          </cell>
          <cell r="EO7">
            <v>0.999</v>
          </cell>
          <cell r="EP7">
            <v>0.999</v>
          </cell>
          <cell r="EQ7">
            <v>0.999</v>
          </cell>
          <cell r="ER7">
            <v>0.999</v>
          </cell>
          <cell r="ES7">
            <v>0.999</v>
          </cell>
          <cell r="ET7">
            <v>0.999</v>
          </cell>
          <cell r="EU7">
            <v>0.999</v>
          </cell>
          <cell r="EV7">
            <v>0.999</v>
          </cell>
          <cell r="EW7">
            <v>0.999</v>
          </cell>
          <cell r="EX7">
            <v>0.999</v>
          </cell>
          <cell r="EY7">
            <v>0.996</v>
          </cell>
          <cell r="EZ7">
            <v>0.983</v>
          </cell>
          <cell r="FA7">
            <v>0.943</v>
          </cell>
          <cell r="FB7">
            <v>0.85</v>
          </cell>
          <cell r="FC7">
            <v>0.65</v>
          </cell>
          <cell r="FD7">
            <v>0.362</v>
          </cell>
          <cell r="FE7">
            <v>0.677</v>
          </cell>
          <cell r="FF7">
            <v>0.745</v>
          </cell>
          <cell r="FG7">
            <v>0.901</v>
          </cell>
          <cell r="FH7">
            <v>0.956</v>
          </cell>
          <cell r="FI7">
            <v>0.998</v>
          </cell>
          <cell r="FJ7">
            <v>0.998</v>
          </cell>
          <cell r="FK7">
            <v>0.998</v>
          </cell>
          <cell r="FL7">
            <v>0.998</v>
          </cell>
          <cell r="FM7">
            <v>0.998</v>
          </cell>
          <cell r="FN7">
            <v>0.998</v>
          </cell>
          <cell r="FO7">
            <v>0.998</v>
          </cell>
          <cell r="FP7">
            <v>0.998</v>
          </cell>
          <cell r="FQ7">
            <v>0.998</v>
          </cell>
          <cell r="FR7">
            <v>0.998</v>
          </cell>
          <cell r="FS7">
            <v>0.998</v>
          </cell>
          <cell r="FT7">
            <v>0.998</v>
          </cell>
          <cell r="FU7">
            <v>0.998</v>
          </cell>
          <cell r="FV7">
            <v>0.998</v>
          </cell>
          <cell r="FW7">
            <v>0.998</v>
          </cell>
          <cell r="FX7">
            <v>0.998</v>
          </cell>
          <cell r="FY7">
            <v>0.998</v>
          </cell>
          <cell r="FZ7">
            <v>0.998</v>
          </cell>
          <cell r="GA7">
            <v>0.998</v>
          </cell>
          <cell r="GB7">
            <v>0.998</v>
          </cell>
          <cell r="GC7">
            <v>0.998</v>
          </cell>
          <cell r="GD7">
            <v>0.998</v>
          </cell>
          <cell r="GE7">
            <v>0.998</v>
          </cell>
          <cell r="GF7">
            <v>0.998</v>
          </cell>
          <cell r="GG7">
            <v>0.998</v>
          </cell>
          <cell r="GH7">
            <v>0.998</v>
          </cell>
          <cell r="GI7">
            <v>0.992</v>
          </cell>
          <cell r="GJ7">
            <v>0.966</v>
          </cell>
          <cell r="GK7">
            <v>0.889</v>
          </cell>
          <cell r="GL7">
            <v>0.723</v>
          </cell>
          <cell r="GM7">
            <v>0.423</v>
          </cell>
          <cell r="GN7">
            <v>0.131</v>
          </cell>
        </row>
        <row r="8">
          <cell r="B8" t="str">
            <v>H-PK63</v>
          </cell>
          <cell r="C8">
            <v>603654</v>
          </cell>
          <cell r="D8">
            <v>65.44</v>
          </cell>
          <cell r="E8">
            <v>65.2</v>
          </cell>
          <cell r="F8">
            <v>0.009214</v>
          </cell>
          <cell r="G8">
            <v>0.009282</v>
          </cell>
          <cell r="H8">
            <v>1.57538</v>
          </cell>
          <cell r="I8">
            <v>1.58054</v>
          </cell>
          <cell r="J8">
            <v>1.58614</v>
          </cell>
          <cell r="K8">
            <v>1.59099</v>
          </cell>
          <cell r="L8">
            <v>1.59252</v>
          </cell>
          <cell r="M8">
            <v>1.59517</v>
          </cell>
          <cell r="N8">
            <v>1.59696</v>
          </cell>
          <cell r="O8">
            <v>1.59858</v>
          </cell>
          <cell r="P8">
            <v>1.60019</v>
          </cell>
          <cell r="Q8">
            <v>1.60064</v>
          </cell>
          <cell r="R8">
            <v>1.60106</v>
          </cell>
          <cell r="S8">
            <v>1.60292</v>
          </cell>
          <cell r="T8">
            <v>1.603</v>
          </cell>
          <cell r="U8">
            <v>1.6052</v>
          </cell>
          <cell r="V8">
            <v>1.6094</v>
          </cell>
          <cell r="W8">
            <v>1.60992</v>
          </cell>
          <cell r="X8">
            <v>1.61435</v>
          </cell>
          <cell r="Y8">
            <v>1.61845</v>
          </cell>
          <cell r="Z8">
            <v>1.62538</v>
          </cell>
          <cell r="AA8">
            <v>2.53403512</v>
          </cell>
          <cell r="AB8">
            <v>-0.0100840331</v>
          </cell>
          <cell r="AC8">
            <v>0.0124087634</v>
          </cell>
          <cell r="AD8">
            <v>0.000477201613</v>
          </cell>
          <cell r="AE8">
            <v>-4.35207709e-5</v>
          </cell>
          <cell r="AF8">
            <v>2.3805074e-6</v>
          </cell>
          <cell r="AG8">
            <v>0.305103148751357</v>
          </cell>
          <cell r="AH8">
            <v>0.23887079261672</v>
          </cell>
          <cell r="AI8">
            <v>0.537459283387627</v>
          </cell>
          <cell r="AJ8">
            <v>0.254310344827579</v>
          </cell>
          <cell r="AK8">
            <v>0.23706896551724</v>
          </cell>
          <cell r="AL8">
            <v>0.477370689655168</v>
          </cell>
          <cell r="AM8">
            <v>0.00194893863192272</v>
          </cell>
          <cell r="AN8">
            <v>0.00255512338762676</v>
          </cell>
          <cell r="AO8">
            <v>-0.0244317948316922</v>
          </cell>
          <cell r="AP8">
            <v>-0.0123962823018396</v>
          </cell>
          <cell r="AQ8">
            <v>-3.6</v>
          </cell>
          <cell r="AR8">
            <v>-3.7</v>
          </cell>
          <cell r="AS8">
            <v>-3.7</v>
          </cell>
          <cell r="AT8">
            <v>-3.7</v>
          </cell>
          <cell r="AU8">
            <v>-3.7</v>
          </cell>
          <cell r="AV8">
            <v>-3.6</v>
          </cell>
          <cell r="AW8">
            <v>-3.4</v>
          </cell>
          <cell r="AX8">
            <v>-3.5</v>
          </cell>
          <cell r="AY8">
            <v>-3.5</v>
          </cell>
          <cell r="AZ8">
            <v>-3.5</v>
          </cell>
          <cell r="BA8">
            <v>-3.5</v>
          </cell>
          <cell r="BB8">
            <v>-3.4</v>
          </cell>
          <cell r="BC8">
            <v>-3.4</v>
          </cell>
          <cell r="BD8">
            <v>-3.5</v>
          </cell>
          <cell r="BE8">
            <v>-3.5</v>
          </cell>
          <cell r="BF8">
            <v>-3.5</v>
          </cell>
          <cell r="BG8">
            <v>-3.5</v>
          </cell>
          <cell r="BH8">
            <v>-3.4</v>
          </cell>
          <cell r="BI8">
            <v>-3.3</v>
          </cell>
          <cell r="BJ8">
            <v>-3.4</v>
          </cell>
          <cell r="BK8">
            <v>-3.4</v>
          </cell>
          <cell r="BL8">
            <v>-3.4</v>
          </cell>
          <cell r="BM8">
            <v>-3.4</v>
          </cell>
          <cell r="BN8">
            <v>-3.3</v>
          </cell>
          <cell r="BO8">
            <v>-3.3</v>
          </cell>
          <cell r="BP8">
            <v>-3.3</v>
          </cell>
          <cell r="BQ8">
            <v>-3.3</v>
          </cell>
          <cell r="BR8">
            <v>-3.3</v>
          </cell>
          <cell r="BS8">
            <v>-3.3</v>
          </cell>
          <cell r="BT8">
            <v>-3.2</v>
          </cell>
          <cell r="BU8">
            <v>-3.1</v>
          </cell>
          <cell r="BV8">
            <v>-3.1</v>
          </cell>
          <cell r="BW8">
            <v>-3.1</v>
          </cell>
          <cell r="BX8">
            <v>-3.1</v>
          </cell>
          <cell r="BY8">
            <v>-3</v>
          </cell>
          <cell r="BZ8">
            <v>-2.9</v>
          </cell>
          <cell r="CA8">
            <v>-2.8</v>
          </cell>
          <cell r="CB8">
            <v>-2.9</v>
          </cell>
          <cell r="CC8">
            <v>-2.9</v>
          </cell>
          <cell r="CD8">
            <v>-2.9</v>
          </cell>
          <cell r="CE8">
            <v>-2.8</v>
          </cell>
          <cell r="CF8">
            <v>-2.7</v>
          </cell>
          <cell r="CG8">
            <v>-5.6</v>
          </cell>
          <cell r="CH8">
            <v>-5.3</v>
          </cell>
          <cell r="CI8">
            <v>-5.1</v>
          </cell>
          <cell r="CJ8">
            <v>-4.9</v>
          </cell>
          <cell r="CK8">
            <v>-4.7</v>
          </cell>
          <cell r="CL8">
            <v>-4.5</v>
          </cell>
          <cell r="CM8">
            <v>-1.12636189626006e-5</v>
          </cell>
          <cell r="CN8">
            <v>7.35e-9</v>
          </cell>
          <cell r="CO8">
            <v>-3.93e-12</v>
          </cell>
          <cell r="CP8">
            <v>4.02e-7</v>
          </cell>
          <cell r="CQ8">
            <v>1.0166e-9</v>
          </cell>
          <cell r="CR8">
            <v>0.137</v>
          </cell>
          <cell r="CS8">
            <v>1</v>
          </cell>
          <cell r="CT8">
            <v>1</v>
          </cell>
          <cell r="CU8">
            <v>1</v>
          </cell>
          <cell r="CV8">
            <v>4</v>
          </cell>
          <cell r="CW8">
            <v>2</v>
          </cell>
          <cell r="CX8">
            <v>2</v>
          </cell>
          <cell r="CY8">
            <v>0</v>
          </cell>
          <cell r="CZ8">
            <v>0</v>
          </cell>
          <cell r="DA8">
            <v>598</v>
          </cell>
          <cell r="DB8">
            <v>634</v>
          </cell>
          <cell r="DC8">
            <v>561</v>
          </cell>
          <cell r="DD8">
            <v>588</v>
          </cell>
          <cell r="DE8">
            <v>91</v>
          </cell>
          <cell r="DF8">
            <v>97</v>
          </cell>
          <cell r="DG8">
            <v>111</v>
          </cell>
          <cell r="DH8">
            <v>0</v>
          </cell>
          <cell r="DI8">
            <v>110</v>
          </cell>
          <cell r="DJ8">
            <v>0</v>
          </cell>
          <cell r="DK8">
            <v>361</v>
          </cell>
          <cell r="DL8">
            <v>351</v>
          </cell>
          <cell r="DM8">
            <v>6948</v>
          </cell>
          <cell r="DN8">
            <v>2693</v>
          </cell>
          <cell r="DO8">
            <v>0.29</v>
          </cell>
          <cell r="DP8">
            <v>0</v>
          </cell>
          <cell r="DQ8" t="str">
            <v>350/285</v>
          </cell>
          <cell r="DR8">
            <v>333</v>
          </cell>
          <cell r="DS8">
            <v>274</v>
          </cell>
          <cell r="DT8">
            <v>3.64</v>
          </cell>
          <cell r="DU8">
            <v>0.804</v>
          </cell>
          <cell r="DV8">
            <v>0.854</v>
          </cell>
          <cell r="DW8">
            <v>0.931</v>
          </cell>
          <cell r="DX8">
            <v>0.967</v>
          </cell>
          <cell r="DY8">
            <v>0.99</v>
          </cell>
          <cell r="DZ8">
            <v>0.995</v>
          </cell>
          <cell r="EA8">
            <v>0.999</v>
          </cell>
          <cell r="EB8">
            <v>0.999</v>
          </cell>
          <cell r="EC8">
            <v>0.999</v>
          </cell>
          <cell r="ED8">
            <v>0.999</v>
          </cell>
          <cell r="EE8">
            <v>0.999</v>
          </cell>
          <cell r="EF8">
            <v>0.999</v>
          </cell>
          <cell r="EG8">
            <v>0.999</v>
          </cell>
          <cell r="EH8">
            <v>0.999</v>
          </cell>
          <cell r="EI8">
            <v>0.999</v>
          </cell>
          <cell r="EJ8">
            <v>0.999</v>
          </cell>
          <cell r="EK8">
            <v>0.999</v>
          </cell>
          <cell r="EL8">
            <v>0.999</v>
          </cell>
          <cell r="EM8">
            <v>0.999</v>
          </cell>
          <cell r="EN8">
            <v>0.999</v>
          </cell>
          <cell r="EO8">
            <v>0.999</v>
          </cell>
          <cell r="EP8">
            <v>0.999</v>
          </cell>
          <cell r="EQ8">
            <v>0.997</v>
          </cell>
          <cell r="ER8">
            <v>0.994</v>
          </cell>
          <cell r="ES8">
            <v>0.99</v>
          </cell>
          <cell r="ET8">
            <v>0.984</v>
          </cell>
          <cell r="EU8">
            <v>0.973</v>
          </cell>
          <cell r="EV8">
            <v>0.961</v>
          </cell>
          <cell r="EW8">
            <v>0.941</v>
          </cell>
          <cell r="EX8">
            <v>0.907</v>
          </cell>
          <cell r="EY8">
            <v>0.848</v>
          </cell>
          <cell r="EZ8">
            <v>0.754</v>
          </cell>
          <cell r="FA8">
            <v>0.62</v>
          </cell>
          <cell r="FB8">
            <v>0.457</v>
          </cell>
          <cell r="FC8">
            <v>0.286</v>
          </cell>
          <cell r="FD8">
            <v>0.143</v>
          </cell>
          <cell r="FE8">
            <v>0.646</v>
          </cell>
          <cell r="FF8">
            <v>0.73</v>
          </cell>
          <cell r="FG8">
            <v>0.867</v>
          </cell>
          <cell r="FH8">
            <v>0.935</v>
          </cell>
          <cell r="FI8">
            <v>0.98</v>
          </cell>
          <cell r="FJ8">
            <v>0.99</v>
          </cell>
          <cell r="FK8">
            <v>0.998</v>
          </cell>
          <cell r="FL8">
            <v>0.998</v>
          </cell>
          <cell r="FM8">
            <v>0.998</v>
          </cell>
          <cell r="FN8">
            <v>0.998</v>
          </cell>
          <cell r="FO8">
            <v>0.998</v>
          </cell>
          <cell r="FP8">
            <v>0.998</v>
          </cell>
          <cell r="FQ8">
            <v>0.998</v>
          </cell>
          <cell r="FR8">
            <v>0.998</v>
          </cell>
          <cell r="FS8">
            <v>0.998</v>
          </cell>
          <cell r="FT8">
            <v>0.998</v>
          </cell>
          <cell r="FU8">
            <v>0.998</v>
          </cell>
          <cell r="FV8">
            <v>0.998</v>
          </cell>
          <cell r="FW8">
            <v>0.998</v>
          </cell>
          <cell r="FX8">
            <v>0.998</v>
          </cell>
          <cell r="FY8">
            <v>0.998</v>
          </cell>
          <cell r="FZ8">
            <v>0.998</v>
          </cell>
          <cell r="GA8">
            <v>0.994</v>
          </cell>
          <cell r="GB8">
            <v>0.988</v>
          </cell>
          <cell r="GC8">
            <v>0.981</v>
          </cell>
          <cell r="GD8">
            <v>0.974</v>
          </cell>
          <cell r="GE8">
            <v>0.961</v>
          </cell>
          <cell r="GF8">
            <v>0.936</v>
          </cell>
          <cell r="GG8">
            <v>0.899</v>
          </cell>
          <cell r="GH8">
            <v>0.835</v>
          </cell>
          <cell r="GI8">
            <v>0.728</v>
          </cell>
          <cell r="GJ8">
            <v>0.575</v>
          </cell>
          <cell r="GK8">
            <v>0.39</v>
          </cell>
          <cell r="GL8">
            <v>0.212</v>
          </cell>
          <cell r="GM8">
            <v>0.084</v>
          </cell>
          <cell r="GN8">
            <v>0.022</v>
          </cell>
        </row>
        <row r="9">
          <cell r="B9" t="str">
            <v>H-PK62A</v>
          </cell>
          <cell r="C9">
            <v>618634</v>
          </cell>
          <cell r="D9">
            <v>63.39</v>
          </cell>
          <cell r="E9">
            <v>63.12</v>
          </cell>
          <cell r="F9">
            <v>0.009749</v>
          </cell>
          <cell r="G9">
            <v>0.009828</v>
          </cell>
          <cell r="H9">
            <v>1.59079</v>
          </cell>
          <cell r="I9">
            <v>1.59567</v>
          </cell>
          <cell r="J9">
            <v>1.60096</v>
          </cell>
          <cell r="K9">
            <v>1.60561</v>
          </cell>
          <cell r="L9">
            <v>1.60715</v>
          </cell>
          <cell r="M9">
            <v>1.60983</v>
          </cell>
          <cell r="N9">
            <v>1.61167</v>
          </cell>
          <cell r="O9">
            <v>1.61335</v>
          </cell>
          <cell r="P9">
            <v>1.61503</v>
          </cell>
          <cell r="Q9">
            <v>1.6155</v>
          </cell>
          <cell r="R9">
            <v>1.61594</v>
          </cell>
          <cell r="S9">
            <v>1.61791</v>
          </cell>
          <cell r="T9">
            <v>1.618</v>
          </cell>
          <cell r="U9">
            <v>1.62033</v>
          </cell>
          <cell r="V9">
            <v>1.62478</v>
          </cell>
          <cell r="W9">
            <v>1.62533</v>
          </cell>
          <cell r="X9">
            <v>1.63004</v>
          </cell>
          <cell r="Y9">
            <v>1.63439</v>
          </cell>
          <cell r="Z9">
            <v>1.6418</v>
          </cell>
          <cell r="AA9">
            <v>2.57978592</v>
          </cell>
          <cell r="AB9">
            <v>-0.00952472897</v>
          </cell>
          <cell r="AC9">
            <v>0.0126301504</v>
          </cell>
          <cell r="AD9">
            <v>0.000806546409</v>
          </cell>
          <cell r="AE9">
            <v>-9.53388389e-5</v>
          </cell>
          <cell r="AF9">
            <v>5.37975011e-6</v>
          </cell>
          <cell r="AG9">
            <v>0.304615384615401</v>
          </cell>
          <cell r="AH9">
            <v>0.238974358974355</v>
          </cell>
          <cell r="AI9">
            <v>0.539487179487188</v>
          </cell>
          <cell r="AJ9">
            <v>0.25432349949137</v>
          </cell>
          <cell r="AK9">
            <v>0.237029501525935</v>
          </cell>
          <cell r="AL9">
            <v>0.479145473041708</v>
          </cell>
          <cell r="AM9">
            <v>0.00120153641024377</v>
          </cell>
          <cell r="AN9">
            <v>0.00117796948718799</v>
          </cell>
          <cell r="AO9">
            <v>-0.0390828117948772</v>
          </cell>
          <cell r="AP9">
            <v>-0.0192026666666757</v>
          </cell>
          <cell r="AQ9">
            <v>-2.5</v>
          </cell>
          <cell r="AR9">
            <v>-2.8</v>
          </cell>
          <cell r="AS9">
            <v>-2.9</v>
          </cell>
          <cell r="AT9">
            <v>-2.9</v>
          </cell>
          <cell r="AU9">
            <v>-2.8</v>
          </cell>
          <cell r="AV9">
            <v>-2.8</v>
          </cell>
          <cell r="AW9">
            <v>-2.3</v>
          </cell>
          <cell r="AX9">
            <v>-2.4</v>
          </cell>
          <cell r="AY9">
            <v>-2.5</v>
          </cell>
          <cell r="AZ9">
            <v>-2.5</v>
          </cell>
          <cell r="BA9">
            <v>-2.5</v>
          </cell>
          <cell r="BB9">
            <v>-2.4</v>
          </cell>
          <cell r="BC9">
            <v>-2.3</v>
          </cell>
          <cell r="BD9">
            <v>-2.4</v>
          </cell>
          <cell r="BE9">
            <v>-2.5</v>
          </cell>
          <cell r="BF9">
            <v>-2.5</v>
          </cell>
          <cell r="BG9">
            <v>-2.5</v>
          </cell>
          <cell r="BH9">
            <v>-2.4</v>
          </cell>
          <cell r="BI9">
            <v>-2.2</v>
          </cell>
          <cell r="BJ9">
            <v>-2.3</v>
          </cell>
          <cell r="BK9">
            <v>-2.4</v>
          </cell>
          <cell r="BL9">
            <v>-2.4</v>
          </cell>
          <cell r="BM9">
            <v>-2.4</v>
          </cell>
          <cell r="BN9">
            <v>-2.3</v>
          </cell>
          <cell r="BO9">
            <v>-2.1</v>
          </cell>
          <cell r="BP9">
            <v>-2.2</v>
          </cell>
          <cell r="BQ9">
            <v>-2.2</v>
          </cell>
          <cell r="BR9">
            <v>-2.3</v>
          </cell>
          <cell r="BS9">
            <v>-2.3</v>
          </cell>
          <cell r="BT9">
            <v>-2.2</v>
          </cell>
          <cell r="BU9">
            <v>-1.8</v>
          </cell>
          <cell r="BV9">
            <v>-1.9</v>
          </cell>
          <cell r="BW9">
            <v>-2</v>
          </cell>
          <cell r="BX9">
            <v>-2</v>
          </cell>
          <cell r="BY9">
            <v>-2</v>
          </cell>
          <cell r="BZ9">
            <v>-1.8</v>
          </cell>
          <cell r="CA9">
            <v>-1.5</v>
          </cell>
          <cell r="CB9">
            <v>-1.6</v>
          </cell>
          <cell r="CC9">
            <v>-1.7</v>
          </cell>
          <cell r="CD9">
            <v>-1.7</v>
          </cell>
          <cell r="CE9">
            <v>-1.6</v>
          </cell>
          <cell r="CF9">
            <v>-1.5</v>
          </cell>
          <cell r="CG9">
            <v>-4.5</v>
          </cell>
          <cell r="CH9">
            <v>-4.3</v>
          </cell>
          <cell r="CI9">
            <v>-4.1</v>
          </cell>
          <cell r="CJ9">
            <v>-3.9</v>
          </cell>
          <cell r="CK9">
            <v>-3.8</v>
          </cell>
          <cell r="CL9">
            <v>-3.5</v>
          </cell>
          <cell r="CM9">
            <v>-9.23662822716193e-6</v>
          </cell>
          <cell r="CN9">
            <v>1.007e-8</v>
          </cell>
          <cell r="CO9">
            <v>6.97e-12</v>
          </cell>
          <cell r="CP9">
            <v>4.09e-7</v>
          </cell>
          <cell r="CQ9">
            <v>-2.63e-11</v>
          </cell>
          <cell r="CR9">
            <v>0.222</v>
          </cell>
          <cell r="CS9">
            <v>1</v>
          </cell>
          <cell r="CT9">
            <v>2</v>
          </cell>
          <cell r="CU9">
            <v>1</v>
          </cell>
          <cell r="CV9">
            <v>4</v>
          </cell>
          <cell r="CW9">
            <v>1</v>
          </cell>
          <cell r="CX9">
            <v>2</v>
          </cell>
          <cell r="CY9">
            <v>0</v>
          </cell>
          <cell r="CZ9">
            <v>0</v>
          </cell>
          <cell r="DA9">
            <v>606</v>
          </cell>
          <cell r="DB9">
            <v>647</v>
          </cell>
          <cell r="DC9">
            <v>557</v>
          </cell>
          <cell r="DD9">
            <v>598</v>
          </cell>
          <cell r="DE9">
            <v>94</v>
          </cell>
          <cell r="DF9">
            <v>0</v>
          </cell>
          <cell r="DG9">
            <v>111</v>
          </cell>
          <cell r="DH9">
            <v>0</v>
          </cell>
          <cell r="DI9">
            <v>117</v>
          </cell>
          <cell r="DJ9">
            <v>0</v>
          </cell>
          <cell r="DK9">
            <v>391</v>
          </cell>
          <cell r="DL9">
            <v>320</v>
          </cell>
          <cell r="DM9">
            <v>7478</v>
          </cell>
          <cell r="DN9">
            <v>2896</v>
          </cell>
          <cell r="DO9">
            <v>0.291</v>
          </cell>
          <cell r="DP9">
            <v>0</v>
          </cell>
          <cell r="DQ9" t="str">
            <v>360/280</v>
          </cell>
          <cell r="DR9">
            <v>348</v>
          </cell>
          <cell r="DS9">
            <v>276</v>
          </cell>
          <cell r="DT9">
            <v>3.53</v>
          </cell>
          <cell r="DU9">
            <v>0.93</v>
          </cell>
          <cell r="DV9">
            <v>0.953</v>
          </cell>
          <cell r="DW9">
            <v>0.98</v>
          </cell>
          <cell r="DX9">
            <v>0.99</v>
          </cell>
          <cell r="DY9">
            <v>0.999</v>
          </cell>
          <cell r="DZ9">
            <v>0.999</v>
          </cell>
          <cell r="EA9">
            <v>0.999</v>
          </cell>
          <cell r="EB9">
            <v>0.999</v>
          </cell>
          <cell r="EC9">
            <v>0.999</v>
          </cell>
          <cell r="ED9">
            <v>0.999</v>
          </cell>
          <cell r="EE9">
            <v>0.999</v>
          </cell>
          <cell r="EF9">
            <v>0.999</v>
          </cell>
          <cell r="EG9">
            <v>0.999</v>
          </cell>
          <cell r="EH9">
            <v>0.999</v>
          </cell>
          <cell r="EI9">
            <v>0.999</v>
          </cell>
          <cell r="EJ9">
            <v>0.999</v>
          </cell>
          <cell r="EK9">
            <v>0.999</v>
          </cell>
          <cell r="EL9">
            <v>0.999</v>
          </cell>
          <cell r="EM9">
            <v>0.999</v>
          </cell>
          <cell r="EN9">
            <v>0.999</v>
          </cell>
          <cell r="EO9">
            <v>0.999</v>
          </cell>
          <cell r="EP9">
            <v>0.998</v>
          </cell>
          <cell r="EQ9">
            <v>0.997</v>
          </cell>
          <cell r="ER9">
            <v>0.995</v>
          </cell>
          <cell r="ES9">
            <v>0.992</v>
          </cell>
          <cell r="ET9">
            <v>0.985</v>
          </cell>
          <cell r="EU9">
            <v>0.971</v>
          </cell>
          <cell r="EV9">
            <v>0.948</v>
          </cell>
          <cell r="EW9">
            <v>0.911</v>
          </cell>
          <cell r="EX9">
            <v>0.849</v>
          </cell>
          <cell r="EY9">
            <v>0.759</v>
          </cell>
          <cell r="EZ9">
            <v>0.641</v>
          </cell>
          <cell r="FA9">
            <v>0.506</v>
          </cell>
          <cell r="FB9">
            <v>0.369</v>
          </cell>
          <cell r="FC9">
            <v>0.241</v>
          </cell>
          <cell r="FD9">
            <v>0</v>
          </cell>
          <cell r="FE9">
            <v>0.865</v>
          </cell>
          <cell r="FF9">
            <v>0.908</v>
          </cell>
          <cell r="FG9">
            <v>0.96</v>
          </cell>
          <cell r="FH9">
            <v>0.98</v>
          </cell>
          <cell r="FI9">
            <v>0.998</v>
          </cell>
          <cell r="FJ9">
            <v>0.998</v>
          </cell>
          <cell r="FK9">
            <v>0.998</v>
          </cell>
          <cell r="FL9">
            <v>0.998</v>
          </cell>
          <cell r="FM9">
            <v>0.998</v>
          </cell>
          <cell r="FN9">
            <v>0.998</v>
          </cell>
          <cell r="FO9">
            <v>0.998</v>
          </cell>
          <cell r="FP9">
            <v>0.998</v>
          </cell>
          <cell r="FQ9">
            <v>0.998</v>
          </cell>
          <cell r="FR9">
            <v>0.998</v>
          </cell>
          <cell r="FS9">
            <v>0.998</v>
          </cell>
          <cell r="FT9">
            <v>0.998</v>
          </cell>
          <cell r="FU9">
            <v>0.998</v>
          </cell>
          <cell r="FV9">
            <v>0.998</v>
          </cell>
          <cell r="FW9">
            <v>0.998</v>
          </cell>
          <cell r="FX9">
            <v>0.998</v>
          </cell>
          <cell r="FY9">
            <v>0.998</v>
          </cell>
          <cell r="FZ9">
            <v>0.996</v>
          </cell>
          <cell r="GA9">
            <v>0.994</v>
          </cell>
          <cell r="GB9">
            <v>0.99</v>
          </cell>
          <cell r="GC9">
            <v>0.984</v>
          </cell>
          <cell r="GD9">
            <v>0.973</v>
          </cell>
          <cell r="GE9">
            <v>0.95</v>
          </cell>
          <cell r="GF9">
            <v>0.906</v>
          </cell>
          <cell r="GG9">
            <v>0.837</v>
          </cell>
          <cell r="GH9">
            <v>0.73</v>
          </cell>
          <cell r="GI9">
            <v>0.586</v>
          </cell>
          <cell r="GJ9">
            <v>0.42</v>
          </cell>
          <cell r="GK9">
            <v>0.264</v>
          </cell>
          <cell r="GL9">
            <v>0.142</v>
          </cell>
          <cell r="GM9">
            <v>0.062</v>
          </cell>
          <cell r="GN9">
            <v>0</v>
          </cell>
        </row>
        <row r="10">
          <cell r="B10" t="str">
            <v>H-PK65</v>
          </cell>
          <cell r="C10">
            <v>620639</v>
          </cell>
          <cell r="D10">
            <v>63.88</v>
          </cell>
          <cell r="E10">
            <v>63.58</v>
          </cell>
          <cell r="F10">
            <v>0.009705</v>
          </cell>
          <cell r="G10">
            <v>0.009787</v>
          </cell>
          <cell r="H10">
            <v>1.59257</v>
          </cell>
          <cell r="I10">
            <v>1.59752</v>
          </cell>
          <cell r="J10">
            <v>1.6029</v>
          </cell>
          <cell r="K10">
            <v>1.6076</v>
          </cell>
          <cell r="L10">
            <v>1.60914</v>
          </cell>
          <cell r="M10">
            <v>1.61182</v>
          </cell>
          <cell r="N10">
            <v>1.61366</v>
          </cell>
          <cell r="O10">
            <v>1.61533</v>
          </cell>
          <cell r="P10">
            <v>1.61701</v>
          </cell>
          <cell r="Q10">
            <v>1.61748</v>
          </cell>
          <cell r="R10">
            <v>1.61792</v>
          </cell>
          <cell r="S10">
            <v>1.61988</v>
          </cell>
          <cell r="T10">
            <v>1.61997</v>
          </cell>
          <cell r="U10">
            <v>1.62228</v>
          </cell>
          <cell r="V10">
            <v>1.62672</v>
          </cell>
          <cell r="W10">
            <v>1.62727</v>
          </cell>
          <cell r="X10">
            <v>1.63198</v>
          </cell>
          <cell r="Y10">
            <v>1.63632</v>
          </cell>
          <cell r="Z10">
            <v>1.64367</v>
          </cell>
          <cell r="AA10">
            <v>2.58641642</v>
          </cell>
          <cell r="AB10">
            <v>-0.00970473215</v>
          </cell>
          <cell r="AC10">
            <v>0.0126399301</v>
          </cell>
          <cell r="AD10">
            <v>0.000739136488</v>
          </cell>
          <cell r="AE10">
            <v>-7.81059866e-5</v>
          </cell>
          <cell r="AF10">
            <v>4.11194188e-6</v>
          </cell>
          <cell r="AG10">
            <v>0.304840370751791</v>
          </cell>
          <cell r="AH10">
            <v>0.237899073120501</v>
          </cell>
          <cell r="AI10">
            <v>0.541709577754903</v>
          </cell>
          <cell r="AJ10">
            <v>0.254341164453513</v>
          </cell>
          <cell r="AK10">
            <v>0.23595505617978</v>
          </cell>
          <cell r="AL10">
            <v>0.481103166496426</v>
          </cell>
          <cell r="AM10">
            <v>0.0023223161277087</v>
          </cell>
          <cell r="AN10">
            <v>0.00421425775490264</v>
          </cell>
          <cell r="AO10">
            <v>-0.0391578456024576</v>
          </cell>
          <cell r="AP10">
            <v>-0.019211485066932</v>
          </cell>
          <cell r="AQ10">
            <v>-3.1</v>
          </cell>
          <cell r="AR10">
            <v>-3.2</v>
          </cell>
          <cell r="AS10">
            <v>-3.3</v>
          </cell>
          <cell r="AT10">
            <v>-3.4</v>
          </cell>
          <cell r="AU10">
            <v>-3.4</v>
          </cell>
          <cell r="AV10">
            <v>-3.3</v>
          </cell>
          <cell r="AW10">
            <v>-2.8</v>
          </cell>
          <cell r="AX10">
            <v>-2.9</v>
          </cell>
          <cell r="AY10">
            <v>-3</v>
          </cell>
          <cell r="AZ10">
            <v>-3.1</v>
          </cell>
          <cell r="BA10">
            <v>-3</v>
          </cell>
          <cell r="BB10">
            <v>-3</v>
          </cell>
          <cell r="BC10">
            <v>-2.8</v>
          </cell>
          <cell r="BD10">
            <v>-2.9</v>
          </cell>
          <cell r="BE10">
            <v>-3</v>
          </cell>
          <cell r="BF10">
            <v>-3</v>
          </cell>
          <cell r="BG10">
            <v>-3</v>
          </cell>
          <cell r="BH10">
            <v>-3</v>
          </cell>
          <cell r="BI10">
            <v>-2.7</v>
          </cell>
          <cell r="BJ10">
            <v>-2.8</v>
          </cell>
          <cell r="BK10">
            <v>-2.9</v>
          </cell>
          <cell r="BL10">
            <v>-2.9</v>
          </cell>
          <cell r="BM10">
            <v>-2.9</v>
          </cell>
          <cell r="BN10">
            <v>-2.9</v>
          </cell>
          <cell r="BO10">
            <v>-2.5</v>
          </cell>
          <cell r="BP10">
            <v>-2.7</v>
          </cell>
          <cell r="BQ10">
            <v>-2.8</v>
          </cell>
          <cell r="BR10">
            <v>-2.8</v>
          </cell>
          <cell r="BS10">
            <v>-2.8</v>
          </cell>
          <cell r="BT10">
            <v>-2.7</v>
          </cell>
          <cell r="BU10">
            <v>-2.3</v>
          </cell>
          <cell r="BV10">
            <v>-2.4</v>
          </cell>
          <cell r="BW10">
            <v>-2.5</v>
          </cell>
          <cell r="BX10">
            <v>-2.5</v>
          </cell>
          <cell r="BY10">
            <v>-2.5</v>
          </cell>
          <cell r="BZ10">
            <v>-2.4</v>
          </cell>
          <cell r="CA10">
            <v>-2</v>
          </cell>
          <cell r="CB10">
            <v>-2.1</v>
          </cell>
          <cell r="CC10">
            <v>-2.2</v>
          </cell>
          <cell r="CD10">
            <v>-2.2</v>
          </cell>
          <cell r="CE10">
            <v>-2.2</v>
          </cell>
          <cell r="CF10">
            <v>-2.1</v>
          </cell>
          <cell r="CG10">
            <v>-4.9</v>
          </cell>
          <cell r="CH10">
            <v>-4.8</v>
          </cell>
          <cell r="CI10">
            <v>-4.6</v>
          </cell>
          <cell r="CJ10">
            <v>-4.4</v>
          </cell>
          <cell r="CK10">
            <v>-4.3</v>
          </cell>
          <cell r="CL10">
            <v>-4.1</v>
          </cell>
          <cell r="CM10">
            <v>-9.8079341449364e-6</v>
          </cell>
          <cell r="CN10">
            <v>5.49223585434137e-9</v>
          </cell>
          <cell r="CO10">
            <v>5.7073723895444e-12</v>
          </cell>
          <cell r="CP10">
            <v>2.87094812239377e-7</v>
          </cell>
          <cell r="CQ10">
            <v>6.8350827416902e-10</v>
          </cell>
          <cell r="CR10">
            <v>0.263759452720905</v>
          </cell>
          <cell r="CS10">
            <v>1</v>
          </cell>
          <cell r="CT10">
            <v>3</v>
          </cell>
          <cell r="CU10">
            <v>1</v>
          </cell>
          <cell r="CV10">
            <v>4</v>
          </cell>
          <cell r="CW10">
            <v>1</v>
          </cell>
          <cell r="CX10">
            <v>2</v>
          </cell>
          <cell r="CY10">
            <v>0</v>
          </cell>
          <cell r="CZ10">
            <v>0</v>
          </cell>
          <cell r="DA10">
            <v>568</v>
          </cell>
          <cell r="DB10">
            <v>603</v>
          </cell>
          <cell r="DC10">
            <v>515</v>
          </cell>
          <cell r="DD10">
            <v>555</v>
          </cell>
          <cell r="DE10">
            <v>96</v>
          </cell>
          <cell r="DF10">
            <v>0</v>
          </cell>
          <cell r="DG10">
            <v>118</v>
          </cell>
          <cell r="DH10">
            <v>0</v>
          </cell>
          <cell r="DI10">
            <v>100</v>
          </cell>
          <cell r="DJ10">
            <v>0</v>
          </cell>
          <cell r="DK10">
            <v>420</v>
          </cell>
          <cell r="DL10">
            <v>315</v>
          </cell>
          <cell r="DM10">
            <v>8585</v>
          </cell>
          <cell r="DN10">
            <v>3325</v>
          </cell>
          <cell r="DO10">
            <v>0.282</v>
          </cell>
          <cell r="DP10">
            <v>0</v>
          </cell>
          <cell r="DQ10" t="str">
            <v>360/280</v>
          </cell>
          <cell r="DR10">
            <v>0</v>
          </cell>
          <cell r="DS10">
            <v>0</v>
          </cell>
          <cell r="DT10">
            <v>3.52</v>
          </cell>
          <cell r="DU10">
            <v>0.971</v>
          </cell>
          <cell r="DV10">
            <v>0.992</v>
          </cell>
          <cell r="DW10">
            <v>0.999</v>
          </cell>
          <cell r="DX10">
            <v>0.999</v>
          </cell>
          <cell r="DY10">
            <v>0.999</v>
          </cell>
          <cell r="DZ10">
            <v>0.999</v>
          </cell>
          <cell r="EA10">
            <v>0.999</v>
          </cell>
          <cell r="EB10">
            <v>0.999</v>
          </cell>
          <cell r="EC10">
            <v>0.999</v>
          </cell>
          <cell r="ED10">
            <v>0.999</v>
          </cell>
          <cell r="EE10">
            <v>0.999</v>
          </cell>
          <cell r="EF10">
            <v>0.999</v>
          </cell>
          <cell r="EG10">
            <v>0.999</v>
          </cell>
          <cell r="EH10">
            <v>0.999</v>
          </cell>
          <cell r="EI10">
            <v>0.999</v>
          </cell>
          <cell r="EJ10">
            <v>0.999</v>
          </cell>
          <cell r="EK10">
            <v>0.999</v>
          </cell>
          <cell r="EL10">
            <v>0.999</v>
          </cell>
          <cell r="EM10">
            <v>0.999</v>
          </cell>
          <cell r="EN10">
            <v>0.999</v>
          </cell>
          <cell r="EO10">
            <v>0.999</v>
          </cell>
          <cell r="EP10">
            <v>0.997</v>
          </cell>
          <cell r="EQ10">
            <v>0.995</v>
          </cell>
          <cell r="ER10">
            <v>0.991</v>
          </cell>
          <cell r="ES10">
            <v>0.987</v>
          </cell>
          <cell r="ET10">
            <v>0.982</v>
          </cell>
          <cell r="EU10">
            <v>0.973</v>
          </cell>
          <cell r="EV10">
            <v>0.956</v>
          </cell>
          <cell r="EW10">
            <v>0.926</v>
          </cell>
          <cell r="EX10">
            <v>0.879</v>
          </cell>
          <cell r="EY10">
            <v>0.808</v>
          </cell>
          <cell r="EZ10">
            <v>0.715</v>
          </cell>
          <cell r="FA10">
            <v>0.609</v>
          </cell>
          <cell r="FB10">
            <v>0.5</v>
          </cell>
          <cell r="FC10">
            <v>0.395</v>
          </cell>
          <cell r="FD10">
            <v>0.286</v>
          </cell>
          <cell r="FE10">
            <v>0.943</v>
          </cell>
          <cell r="FF10">
            <v>0.984</v>
          </cell>
          <cell r="FG10">
            <v>0.998</v>
          </cell>
          <cell r="FH10">
            <v>0.998</v>
          </cell>
          <cell r="FI10">
            <v>0.998</v>
          </cell>
          <cell r="FJ10">
            <v>0.998</v>
          </cell>
          <cell r="FK10">
            <v>0.998</v>
          </cell>
          <cell r="FL10">
            <v>0.998</v>
          </cell>
          <cell r="FM10">
            <v>0.998</v>
          </cell>
          <cell r="FN10">
            <v>0.998</v>
          </cell>
          <cell r="FO10">
            <v>0.998</v>
          </cell>
          <cell r="FP10">
            <v>0.998</v>
          </cell>
          <cell r="FQ10">
            <v>0.998</v>
          </cell>
          <cell r="FR10">
            <v>0.998</v>
          </cell>
          <cell r="FS10">
            <v>0.998</v>
          </cell>
          <cell r="FT10">
            <v>0.998</v>
          </cell>
          <cell r="FU10">
            <v>0.998</v>
          </cell>
          <cell r="FV10">
            <v>0.998</v>
          </cell>
          <cell r="FW10">
            <v>0.998</v>
          </cell>
          <cell r="FX10">
            <v>0.998</v>
          </cell>
          <cell r="FY10">
            <v>0.998</v>
          </cell>
          <cell r="FZ10">
            <v>0.995</v>
          </cell>
          <cell r="GA10">
            <v>0.991</v>
          </cell>
          <cell r="GB10">
            <v>0.987</v>
          </cell>
          <cell r="GC10">
            <v>0.983</v>
          </cell>
          <cell r="GD10">
            <v>0.973</v>
          </cell>
          <cell r="GE10">
            <v>0.954</v>
          </cell>
          <cell r="GF10">
            <v>0.922</v>
          </cell>
          <cell r="GG10">
            <v>0.867</v>
          </cell>
          <cell r="GH10">
            <v>0.78</v>
          </cell>
          <cell r="GI10">
            <v>0.66</v>
          </cell>
          <cell r="GJ10">
            <v>0.517</v>
          </cell>
          <cell r="GK10">
            <v>0.376</v>
          </cell>
          <cell r="GL10">
            <v>0.254</v>
          </cell>
          <cell r="GM10">
            <v>0.159</v>
          </cell>
          <cell r="GN10">
            <v>0.085</v>
          </cell>
        </row>
        <row r="11">
          <cell r="B11" t="str">
            <v>H-K6</v>
          </cell>
          <cell r="C11">
            <v>511605</v>
          </cell>
          <cell r="D11">
            <v>60.46</v>
          </cell>
          <cell r="E11">
            <v>60.21</v>
          </cell>
          <cell r="F11">
            <v>0.008454</v>
          </cell>
          <cell r="G11">
            <v>0.008523</v>
          </cell>
          <cell r="H11">
            <v>1.48663</v>
          </cell>
          <cell r="I11">
            <v>1.49101</v>
          </cell>
          <cell r="J11">
            <v>1.49582</v>
          </cell>
          <cell r="K11">
            <v>1.5001</v>
          </cell>
          <cell r="L11">
            <v>1.50151</v>
          </cell>
          <cell r="M11">
            <v>1.50394</v>
          </cell>
          <cell r="N11">
            <v>1.50558</v>
          </cell>
          <cell r="O11">
            <v>1.50707</v>
          </cell>
          <cell r="P11">
            <v>1.50855</v>
          </cell>
          <cell r="Q11">
            <v>1.50896</v>
          </cell>
          <cell r="R11">
            <v>1.50934</v>
          </cell>
          <cell r="S11">
            <v>1.51105</v>
          </cell>
          <cell r="T11">
            <v>1.51112</v>
          </cell>
          <cell r="U11">
            <v>1.51314</v>
          </cell>
          <cell r="V11">
            <v>1.517</v>
          </cell>
          <cell r="W11">
            <v>1.51748</v>
          </cell>
          <cell r="X11">
            <v>1.52159</v>
          </cell>
          <cell r="Y11">
            <v>1.5254</v>
          </cell>
          <cell r="Z11">
            <v>1.53188</v>
          </cell>
          <cell r="AA11">
            <v>2.2509531</v>
          </cell>
          <cell r="AB11">
            <v>-0.0079769429</v>
          </cell>
          <cell r="AC11">
            <v>0.012172917</v>
          </cell>
          <cell r="AD11">
            <v>-9.9997916e-5</v>
          </cell>
          <cell r="AE11">
            <v>4.1776164e-5</v>
          </cell>
          <cell r="AF11">
            <v>-2.0912623e-6</v>
          </cell>
          <cell r="AG11">
            <v>0.30414201183432</v>
          </cell>
          <cell r="AH11">
            <v>0.239053254437864</v>
          </cell>
          <cell r="AI11">
            <v>0.54319526627221</v>
          </cell>
          <cell r="AJ11">
            <v>0.25352112676056</v>
          </cell>
          <cell r="AK11">
            <v>0.237089201877928</v>
          </cell>
          <cell r="AL11">
            <v>0.482394366197198</v>
          </cell>
          <cell r="AM11">
            <v>-2.13462721840862e-5</v>
          </cell>
          <cell r="AN11">
            <v>1.93262722104209e-5</v>
          </cell>
          <cell r="AO11">
            <v>4.69346745899379e-5</v>
          </cell>
          <cell r="AP11">
            <v>5.81301775251231e-5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3</v>
          </cell>
          <cell r="CT11">
            <v>1</v>
          </cell>
          <cell r="CU11">
            <v>2</v>
          </cell>
          <cell r="CV11">
            <v>1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530</v>
          </cell>
          <cell r="DB11">
            <v>619</v>
          </cell>
          <cell r="DC11">
            <v>473</v>
          </cell>
          <cell r="DD11">
            <v>522</v>
          </cell>
          <cell r="DE11">
            <v>0</v>
          </cell>
          <cell r="DF11">
            <v>87</v>
          </cell>
          <cell r="DG11">
            <v>100</v>
          </cell>
          <cell r="DH11">
            <v>0</v>
          </cell>
          <cell r="DI11">
            <v>0</v>
          </cell>
          <cell r="DJ11">
            <v>0</v>
          </cell>
          <cell r="DK11">
            <v>469</v>
          </cell>
          <cell r="DL11">
            <v>107</v>
          </cell>
          <cell r="DM11">
            <v>6724</v>
          </cell>
          <cell r="DN11">
            <v>2758</v>
          </cell>
          <cell r="DO11">
            <v>0.219</v>
          </cell>
          <cell r="DP11">
            <v>0</v>
          </cell>
          <cell r="DQ11" t="str">
            <v>330/290</v>
          </cell>
          <cell r="DR11">
            <v>0</v>
          </cell>
          <cell r="DS11">
            <v>0</v>
          </cell>
          <cell r="DT11">
            <v>2.53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0.998</v>
          </cell>
          <cell r="EG11">
            <v>0.998</v>
          </cell>
          <cell r="EH11">
            <v>0.998</v>
          </cell>
          <cell r="EI11">
            <v>0.997</v>
          </cell>
          <cell r="EJ11">
            <v>0.997</v>
          </cell>
          <cell r="EK11">
            <v>0.997</v>
          </cell>
          <cell r="EL11">
            <v>0.997</v>
          </cell>
          <cell r="EM11">
            <v>0.997</v>
          </cell>
          <cell r="EN11">
            <v>0.996</v>
          </cell>
          <cell r="EO11">
            <v>0.996</v>
          </cell>
          <cell r="EP11">
            <v>0.995</v>
          </cell>
          <cell r="EQ11">
            <v>0.995</v>
          </cell>
          <cell r="ER11">
            <v>0.995</v>
          </cell>
          <cell r="ES11">
            <v>0.995</v>
          </cell>
          <cell r="ET11">
            <v>0.994</v>
          </cell>
          <cell r="EU11">
            <v>0.994</v>
          </cell>
          <cell r="EV11">
            <v>0.994</v>
          </cell>
          <cell r="EW11">
            <v>0.99</v>
          </cell>
          <cell r="EX11">
            <v>0.979</v>
          </cell>
          <cell r="EY11">
            <v>0.952</v>
          </cell>
          <cell r="EZ11">
            <v>0.89</v>
          </cell>
          <cell r="FA11">
            <v>0.74</v>
          </cell>
          <cell r="FB11">
            <v>0.48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0.996</v>
          </cell>
          <cell r="FQ11">
            <v>0.996</v>
          </cell>
          <cell r="FR11">
            <v>0.995</v>
          </cell>
          <cell r="FS11">
            <v>0.995</v>
          </cell>
          <cell r="FT11">
            <v>0.995</v>
          </cell>
          <cell r="FU11">
            <v>0.995</v>
          </cell>
          <cell r="FV11">
            <v>0.995</v>
          </cell>
          <cell r="FW11">
            <v>0.994</v>
          </cell>
          <cell r="FX11">
            <v>0.993</v>
          </cell>
          <cell r="FY11">
            <v>0.992</v>
          </cell>
          <cell r="FZ11">
            <v>0.991</v>
          </cell>
          <cell r="GA11">
            <v>0.991</v>
          </cell>
          <cell r="GB11">
            <v>0.991</v>
          </cell>
          <cell r="GC11">
            <v>0.991</v>
          </cell>
          <cell r="GD11">
            <v>0.989</v>
          </cell>
          <cell r="GE11">
            <v>0.989</v>
          </cell>
          <cell r="GF11">
            <v>0.988</v>
          </cell>
          <cell r="GG11">
            <v>0.98</v>
          </cell>
          <cell r="GH11">
            <v>0.958</v>
          </cell>
          <cell r="GI11">
            <v>0.907</v>
          </cell>
          <cell r="GJ11">
            <v>0.79</v>
          </cell>
          <cell r="GK11">
            <v>0.55</v>
          </cell>
          <cell r="GL11">
            <v>0.23</v>
          </cell>
          <cell r="GM11">
            <v>0</v>
          </cell>
          <cell r="GN11">
            <v>0</v>
          </cell>
        </row>
        <row r="12">
          <cell r="B12" t="str">
            <v>H-K9L</v>
          </cell>
          <cell r="C12">
            <v>517642</v>
          </cell>
          <cell r="D12">
            <v>64.2</v>
          </cell>
          <cell r="E12">
            <v>64</v>
          </cell>
          <cell r="F12">
            <v>0.00805</v>
          </cell>
          <cell r="G12">
            <v>0.008105</v>
          </cell>
          <cell r="H12">
            <v>1.48969</v>
          </cell>
          <cell r="I12">
            <v>1.49515</v>
          </cell>
          <cell r="J12">
            <v>1.50098</v>
          </cell>
          <cell r="K12">
            <v>1.50585</v>
          </cell>
          <cell r="L12">
            <v>1.50735</v>
          </cell>
          <cell r="M12">
            <v>1.50983</v>
          </cell>
          <cell r="N12">
            <v>1.51145</v>
          </cell>
          <cell r="O12">
            <v>1.5129</v>
          </cell>
          <cell r="P12">
            <v>1.51432</v>
          </cell>
          <cell r="Q12">
            <v>1.51472</v>
          </cell>
          <cell r="R12">
            <v>1.51509</v>
          </cell>
          <cell r="S12">
            <v>1.51673</v>
          </cell>
          <cell r="T12">
            <v>1.5168</v>
          </cell>
          <cell r="U12">
            <v>1.51872</v>
          </cell>
          <cell r="V12">
            <v>1.52237</v>
          </cell>
          <cell r="W12">
            <v>1.52282</v>
          </cell>
          <cell r="X12">
            <v>1.5267</v>
          </cell>
          <cell r="Y12">
            <v>1.53027</v>
          </cell>
          <cell r="Z12">
            <v>1.53629</v>
          </cell>
          <cell r="AA12">
            <v>2.27223852</v>
          </cell>
          <cell r="AB12">
            <v>-0.0101682613</v>
          </cell>
          <cell r="AC12">
            <v>0.0103945607</v>
          </cell>
          <cell r="AD12">
            <v>0.000229862391</v>
          </cell>
          <cell r="AE12">
            <v>-4.30423477e-6</v>
          </cell>
          <cell r="AF12">
            <v>5.001072e-8</v>
          </cell>
          <cell r="AG12">
            <v>0.308074534161472</v>
          </cell>
          <cell r="AH12">
            <v>0.238509316770207</v>
          </cell>
          <cell r="AI12">
            <v>0.537888198757765</v>
          </cell>
          <cell r="AJ12">
            <v>0.256790123456773</v>
          </cell>
          <cell r="AK12">
            <v>0.237037037037055</v>
          </cell>
          <cell r="AL12">
            <v>0.479012345678998</v>
          </cell>
          <cell r="AM12">
            <v>-0.00134545093167946</v>
          </cell>
          <cell r="AN12">
            <v>0.000924398757764552</v>
          </cell>
          <cell r="AO12">
            <v>0.0146253093167997</v>
          </cell>
          <cell r="AP12">
            <v>0.00328397515530021</v>
          </cell>
          <cell r="AQ12">
            <v>2.1</v>
          </cell>
          <cell r="AR12">
            <v>2.1</v>
          </cell>
          <cell r="AS12">
            <v>2.1</v>
          </cell>
          <cell r="AT12">
            <v>2.1</v>
          </cell>
          <cell r="AU12">
            <v>2.2</v>
          </cell>
          <cell r="AV12">
            <v>2.3</v>
          </cell>
          <cell r="AW12">
            <v>2.4</v>
          </cell>
          <cell r="AX12">
            <v>2.4</v>
          </cell>
          <cell r="AY12">
            <v>2.4</v>
          </cell>
          <cell r="AZ12">
            <v>2.4</v>
          </cell>
          <cell r="BA12">
            <v>2.5</v>
          </cell>
          <cell r="BB12">
            <v>2.7</v>
          </cell>
          <cell r="BC12">
            <v>2.4</v>
          </cell>
          <cell r="BD12">
            <v>2.4</v>
          </cell>
          <cell r="BE12">
            <v>2.4</v>
          </cell>
          <cell r="BF12">
            <v>2.5</v>
          </cell>
          <cell r="BG12">
            <v>2.6</v>
          </cell>
          <cell r="BH12">
            <v>2.7</v>
          </cell>
          <cell r="BI12">
            <v>2.5</v>
          </cell>
          <cell r="BJ12">
            <v>2.5</v>
          </cell>
          <cell r="BK12">
            <v>2.5</v>
          </cell>
          <cell r="BL12">
            <v>2.6</v>
          </cell>
          <cell r="BM12">
            <v>2.7</v>
          </cell>
          <cell r="BN12">
            <v>2.8</v>
          </cell>
          <cell r="BO12">
            <v>2.6</v>
          </cell>
          <cell r="BP12">
            <v>2.6</v>
          </cell>
          <cell r="BQ12">
            <v>2.6</v>
          </cell>
          <cell r="BR12">
            <v>2.7</v>
          </cell>
          <cell r="BS12">
            <v>2.8</v>
          </cell>
          <cell r="BT12">
            <v>2.9</v>
          </cell>
          <cell r="BU12">
            <v>2.9</v>
          </cell>
          <cell r="BV12">
            <v>2.8</v>
          </cell>
          <cell r="BW12">
            <v>2.9</v>
          </cell>
          <cell r="BX12">
            <v>3</v>
          </cell>
          <cell r="BY12">
            <v>3.1</v>
          </cell>
          <cell r="BZ12">
            <v>3.2</v>
          </cell>
          <cell r="CA12">
            <v>3.1</v>
          </cell>
          <cell r="CB12">
            <v>3.1</v>
          </cell>
          <cell r="CC12">
            <v>3.2</v>
          </cell>
          <cell r="CD12">
            <v>3.2</v>
          </cell>
          <cell r="CE12">
            <v>3.4</v>
          </cell>
          <cell r="CF12">
            <v>3.5</v>
          </cell>
          <cell r="CG12">
            <v>0.4</v>
          </cell>
          <cell r="CH12">
            <v>0.6</v>
          </cell>
          <cell r="CI12">
            <v>0.9</v>
          </cell>
          <cell r="CJ12">
            <v>1.1</v>
          </cell>
          <cell r="CK12">
            <v>1.4</v>
          </cell>
          <cell r="CL12">
            <v>1.6</v>
          </cell>
          <cell r="CM12">
            <v>1.12556703200643e-6</v>
          </cell>
          <cell r="CN12">
            <v>1.43e-8</v>
          </cell>
          <cell r="CO12">
            <v>-4.2e-12</v>
          </cell>
          <cell r="CP12">
            <v>4.58e-7</v>
          </cell>
          <cell r="CQ12">
            <v>4.769e-10</v>
          </cell>
          <cell r="CR12">
            <v>0.181</v>
          </cell>
          <cell r="CS12">
            <v>1</v>
          </cell>
          <cell r="CT12">
            <v>1</v>
          </cell>
          <cell r="CU12">
            <v>2</v>
          </cell>
          <cell r="CV12">
            <v>1</v>
          </cell>
          <cell r="CW12">
            <v>1</v>
          </cell>
          <cell r="CX12">
            <v>1</v>
          </cell>
          <cell r="CY12">
            <v>0</v>
          </cell>
          <cell r="CZ12">
            <v>0</v>
          </cell>
          <cell r="DA12">
            <v>562</v>
          </cell>
          <cell r="DB12">
            <v>636</v>
          </cell>
          <cell r="DC12">
            <v>519</v>
          </cell>
          <cell r="DD12">
            <v>548</v>
          </cell>
          <cell r="DE12">
            <v>73</v>
          </cell>
          <cell r="DF12">
            <v>0</v>
          </cell>
          <cell r="DG12">
            <v>92</v>
          </cell>
          <cell r="DH12">
            <v>0</v>
          </cell>
          <cell r="DI12">
            <v>95</v>
          </cell>
          <cell r="DJ12">
            <v>0</v>
          </cell>
          <cell r="DK12">
            <v>581</v>
          </cell>
          <cell r="DL12">
            <v>100</v>
          </cell>
          <cell r="DM12">
            <v>7438</v>
          </cell>
          <cell r="DN12">
            <v>3076</v>
          </cell>
          <cell r="DO12">
            <v>0.209</v>
          </cell>
          <cell r="DP12">
            <v>2.7</v>
          </cell>
          <cell r="DQ12" t="str">
            <v>325/280</v>
          </cell>
          <cell r="DR12">
            <v>324</v>
          </cell>
          <cell r="DS12">
            <v>287</v>
          </cell>
          <cell r="DT12">
            <v>2.49</v>
          </cell>
          <cell r="DU12">
            <v>0.907</v>
          </cell>
          <cell r="DV12">
            <v>0.933</v>
          </cell>
          <cell r="DW12">
            <v>0.98</v>
          </cell>
          <cell r="DX12">
            <v>0.992</v>
          </cell>
          <cell r="DY12">
            <v>0.999</v>
          </cell>
          <cell r="DZ12">
            <v>0.999</v>
          </cell>
          <cell r="EA12">
            <v>0.999</v>
          </cell>
          <cell r="EB12">
            <v>0.999</v>
          </cell>
          <cell r="EC12">
            <v>0.999</v>
          </cell>
          <cell r="ED12">
            <v>0.999</v>
          </cell>
          <cell r="EE12">
            <v>0.999</v>
          </cell>
          <cell r="EF12">
            <v>0.999</v>
          </cell>
          <cell r="EG12">
            <v>0.999</v>
          </cell>
          <cell r="EH12">
            <v>0.999</v>
          </cell>
          <cell r="EI12">
            <v>0.999</v>
          </cell>
          <cell r="EJ12">
            <v>0.999</v>
          </cell>
          <cell r="EK12">
            <v>0.999</v>
          </cell>
          <cell r="EL12">
            <v>0.999</v>
          </cell>
          <cell r="EM12">
            <v>0.999</v>
          </cell>
          <cell r="EN12">
            <v>0.999</v>
          </cell>
          <cell r="EO12">
            <v>0.999</v>
          </cell>
          <cell r="EP12">
            <v>0.999</v>
          </cell>
          <cell r="EQ12">
            <v>0.999</v>
          </cell>
          <cell r="ER12">
            <v>0.999</v>
          </cell>
          <cell r="ES12">
            <v>0.998</v>
          </cell>
          <cell r="ET12">
            <v>0.997</v>
          </cell>
          <cell r="EU12">
            <v>0.996</v>
          </cell>
          <cell r="EV12">
            <v>0.995</v>
          </cell>
          <cell r="EW12">
            <v>0.99</v>
          </cell>
          <cell r="EX12">
            <v>0.981</v>
          </cell>
          <cell r="EY12">
            <v>0.96</v>
          </cell>
          <cell r="EZ12">
            <v>0.921</v>
          </cell>
          <cell r="FA12">
            <v>0.842</v>
          </cell>
          <cell r="FB12">
            <v>0.7</v>
          </cell>
          <cell r="FC12">
            <v>0.49</v>
          </cell>
          <cell r="FD12">
            <v>0.261</v>
          </cell>
          <cell r="FE12">
            <v>0.823</v>
          </cell>
          <cell r="FF12">
            <v>0.87</v>
          </cell>
          <cell r="FG12">
            <v>0.96</v>
          </cell>
          <cell r="FH12">
            <v>0.985</v>
          </cell>
          <cell r="FI12">
            <v>0.998</v>
          </cell>
          <cell r="FJ12">
            <v>0.998</v>
          </cell>
          <cell r="FK12">
            <v>0.998</v>
          </cell>
          <cell r="FL12">
            <v>0.998</v>
          </cell>
          <cell r="FM12">
            <v>0.998</v>
          </cell>
          <cell r="FN12">
            <v>0.998</v>
          </cell>
          <cell r="FO12">
            <v>0.998</v>
          </cell>
          <cell r="FP12">
            <v>0.998</v>
          </cell>
          <cell r="FQ12">
            <v>0.998</v>
          </cell>
          <cell r="FR12">
            <v>0.998</v>
          </cell>
          <cell r="FS12">
            <v>0.998</v>
          </cell>
          <cell r="FT12">
            <v>0.998</v>
          </cell>
          <cell r="FU12">
            <v>0.998</v>
          </cell>
          <cell r="FV12">
            <v>0.998</v>
          </cell>
          <cell r="FW12">
            <v>0.998</v>
          </cell>
          <cell r="FX12">
            <v>0.998</v>
          </cell>
          <cell r="FY12">
            <v>0.998</v>
          </cell>
          <cell r="FZ12">
            <v>0.998</v>
          </cell>
          <cell r="GA12">
            <v>0.998</v>
          </cell>
          <cell r="GB12">
            <v>0.998</v>
          </cell>
          <cell r="GC12">
            <v>0.997</v>
          </cell>
          <cell r="GD12">
            <v>0.995</v>
          </cell>
          <cell r="GE12">
            <v>0.993</v>
          </cell>
          <cell r="GF12">
            <v>0.991</v>
          </cell>
          <cell r="GG12">
            <v>0.981</v>
          </cell>
          <cell r="GH12">
            <v>0.962</v>
          </cell>
          <cell r="GI12">
            <v>0.922</v>
          </cell>
          <cell r="GJ12">
            <v>0.848</v>
          </cell>
          <cell r="GK12">
            <v>0.709</v>
          </cell>
          <cell r="GL12">
            <v>0.49</v>
          </cell>
          <cell r="GM12">
            <v>0.24</v>
          </cell>
          <cell r="GN12">
            <v>0.068</v>
          </cell>
        </row>
        <row r="13">
          <cell r="B13" t="str">
            <v>H-K10</v>
          </cell>
          <cell r="C13">
            <v>518590</v>
          </cell>
          <cell r="D13">
            <v>58.95</v>
          </cell>
          <cell r="E13">
            <v>58.69</v>
          </cell>
          <cell r="F13">
            <v>0.00879</v>
          </cell>
          <cell r="G13">
            <v>0.008865</v>
          </cell>
          <cell r="H13">
            <v>1.49188</v>
          </cell>
          <cell r="I13">
            <v>1.49678</v>
          </cell>
          <cell r="J13">
            <v>1.50212</v>
          </cell>
          <cell r="K13">
            <v>1.50673</v>
          </cell>
          <cell r="L13">
            <v>1.50819</v>
          </cell>
          <cell r="M13">
            <v>1.51072</v>
          </cell>
          <cell r="N13">
            <v>1.51243</v>
          </cell>
          <cell r="O13">
            <v>1.51396</v>
          </cell>
          <cell r="P13">
            <v>1.51549</v>
          </cell>
          <cell r="Q13">
            <v>1.51592</v>
          </cell>
          <cell r="R13">
            <v>1.51632</v>
          </cell>
          <cell r="S13">
            <v>1.5181</v>
          </cell>
          <cell r="T13">
            <v>1.51818</v>
          </cell>
          <cell r="U13">
            <v>1.52027</v>
          </cell>
          <cell r="V13">
            <v>1.52428</v>
          </cell>
          <cell r="W13">
            <v>1.52479</v>
          </cell>
          <cell r="X13">
            <v>1.52909</v>
          </cell>
          <cell r="Y13">
            <v>1.53307</v>
          </cell>
          <cell r="Z13">
            <v>1.53987</v>
          </cell>
          <cell r="AA13">
            <v>2.27259173</v>
          </cell>
          <cell r="AB13">
            <v>-0.00906522105</v>
          </cell>
          <cell r="AC13">
            <v>0.0114548348</v>
          </cell>
          <cell r="AD13">
            <v>0.000286758258</v>
          </cell>
          <cell r="AE13">
            <v>-1.0560753e-5</v>
          </cell>
          <cell r="AF13">
            <v>6.7859163e-7</v>
          </cell>
          <cell r="AG13">
            <v>0.306029579067128</v>
          </cell>
          <cell r="AH13">
            <v>0.237770193401582</v>
          </cell>
          <cell r="AI13">
            <v>0.547212741751984</v>
          </cell>
          <cell r="AJ13">
            <v>0.254791431792572</v>
          </cell>
          <cell r="AK13">
            <v>0.23562570462231</v>
          </cell>
          <cell r="AL13">
            <v>0.484780157835388</v>
          </cell>
          <cell r="AM13">
            <v>-0.00145937246871056</v>
          </cell>
          <cell r="AN13">
            <v>0.00152869175198403</v>
          </cell>
          <cell r="AO13">
            <v>0.00471749226393869</v>
          </cell>
          <cell r="AP13">
            <v>0.000782116040944303</v>
          </cell>
          <cell r="AQ13">
            <v>1.2</v>
          </cell>
          <cell r="AR13">
            <v>1.1</v>
          </cell>
          <cell r="AS13">
            <v>1.1</v>
          </cell>
          <cell r="AT13">
            <v>1.1</v>
          </cell>
          <cell r="AU13">
            <v>1.1</v>
          </cell>
          <cell r="AV13">
            <v>1.1</v>
          </cell>
          <cell r="AW13">
            <v>1.5</v>
          </cell>
          <cell r="AX13">
            <v>1.5</v>
          </cell>
          <cell r="AY13">
            <v>1.5</v>
          </cell>
          <cell r="AZ13">
            <v>1.5</v>
          </cell>
          <cell r="BA13">
            <v>1.5</v>
          </cell>
          <cell r="BB13">
            <v>1.5</v>
          </cell>
          <cell r="BC13">
            <v>1.5</v>
          </cell>
          <cell r="BD13">
            <v>1.5</v>
          </cell>
          <cell r="BE13">
            <v>1.5</v>
          </cell>
          <cell r="BF13">
            <v>1.5</v>
          </cell>
          <cell r="BG13">
            <v>1.5</v>
          </cell>
          <cell r="BH13">
            <v>1.6</v>
          </cell>
          <cell r="BI13">
            <v>1.6</v>
          </cell>
          <cell r="BJ13">
            <v>1.6</v>
          </cell>
          <cell r="BK13">
            <v>1.6</v>
          </cell>
          <cell r="BL13">
            <v>1.6</v>
          </cell>
          <cell r="BM13">
            <v>1.6</v>
          </cell>
          <cell r="BN13">
            <v>1.7</v>
          </cell>
          <cell r="BO13">
            <v>1.8</v>
          </cell>
          <cell r="BP13">
            <v>1.8</v>
          </cell>
          <cell r="BQ13">
            <v>1.8</v>
          </cell>
          <cell r="BR13">
            <v>1.7</v>
          </cell>
          <cell r="BS13">
            <v>1.8</v>
          </cell>
          <cell r="BT13">
            <v>1.9</v>
          </cell>
          <cell r="BU13">
            <v>2.1</v>
          </cell>
          <cell r="BV13">
            <v>2.1</v>
          </cell>
          <cell r="BW13">
            <v>2.1</v>
          </cell>
          <cell r="BX13">
            <v>2.1</v>
          </cell>
          <cell r="BY13">
            <v>2.1</v>
          </cell>
          <cell r="BZ13">
            <v>2.2</v>
          </cell>
          <cell r="CA13">
            <v>2.4</v>
          </cell>
          <cell r="CB13">
            <v>2.4</v>
          </cell>
          <cell r="CC13">
            <v>2.5</v>
          </cell>
          <cell r="CD13">
            <v>2.5</v>
          </cell>
          <cell r="CE13">
            <v>2.5</v>
          </cell>
          <cell r="CF13">
            <v>2.6</v>
          </cell>
          <cell r="CG13">
            <v>-0.5</v>
          </cell>
          <cell r="CH13">
            <v>-0.3</v>
          </cell>
          <cell r="CI13">
            <v>0</v>
          </cell>
          <cell r="CJ13">
            <v>0.2</v>
          </cell>
          <cell r="CK13">
            <v>0.3</v>
          </cell>
          <cell r="CL13">
            <v>0.5</v>
          </cell>
          <cell r="CM13">
            <v>-1.64e-6</v>
          </cell>
          <cell r="CN13">
            <v>1.091e-8</v>
          </cell>
          <cell r="CO13">
            <v>-1.128e-11</v>
          </cell>
          <cell r="CP13">
            <v>6.46e-7</v>
          </cell>
          <cell r="CQ13">
            <v>6.285e-10</v>
          </cell>
          <cell r="CR13">
            <v>0.154</v>
          </cell>
          <cell r="CS13">
            <v>1</v>
          </cell>
          <cell r="CT13">
            <v>1</v>
          </cell>
          <cell r="CU13">
            <v>1</v>
          </cell>
          <cell r="CV13">
            <v>1</v>
          </cell>
          <cell r="CW13">
            <v>2</v>
          </cell>
          <cell r="CX13">
            <v>1</v>
          </cell>
          <cell r="CY13">
            <v>0</v>
          </cell>
          <cell r="CZ13">
            <v>0</v>
          </cell>
          <cell r="DA13">
            <v>511</v>
          </cell>
          <cell r="DB13">
            <v>579</v>
          </cell>
          <cell r="DC13">
            <v>460</v>
          </cell>
          <cell r="DD13">
            <v>495</v>
          </cell>
          <cell r="DE13">
            <v>88</v>
          </cell>
          <cell r="DF13">
            <v>0</v>
          </cell>
          <cell r="DG13">
            <v>110</v>
          </cell>
          <cell r="DH13">
            <v>0</v>
          </cell>
          <cell r="DI13">
            <v>70</v>
          </cell>
          <cell r="DJ13">
            <v>0</v>
          </cell>
          <cell r="DK13">
            <v>454</v>
          </cell>
          <cell r="DL13">
            <v>118</v>
          </cell>
          <cell r="DM13">
            <v>7364</v>
          </cell>
          <cell r="DN13">
            <v>2895</v>
          </cell>
          <cell r="DO13">
            <v>0.22</v>
          </cell>
          <cell r="DP13">
            <v>0</v>
          </cell>
          <cell r="DQ13" t="str">
            <v>345/315</v>
          </cell>
          <cell r="DR13">
            <v>0</v>
          </cell>
          <cell r="DS13">
            <v>0</v>
          </cell>
          <cell r="DT13">
            <v>2.52</v>
          </cell>
          <cell r="DU13">
            <v>0.862</v>
          </cell>
          <cell r="DV13">
            <v>0.902</v>
          </cell>
          <cell r="DW13">
            <v>0.96</v>
          </cell>
          <cell r="DX13">
            <v>0.984</v>
          </cell>
          <cell r="DY13">
            <v>0.999</v>
          </cell>
          <cell r="DZ13">
            <v>0.999</v>
          </cell>
          <cell r="EA13">
            <v>0.999</v>
          </cell>
          <cell r="EB13">
            <v>0.999</v>
          </cell>
          <cell r="EC13">
            <v>0.999</v>
          </cell>
          <cell r="ED13">
            <v>0.999</v>
          </cell>
          <cell r="EE13">
            <v>0.999</v>
          </cell>
          <cell r="EF13">
            <v>0.999</v>
          </cell>
          <cell r="EG13">
            <v>0.999</v>
          </cell>
          <cell r="EH13">
            <v>0.999</v>
          </cell>
          <cell r="EI13">
            <v>0.999</v>
          </cell>
          <cell r="EJ13">
            <v>0.999</v>
          </cell>
          <cell r="EK13">
            <v>0.999</v>
          </cell>
          <cell r="EL13">
            <v>0.999</v>
          </cell>
          <cell r="EM13">
            <v>0.999</v>
          </cell>
          <cell r="EN13">
            <v>0.999</v>
          </cell>
          <cell r="EO13">
            <v>0.999</v>
          </cell>
          <cell r="EP13">
            <v>0.999</v>
          </cell>
          <cell r="EQ13">
            <v>0.999</v>
          </cell>
          <cell r="ER13">
            <v>0.999</v>
          </cell>
          <cell r="ES13">
            <v>0.999</v>
          </cell>
          <cell r="ET13">
            <v>0.994</v>
          </cell>
          <cell r="EU13">
            <v>0.987</v>
          </cell>
          <cell r="EV13">
            <v>0.974</v>
          </cell>
          <cell r="EW13">
            <v>0.945</v>
          </cell>
          <cell r="EX13">
            <v>0.875</v>
          </cell>
          <cell r="EY13">
            <v>0.711</v>
          </cell>
          <cell r="EZ13">
            <v>0.392</v>
          </cell>
          <cell r="FA13">
            <v>0.085</v>
          </cell>
          <cell r="FB13">
            <v>0</v>
          </cell>
          <cell r="FC13">
            <v>0</v>
          </cell>
          <cell r="FD13">
            <v>0</v>
          </cell>
          <cell r="FE13">
            <v>0.745</v>
          </cell>
          <cell r="FF13">
            <v>0.814</v>
          </cell>
          <cell r="FG13">
            <v>0.92</v>
          </cell>
          <cell r="FH13">
            <v>0.968</v>
          </cell>
          <cell r="FI13">
            <v>0.998</v>
          </cell>
          <cell r="FJ13">
            <v>0.998</v>
          </cell>
          <cell r="FK13">
            <v>0.998</v>
          </cell>
          <cell r="FL13">
            <v>0.998</v>
          </cell>
          <cell r="FM13">
            <v>0.998</v>
          </cell>
          <cell r="FN13">
            <v>0.998</v>
          </cell>
          <cell r="FO13">
            <v>0.998</v>
          </cell>
          <cell r="FP13">
            <v>0.998</v>
          </cell>
          <cell r="FQ13">
            <v>0.998</v>
          </cell>
          <cell r="FR13">
            <v>0.998</v>
          </cell>
          <cell r="FS13">
            <v>0.998</v>
          </cell>
          <cell r="FT13">
            <v>0.998</v>
          </cell>
          <cell r="FU13">
            <v>0.998</v>
          </cell>
          <cell r="FV13">
            <v>0.998</v>
          </cell>
          <cell r="FW13">
            <v>0.998</v>
          </cell>
          <cell r="FX13">
            <v>0.998</v>
          </cell>
          <cell r="FY13">
            <v>0.998</v>
          </cell>
          <cell r="FZ13">
            <v>0.998</v>
          </cell>
          <cell r="GA13">
            <v>0.998</v>
          </cell>
          <cell r="GB13">
            <v>0.998</v>
          </cell>
          <cell r="GC13">
            <v>0.998</v>
          </cell>
          <cell r="GD13">
            <v>0.988</v>
          </cell>
          <cell r="GE13">
            <v>0.974</v>
          </cell>
          <cell r="GF13">
            <v>0.944</v>
          </cell>
          <cell r="GG13">
            <v>0.889</v>
          </cell>
          <cell r="GH13">
            <v>0.758</v>
          </cell>
          <cell r="GI13">
            <v>0.499</v>
          </cell>
          <cell r="GJ13">
            <v>0.149</v>
          </cell>
          <cell r="GK13">
            <v>0.012</v>
          </cell>
          <cell r="GL13">
            <v>0</v>
          </cell>
          <cell r="GM13">
            <v>0</v>
          </cell>
          <cell r="GN13">
            <v>0</v>
          </cell>
        </row>
        <row r="14">
          <cell r="B14" t="str">
            <v>H-K51</v>
          </cell>
          <cell r="C14">
            <v>523586</v>
          </cell>
          <cell r="D14">
            <v>58.63</v>
          </cell>
          <cell r="E14">
            <v>58.39</v>
          </cell>
          <cell r="F14">
            <v>0.008921</v>
          </cell>
          <cell r="G14">
            <v>0.008995</v>
          </cell>
          <cell r="H14">
            <v>1.49748</v>
          </cell>
          <cell r="I14">
            <v>1.50215</v>
          </cell>
          <cell r="J14">
            <v>1.50724</v>
          </cell>
          <cell r="K14">
            <v>1.51167</v>
          </cell>
          <cell r="L14">
            <v>1.5131</v>
          </cell>
          <cell r="M14">
            <v>1.51559</v>
          </cell>
          <cell r="N14">
            <v>1.51728</v>
          </cell>
          <cell r="O14">
            <v>1.51883</v>
          </cell>
          <cell r="P14">
            <v>1.52037</v>
          </cell>
          <cell r="Q14">
            <v>1.5208</v>
          </cell>
          <cell r="R14">
            <v>1.5212</v>
          </cell>
          <cell r="S14">
            <v>1.52299</v>
          </cell>
          <cell r="T14">
            <v>1.52307</v>
          </cell>
          <cell r="U14">
            <v>1.5252</v>
          </cell>
          <cell r="V14">
            <v>1.52929</v>
          </cell>
          <cell r="W14">
            <v>1.5298</v>
          </cell>
          <cell r="X14">
            <v>1.53411</v>
          </cell>
          <cell r="Y14">
            <v>1.53811</v>
          </cell>
          <cell r="Z14">
            <v>1.54495</v>
          </cell>
          <cell r="AA14">
            <v>2.28724008</v>
          </cell>
          <cell r="AB14">
            <v>-0.00866259828</v>
          </cell>
          <cell r="AC14">
            <v>0.0109312658</v>
          </cell>
          <cell r="AD14">
            <v>0.000619326901</v>
          </cell>
          <cell r="AE14">
            <v>-6.62977052e-5</v>
          </cell>
          <cell r="AF14">
            <v>3.74341463e-6</v>
          </cell>
          <cell r="AG14">
            <v>0.302690582959631</v>
          </cell>
          <cell r="AH14">
            <v>0.238789237668156</v>
          </cell>
          <cell r="AI14">
            <v>0.540358744394622</v>
          </cell>
          <cell r="AJ14">
            <v>0.252222222222218</v>
          </cell>
          <cell r="AK14">
            <v>0.23666666666666</v>
          </cell>
          <cell r="AL14">
            <v>0.478888888888887</v>
          </cell>
          <cell r="AM14">
            <v>0.000683939372211985</v>
          </cell>
          <cell r="AN14">
            <v>-0.00585682560537823</v>
          </cell>
          <cell r="AO14">
            <v>-0.00919855847532758</v>
          </cell>
          <cell r="AP14">
            <v>-0.00523756053811825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2</v>
          </cell>
          <cell r="CT14">
            <v>1</v>
          </cell>
          <cell r="CU14">
            <v>2</v>
          </cell>
          <cell r="CV14">
            <v>1</v>
          </cell>
          <cell r="CW14">
            <v>1</v>
          </cell>
          <cell r="CX14">
            <v>1</v>
          </cell>
          <cell r="CY14">
            <v>0</v>
          </cell>
          <cell r="CZ14">
            <v>0</v>
          </cell>
          <cell r="DA14">
            <v>545</v>
          </cell>
          <cell r="DB14">
            <v>616</v>
          </cell>
          <cell r="DC14">
            <v>497</v>
          </cell>
          <cell r="DD14">
            <v>530</v>
          </cell>
          <cell r="DE14">
            <v>80</v>
          </cell>
          <cell r="DF14">
            <v>0</v>
          </cell>
          <cell r="DG14">
            <v>98</v>
          </cell>
          <cell r="DH14">
            <v>0</v>
          </cell>
          <cell r="DI14">
            <v>46</v>
          </cell>
          <cell r="DJ14">
            <v>0</v>
          </cell>
          <cell r="DK14">
            <v>517</v>
          </cell>
          <cell r="DL14">
            <v>0</v>
          </cell>
          <cell r="DM14">
            <v>7365</v>
          </cell>
          <cell r="DN14">
            <v>3015</v>
          </cell>
          <cell r="DO14">
            <v>0.221</v>
          </cell>
          <cell r="DP14">
            <v>0</v>
          </cell>
          <cell r="DQ14" t="str">
            <v>350/310</v>
          </cell>
          <cell r="DR14">
            <v>0</v>
          </cell>
          <cell r="DS14">
            <v>0</v>
          </cell>
          <cell r="DT14">
            <v>2.52</v>
          </cell>
          <cell r="DU14">
            <v>0.9</v>
          </cell>
          <cell r="DV14">
            <v>0.915</v>
          </cell>
          <cell r="DW14">
            <v>0.963</v>
          </cell>
          <cell r="DX14">
            <v>0.984</v>
          </cell>
          <cell r="DY14">
            <v>0.998</v>
          </cell>
          <cell r="DZ14">
            <v>0.998</v>
          </cell>
          <cell r="EA14">
            <v>0.998</v>
          </cell>
          <cell r="EB14">
            <v>0.998</v>
          </cell>
          <cell r="EC14">
            <v>0.998</v>
          </cell>
          <cell r="ED14">
            <v>0.998</v>
          </cell>
          <cell r="EE14">
            <v>0.998</v>
          </cell>
          <cell r="EF14">
            <v>0.998</v>
          </cell>
          <cell r="EG14">
            <v>0.998</v>
          </cell>
          <cell r="EH14">
            <v>0.998</v>
          </cell>
          <cell r="EI14">
            <v>0.999</v>
          </cell>
          <cell r="EJ14">
            <v>0.999</v>
          </cell>
          <cell r="EK14">
            <v>0.999</v>
          </cell>
          <cell r="EL14">
            <v>0.999</v>
          </cell>
          <cell r="EM14">
            <v>0.999</v>
          </cell>
          <cell r="EN14">
            <v>0.999</v>
          </cell>
          <cell r="EO14">
            <v>0.999</v>
          </cell>
          <cell r="EP14">
            <v>0.999</v>
          </cell>
          <cell r="EQ14">
            <v>0.999</v>
          </cell>
          <cell r="ER14">
            <v>0.999</v>
          </cell>
          <cell r="ES14">
            <v>0.999</v>
          </cell>
          <cell r="ET14">
            <v>0.996</v>
          </cell>
          <cell r="EU14">
            <v>0.996</v>
          </cell>
          <cell r="EV14">
            <v>0.989</v>
          </cell>
          <cell r="EW14">
            <v>0.97</v>
          </cell>
          <cell r="EX14">
            <v>0.926</v>
          </cell>
          <cell r="EY14">
            <v>0.826</v>
          </cell>
          <cell r="EZ14">
            <v>0.648</v>
          </cell>
          <cell r="FA14">
            <v>0.375</v>
          </cell>
          <cell r="FB14">
            <v>0.107</v>
          </cell>
          <cell r="FC14">
            <v>0</v>
          </cell>
          <cell r="FD14">
            <v>0</v>
          </cell>
          <cell r="FE14">
            <v>0.81</v>
          </cell>
          <cell r="FF14">
            <v>0.837</v>
          </cell>
          <cell r="FG14">
            <v>0.927</v>
          </cell>
          <cell r="FH14">
            <v>0.968</v>
          </cell>
          <cell r="FI14">
            <v>0.996</v>
          </cell>
          <cell r="FJ14">
            <v>0.996</v>
          </cell>
          <cell r="FK14">
            <v>0.996</v>
          </cell>
          <cell r="FL14">
            <v>0.996</v>
          </cell>
          <cell r="FM14">
            <v>0.996</v>
          </cell>
          <cell r="FN14">
            <v>0.996</v>
          </cell>
          <cell r="FO14">
            <v>0.996</v>
          </cell>
          <cell r="FP14">
            <v>0.996</v>
          </cell>
          <cell r="FQ14">
            <v>0.996</v>
          </cell>
          <cell r="FR14">
            <v>0.997</v>
          </cell>
          <cell r="FS14">
            <v>0.998</v>
          </cell>
          <cell r="FT14">
            <v>0.998</v>
          </cell>
          <cell r="FU14">
            <v>0.998</v>
          </cell>
          <cell r="FV14">
            <v>0.998</v>
          </cell>
          <cell r="FW14">
            <v>0.998</v>
          </cell>
          <cell r="FX14">
            <v>0.998</v>
          </cell>
          <cell r="FY14">
            <v>0.998</v>
          </cell>
          <cell r="FZ14">
            <v>0.998</v>
          </cell>
          <cell r="GA14">
            <v>0.998</v>
          </cell>
          <cell r="GB14">
            <v>0.998</v>
          </cell>
          <cell r="GC14">
            <v>0.998</v>
          </cell>
          <cell r="GD14">
            <v>0.992</v>
          </cell>
          <cell r="GE14">
            <v>0.992</v>
          </cell>
          <cell r="GF14">
            <v>0.978</v>
          </cell>
          <cell r="GG14">
            <v>0.941</v>
          </cell>
          <cell r="GH14">
            <v>0.857</v>
          </cell>
          <cell r="GI14">
            <v>0.682</v>
          </cell>
          <cell r="GJ14">
            <v>0.42</v>
          </cell>
          <cell r="GK14">
            <v>0.141</v>
          </cell>
          <cell r="GL14">
            <v>0.011</v>
          </cell>
          <cell r="GM14">
            <v>0</v>
          </cell>
          <cell r="GN14">
            <v>0</v>
          </cell>
        </row>
        <row r="15">
          <cell r="B15" t="str">
            <v>H-BaK2</v>
          </cell>
          <cell r="C15">
            <v>540597</v>
          </cell>
          <cell r="D15">
            <v>59.72</v>
          </cell>
          <cell r="E15">
            <v>59.45</v>
          </cell>
          <cell r="F15">
            <v>0.009041</v>
          </cell>
          <cell r="G15">
            <v>0.009119</v>
          </cell>
          <cell r="H15">
            <v>1.51376</v>
          </cell>
          <cell r="I15">
            <v>1.51856</v>
          </cell>
          <cell r="J15">
            <v>1.52378</v>
          </cell>
          <cell r="K15">
            <v>1.52833</v>
          </cell>
          <cell r="L15">
            <v>1.52981</v>
          </cell>
          <cell r="M15">
            <v>1.53235</v>
          </cell>
          <cell r="N15">
            <v>1.53407</v>
          </cell>
          <cell r="O15">
            <v>1.53565</v>
          </cell>
          <cell r="P15">
            <v>1.53721</v>
          </cell>
          <cell r="Q15">
            <v>1.53765</v>
          </cell>
          <cell r="R15">
            <v>1.53806</v>
          </cell>
          <cell r="S15">
            <v>1.53988</v>
          </cell>
          <cell r="T15">
            <v>1.53996</v>
          </cell>
          <cell r="U15">
            <v>1.54212</v>
          </cell>
          <cell r="V15">
            <v>1.54625</v>
          </cell>
          <cell r="W15">
            <v>1.54677</v>
          </cell>
          <cell r="X15">
            <v>1.55117</v>
          </cell>
          <cell r="Y15">
            <v>1.55525</v>
          </cell>
          <cell r="Z15">
            <v>1.56225</v>
          </cell>
          <cell r="AA15">
            <v>2.33787692</v>
          </cell>
          <cell r="AB15">
            <v>-0.00898050049</v>
          </cell>
          <cell r="AC15">
            <v>0.0115593975</v>
          </cell>
          <cell r="AD15">
            <v>0.000492789833</v>
          </cell>
          <cell r="AE15">
            <v>-4.58314132e-5</v>
          </cell>
          <cell r="AF15">
            <v>2.77373664e-6</v>
          </cell>
          <cell r="AG15">
            <v>0.304203539823014</v>
          </cell>
          <cell r="AH15">
            <v>0.23893805309734</v>
          </cell>
          <cell r="AI15">
            <v>0.544247787610627</v>
          </cell>
          <cell r="AJ15">
            <v>0.253289473684214</v>
          </cell>
          <cell r="AK15">
            <v>0.236842105263151</v>
          </cell>
          <cell r="AL15">
            <v>0.482456140350872</v>
          </cell>
          <cell r="AM15">
            <v>-0.000376152920354492</v>
          </cell>
          <cell r="AN15">
            <v>-0.00015729238937276</v>
          </cell>
          <cell r="AO15">
            <v>-0.010919049203526</v>
          </cell>
          <cell r="AP15">
            <v>-0.00611738053098462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2</v>
          </cell>
          <cell r="CU15">
            <v>1</v>
          </cell>
          <cell r="CV15">
            <v>1</v>
          </cell>
          <cell r="CW15">
            <v>2</v>
          </cell>
          <cell r="CX15">
            <v>1</v>
          </cell>
          <cell r="CY15">
            <v>0</v>
          </cell>
          <cell r="CZ15">
            <v>0</v>
          </cell>
          <cell r="DA15">
            <v>544</v>
          </cell>
          <cell r="DB15">
            <v>626</v>
          </cell>
          <cell r="DC15">
            <v>491</v>
          </cell>
          <cell r="DD15">
            <v>534</v>
          </cell>
          <cell r="DE15">
            <v>78</v>
          </cell>
          <cell r="DF15">
            <v>0</v>
          </cell>
          <cell r="DG15">
            <v>93</v>
          </cell>
          <cell r="DH15">
            <v>0</v>
          </cell>
          <cell r="DI15">
            <v>70</v>
          </cell>
          <cell r="DJ15">
            <v>0</v>
          </cell>
          <cell r="DK15">
            <v>532</v>
          </cell>
          <cell r="DL15">
            <v>103</v>
          </cell>
          <cell r="DM15">
            <v>7010</v>
          </cell>
          <cell r="DN15">
            <v>2833</v>
          </cell>
          <cell r="DO15">
            <v>0.237</v>
          </cell>
          <cell r="DP15">
            <v>0</v>
          </cell>
          <cell r="DQ15" t="str">
            <v>330/290</v>
          </cell>
          <cell r="DR15">
            <v>0</v>
          </cell>
          <cell r="DS15">
            <v>0</v>
          </cell>
          <cell r="DT15">
            <v>2.85</v>
          </cell>
          <cell r="DU15">
            <v>0.917</v>
          </cell>
          <cell r="DV15">
            <v>0.937</v>
          </cell>
          <cell r="DW15">
            <v>0.974</v>
          </cell>
          <cell r="DX15">
            <v>0.987</v>
          </cell>
          <cell r="DY15">
            <v>0.999</v>
          </cell>
          <cell r="DZ15">
            <v>0.999</v>
          </cell>
          <cell r="EA15">
            <v>0.999</v>
          </cell>
          <cell r="EB15">
            <v>0.999</v>
          </cell>
          <cell r="EC15">
            <v>0.999</v>
          </cell>
          <cell r="ED15">
            <v>0.999</v>
          </cell>
          <cell r="EE15">
            <v>0.999</v>
          </cell>
          <cell r="EF15">
            <v>0.999</v>
          </cell>
          <cell r="EG15">
            <v>0.999</v>
          </cell>
          <cell r="EH15">
            <v>0.999</v>
          </cell>
          <cell r="EI15">
            <v>0.999</v>
          </cell>
          <cell r="EJ15">
            <v>0.999</v>
          </cell>
          <cell r="EK15">
            <v>0.999</v>
          </cell>
          <cell r="EL15">
            <v>0.999</v>
          </cell>
          <cell r="EM15">
            <v>0.999</v>
          </cell>
          <cell r="EN15">
            <v>0.999</v>
          </cell>
          <cell r="EO15">
            <v>0.999</v>
          </cell>
          <cell r="EP15">
            <v>0.999</v>
          </cell>
          <cell r="EQ15">
            <v>0.999</v>
          </cell>
          <cell r="ER15">
            <v>0.999</v>
          </cell>
          <cell r="ES15">
            <v>0.999</v>
          </cell>
          <cell r="ET15">
            <v>0.997</v>
          </cell>
          <cell r="EU15">
            <v>0.995</v>
          </cell>
          <cell r="EV15">
            <v>0.993</v>
          </cell>
          <cell r="EW15">
            <v>0.977</v>
          </cell>
          <cell r="EX15">
            <v>0.957</v>
          </cell>
          <cell r="EY15">
            <v>0.926</v>
          </cell>
          <cell r="EZ15">
            <v>0.847</v>
          </cell>
          <cell r="FA15">
            <v>0.691</v>
          </cell>
          <cell r="FB15">
            <v>0.437</v>
          </cell>
          <cell r="FC15">
            <v>0.17</v>
          </cell>
          <cell r="FD15">
            <v>0</v>
          </cell>
          <cell r="FE15">
            <v>0.842</v>
          </cell>
          <cell r="FF15">
            <v>0.88</v>
          </cell>
          <cell r="FG15">
            <v>0.947</v>
          </cell>
          <cell r="FH15">
            <v>0.976</v>
          </cell>
          <cell r="FI15">
            <v>0.998</v>
          </cell>
          <cell r="FJ15">
            <v>0.998</v>
          </cell>
          <cell r="FK15">
            <v>0.998</v>
          </cell>
          <cell r="FL15">
            <v>0.998</v>
          </cell>
          <cell r="FM15">
            <v>0.998</v>
          </cell>
          <cell r="FN15">
            <v>0.998</v>
          </cell>
          <cell r="FO15">
            <v>0.998</v>
          </cell>
          <cell r="FP15">
            <v>0.998</v>
          </cell>
          <cell r="FQ15">
            <v>0.998</v>
          </cell>
          <cell r="FR15">
            <v>0.998</v>
          </cell>
          <cell r="FS15">
            <v>0.998</v>
          </cell>
          <cell r="FT15">
            <v>0.998</v>
          </cell>
          <cell r="FU15">
            <v>0.998</v>
          </cell>
          <cell r="FV15">
            <v>0.998</v>
          </cell>
          <cell r="FW15">
            <v>0.998</v>
          </cell>
          <cell r="FX15">
            <v>0.998</v>
          </cell>
          <cell r="FY15">
            <v>0.998</v>
          </cell>
          <cell r="FZ15">
            <v>0.998</v>
          </cell>
          <cell r="GA15">
            <v>0.998</v>
          </cell>
          <cell r="GB15">
            <v>0.998</v>
          </cell>
          <cell r="GC15">
            <v>0.998</v>
          </cell>
          <cell r="GD15">
            <v>0.996</v>
          </cell>
          <cell r="GE15">
            <v>0.993</v>
          </cell>
          <cell r="GF15">
            <v>0.99</v>
          </cell>
          <cell r="GG15">
            <v>0.961</v>
          </cell>
          <cell r="GH15">
            <v>0.929</v>
          </cell>
          <cell r="GI15">
            <v>0.867</v>
          </cell>
          <cell r="GJ15">
            <v>0.729</v>
          </cell>
          <cell r="GK15">
            <v>0.487</v>
          </cell>
          <cell r="GL15">
            <v>0.198</v>
          </cell>
          <cell r="GM15">
            <v>0.037</v>
          </cell>
          <cell r="GN15">
            <v>0</v>
          </cell>
        </row>
        <row r="16">
          <cell r="B16" t="str">
            <v>H-BaK4</v>
          </cell>
          <cell r="C16">
            <v>552634</v>
          </cell>
          <cell r="D16">
            <v>63.36</v>
          </cell>
          <cell r="E16">
            <v>63.1</v>
          </cell>
          <cell r="F16">
            <v>0.00872</v>
          </cell>
          <cell r="G16">
            <v>0.008788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1.54827</v>
          </cell>
          <cell r="P16">
            <v>1.54981</v>
          </cell>
          <cell r="Q16">
            <v>1.55023</v>
          </cell>
          <cell r="R16">
            <v>1.55063</v>
          </cell>
          <cell r="S16">
            <v>1.5524</v>
          </cell>
          <cell r="T16">
            <v>1.55248</v>
          </cell>
          <cell r="U16">
            <v>1.55456</v>
          </cell>
          <cell r="V16">
            <v>1.55853</v>
          </cell>
          <cell r="W16">
            <v>1.55902</v>
          </cell>
          <cell r="X16">
            <v>1.56321</v>
          </cell>
          <cell r="Y16">
            <v>1.56707</v>
          </cell>
          <cell r="Z16">
            <v>1.57364</v>
          </cell>
          <cell r="AA16">
            <v>2.3778046</v>
          </cell>
          <cell r="AB16">
            <v>-0.0103212301</v>
          </cell>
          <cell r="AC16">
            <v>0.0116996571</v>
          </cell>
          <cell r="AD16">
            <v>0.000293353081</v>
          </cell>
          <cell r="AE16">
            <v>-2.05614051e-5</v>
          </cell>
          <cell r="AF16">
            <v>1.35826601e-6</v>
          </cell>
          <cell r="AG16">
            <v>0.306192660550476</v>
          </cell>
          <cell r="AH16">
            <v>0.238532110091725</v>
          </cell>
          <cell r="AI16">
            <v>0.53669724770642</v>
          </cell>
          <cell r="AJ16">
            <v>0.255972696245741</v>
          </cell>
          <cell r="AK16">
            <v>0.236632536973816</v>
          </cell>
          <cell r="AL16">
            <v>0.476678043230931</v>
          </cell>
          <cell r="AM16">
            <v>4.99493577982707e-5</v>
          </cell>
          <cell r="AN16">
            <v>-0.00166179229357971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1</v>
          </cell>
          <cell r="CT16">
            <v>2</v>
          </cell>
          <cell r="CU16">
            <v>3</v>
          </cell>
          <cell r="CV16">
            <v>3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609</v>
          </cell>
          <cell r="DB16">
            <v>670</v>
          </cell>
          <cell r="DC16">
            <v>543</v>
          </cell>
          <cell r="DD16">
            <v>597</v>
          </cell>
          <cell r="DE16">
            <v>0</v>
          </cell>
          <cell r="DF16">
            <v>63</v>
          </cell>
          <cell r="DG16">
            <v>75</v>
          </cell>
          <cell r="DH16">
            <v>0</v>
          </cell>
          <cell r="DI16">
            <v>0</v>
          </cell>
          <cell r="DJ16">
            <v>0</v>
          </cell>
          <cell r="DK16">
            <v>563</v>
          </cell>
          <cell r="DL16">
            <v>0</v>
          </cell>
          <cell r="DM16">
            <v>8429</v>
          </cell>
          <cell r="DN16">
            <v>3435</v>
          </cell>
          <cell r="DO16">
            <v>0.227</v>
          </cell>
          <cell r="DP16">
            <v>0</v>
          </cell>
          <cell r="DQ16" t="str">
            <v>340/290</v>
          </cell>
          <cell r="DR16">
            <v>0</v>
          </cell>
          <cell r="DS16">
            <v>0</v>
          </cell>
          <cell r="DT16">
            <v>2.92</v>
          </cell>
          <cell r="DU16">
            <v>0.908</v>
          </cell>
          <cell r="DV16">
            <v>0.94</v>
          </cell>
          <cell r="DW16">
            <v>0.985</v>
          </cell>
          <cell r="DX16">
            <v>0.998</v>
          </cell>
          <cell r="DY16">
            <v>0.998</v>
          </cell>
          <cell r="DZ16">
            <v>0.998</v>
          </cell>
          <cell r="EA16">
            <v>0.998</v>
          </cell>
          <cell r="EB16">
            <v>0.998</v>
          </cell>
          <cell r="EC16">
            <v>0.998</v>
          </cell>
          <cell r="ED16">
            <v>0.998</v>
          </cell>
          <cell r="EE16">
            <v>0.998</v>
          </cell>
          <cell r="EF16">
            <v>0.998</v>
          </cell>
          <cell r="EG16">
            <v>0.998</v>
          </cell>
          <cell r="EH16">
            <v>0.998</v>
          </cell>
          <cell r="EI16">
            <v>0.998</v>
          </cell>
          <cell r="EJ16">
            <v>0.998</v>
          </cell>
          <cell r="EK16">
            <v>0.998</v>
          </cell>
          <cell r="EL16">
            <v>0.998</v>
          </cell>
          <cell r="EM16">
            <v>0.998</v>
          </cell>
          <cell r="EN16">
            <v>0.998</v>
          </cell>
          <cell r="EO16">
            <v>0.998</v>
          </cell>
          <cell r="EP16">
            <v>0.998</v>
          </cell>
          <cell r="EQ16">
            <v>0.998</v>
          </cell>
          <cell r="ER16">
            <v>0.998</v>
          </cell>
          <cell r="ES16">
            <v>0.998</v>
          </cell>
          <cell r="ET16">
            <v>0.995</v>
          </cell>
          <cell r="EU16">
            <v>0.995</v>
          </cell>
          <cell r="EV16">
            <v>0.988</v>
          </cell>
          <cell r="EW16">
            <v>0.974</v>
          </cell>
          <cell r="EX16">
            <v>0.946</v>
          </cell>
          <cell r="EY16">
            <v>0.889</v>
          </cell>
          <cell r="EZ16">
            <v>0.784</v>
          </cell>
          <cell r="FA16">
            <v>0.609</v>
          </cell>
          <cell r="FB16">
            <v>0.379</v>
          </cell>
          <cell r="FC16">
            <v>0.164</v>
          </cell>
          <cell r="FD16">
            <v>0</v>
          </cell>
          <cell r="FE16">
            <v>0.824</v>
          </cell>
          <cell r="FF16">
            <v>0.884</v>
          </cell>
          <cell r="FG16">
            <v>0.97</v>
          </cell>
          <cell r="FH16">
            <v>0.996</v>
          </cell>
          <cell r="FI16">
            <v>0.996</v>
          </cell>
          <cell r="FJ16">
            <v>0.996</v>
          </cell>
          <cell r="FK16">
            <v>0.996</v>
          </cell>
          <cell r="FL16">
            <v>0.996</v>
          </cell>
          <cell r="FM16">
            <v>0.996</v>
          </cell>
          <cell r="FN16">
            <v>0.996</v>
          </cell>
          <cell r="FO16">
            <v>0.996</v>
          </cell>
          <cell r="FP16">
            <v>0.996</v>
          </cell>
          <cell r="FQ16">
            <v>0.996</v>
          </cell>
          <cell r="FR16">
            <v>0.996</v>
          </cell>
          <cell r="FS16">
            <v>0.996</v>
          </cell>
          <cell r="FT16">
            <v>0.996</v>
          </cell>
          <cell r="FU16">
            <v>0.996</v>
          </cell>
          <cell r="FV16">
            <v>0.996</v>
          </cell>
          <cell r="FW16">
            <v>0.996</v>
          </cell>
          <cell r="FX16">
            <v>0.996</v>
          </cell>
          <cell r="FY16">
            <v>0.996</v>
          </cell>
          <cell r="FZ16">
            <v>0.996</v>
          </cell>
          <cell r="GA16">
            <v>0.996</v>
          </cell>
          <cell r="GB16">
            <v>0.996</v>
          </cell>
          <cell r="GC16">
            <v>0.996</v>
          </cell>
          <cell r="GD16">
            <v>0.99</v>
          </cell>
          <cell r="GE16">
            <v>0.99</v>
          </cell>
          <cell r="GF16">
            <v>0.976</v>
          </cell>
          <cell r="GG16">
            <v>0.949</v>
          </cell>
          <cell r="GH16">
            <v>0.895</v>
          </cell>
          <cell r="GI16">
            <v>0.79</v>
          </cell>
          <cell r="GJ16">
            <v>0.615</v>
          </cell>
          <cell r="GK16">
            <v>0.371</v>
          </cell>
          <cell r="GL16">
            <v>0.144</v>
          </cell>
          <cell r="GM16">
            <v>0.027</v>
          </cell>
          <cell r="GN16">
            <v>0</v>
          </cell>
        </row>
        <row r="17">
          <cell r="B17" t="str">
            <v>H-BaK6</v>
          </cell>
          <cell r="C17">
            <v>564608</v>
          </cell>
          <cell r="D17">
            <v>60.76</v>
          </cell>
          <cell r="E17">
            <v>60.5</v>
          </cell>
          <cell r="F17">
            <v>0.00928</v>
          </cell>
          <cell r="G17">
            <v>0.009357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1.55943</v>
          </cell>
          <cell r="P17">
            <v>1.56105</v>
          </cell>
          <cell r="Q17">
            <v>1.5615</v>
          </cell>
          <cell r="R17">
            <v>1.56192</v>
          </cell>
          <cell r="S17">
            <v>1.5638</v>
          </cell>
          <cell r="T17">
            <v>1.56388</v>
          </cell>
          <cell r="U17">
            <v>1.5661</v>
          </cell>
          <cell r="V17">
            <v>1.57033</v>
          </cell>
          <cell r="W17">
            <v>1.57086</v>
          </cell>
          <cell r="X17">
            <v>1.57535</v>
          </cell>
          <cell r="Y17">
            <v>1.57951</v>
          </cell>
          <cell r="Z17">
            <v>1.58631</v>
          </cell>
          <cell r="AA17">
            <v>2.39391422</v>
          </cell>
          <cell r="AB17">
            <v>0.00106795192</v>
          </cell>
          <cell r="AC17">
            <v>0.0221421132</v>
          </cell>
          <cell r="AD17">
            <v>-0.00234639531</v>
          </cell>
          <cell r="AE17">
            <v>0.000337805003</v>
          </cell>
          <cell r="AF17">
            <v>-1.71785556e-5</v>
          </cell>
          <cell r="AG17">
            <v>0.304956896551714</v>
          </cell>
          <cell r="AH17">
            <v>0.239224137931048</v>
          </cell>
          <cell r="AI17">
            <v>0.540948275862074</v>
          </cell>
          <cell r="AJ17">
            <v>0.254273504273491</v>
          </cell>
          <cell r="AK17">
            <v>0.237179487179504</v>
          </cell>
          <cell r="AL17">
            <v>0.479700854700876</v>
          </cell>
          <cell r="AM17">
            <v>-0.000841514482761201</v>
          </cell>
          <cell r="AN17">
            <v>-0.00172936413792568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3</v>
          </cell>
          <cell r="CU17">
            <v>1</v>
          </cell>
          <cell r="CV17">
            <v>2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616</v>
          </cell>
          <cell r="DB17">
            <v>671</v>
          </cell>
          <cell r="DC17">
            <v>551</v>
          </cell>
          <cell r="DD17">
            <v>603</v>
          </cell>
          <cell r="DE17">
            <v>0</v>
          </cell>
          <cell r="DF17">
            <v>62</v>
          </cell>
          <cell r="DG17">
            <v>76</v>
          </cell>
          <cell r="DH17">
            <v>0</v>
          </cell>
          <cell r="DI17">
            <v>0</v>
          </cell>
          <cell r="DJ17">
            <v>0</v>
          </cell>
          <cell r="DK17">
            <v>510</v>
          </cell>
          <cell r="DL17">
            <v>0</v>
          </cell>
          <cell r="DM17">
            <v>8311</v>
          </cell>
          <cell r="DN17">
            <v>3365</v>
          </cell>
          <cell r="DO17">
            <v>0.235</v>
          </cell>
          <cell r="DP17">
            <v>0</v>
          </cell>
          <cell r="DQ17" t="str">
            <v>350/300</v>
          </cell>
          <cell r="DR17">
            <v>0</v>
          </cell>
          <cell r="DS17">
            <v>0</v>
          </cell>
          <cell r="DT17">
            <v>3.05</v>
          </cell>
          <cell r="DU17">
            <v>0.915</v>
          </cell>
          <cell r="DV17">
            <v>0.945</v>
          </cell>
          <cell r="DW17">
            <v>0.984</v>
          </cell>
          <cell r="DX17">
            <v>0.993</v>
          </cell>
          <cell r="DY17">
            <v>0.998</v>
          </cell>
          <cell r="DZ17">
            <v>0.999</v>
          </cell>
          <cell r="EA17">
            <v>0.999</v>
          </cell>
          <cell r="EB17">
            <v>0.999</v>
          </cell>
          <cell r="EC17">
            <v>0.999</v>
          </cell>
          <cell r="ED17">
            <v>0.999</v>
          </cell>
          <cell r="EE17">
            <v>0.999</v>
          </cell>
          <cell r="EF17">
            <v>0.999</v>
          </cell>
          <cell r="EG17">
            <v>0.999</v>
          </cell>
          <cell r="EH17">
            <v>0.999</v>
          </cell>
          <cell r="EI17">
            <v>0.999</v>
          </cell>
          <cell r="EJ17">
            <v>0.999</v>
          </cell>
          <cell r="EK17">
            <v>0.999</v>
          </cell>
          <cell r="EL17">
            <v>0.999</v>
          </cell>
          <cell r="EM17">
            <v>0.998</v>
          </cell>
          <cell r="EN17">
            <v>0.997</v>
          </cell>
          <cell r="EO17">
            <v>0.997</v>
          </cell>
          <cell r="EP17">
            <v>0.996</v>
          </cell>
          <cell r="EQ17">
            <v>0.995</v>
          </cell>
          <cell r="ER17">
            <v>0.994</v>
          </cell>
          <cell r="ES17">
            <v>0.991</v>
          </cell>
          <cell r="ET17">
            <v>0.987</v>
          </cell>
          <cell r="EU17">
            <v>0.981</v>
          </cell>
          <cell r="EV17">
            <v>0.966</v>
          </cell>
          <cell r="EW17">
            <v>0.94</v>
          </cell>
          <cell r="EX17">
            <v>0.89</v>
          </cell>
          <cell r="EY17">
            <v>0.8</v>
          </cell>
          <cell r="EZ17">
            <v>0.66</v>
          </cell>
          <cell r="FA17">
            <v>0.46</v>
          </cell>
          <cell r="FB17">
            <v>0.24</v>
          </cell>
          <cell r="FC17">
            <v>0.08</v>
          </cell>
          <cell r="FD17">
            <v>0</v>
          </cell>
          <cell r="FE17">
            <v>0.838</v>
          </cell>
          <cell r="FF17">
            <v>0.893</v>
          </cell>
          <cell r="FG17">
            <v>0.969</v>
          </cell>
          <cell r="FH17">
            <v>0.986</v>
          </cell>
          <cell r="FI17">
            <v>0.996</v>
          </cell>
          <cell r="FJ17">
            <v>0.998</v>
          </cell>
          <cell r="FK17">
            <v>0.998</v>
          </cell>
          <cell r="FL17">
            <v>0.998</v>
          </cell>
          <cell r="FM17">
            <v>0.998</v>
          </cell>
          <cell r="FN17">
            <v>0.998</v>
          </cell>
          <cell r="FO17">
            <v>0.998</v>
          </cell>
          <cell r="FP17">
            <v>0.998</v>
          </cell>
          <cell r="FQ17">
            <v>0.998</v>
          </cell>
          <cell r="FR17">
            <v>0.998</v>
          </cell>
          <cell r="FS17">
            <v>0.998</v>
          </cell>
          <cell r="FT17">
            <v>0.998</v>
          </cell>
          <cell r="FU17">
            <v>0.998</v>
          </cell>
          <cell r="FV17">
            <v>0.998</v>
          </cell>
          <cell r="FW17">
            <v>0.996</v>
          </cell>
          <cell r="FX17">
            <v>0.995</v>
          </cell>
          <cell r="FY17">
            <v>0.994</v>
          </cell>
          <cell r="FZ17">
            <v>0.992</v>
          </cell>
          <cell r="GA17">
            <v>0.991</v>
          </cell>
          <cell r="GB17">
            <v>0.988</v>
          </cell>
          <cell r="GC17">
            <v>0.982</v>
          </cell>
          <cell r="GD17">
            <v>0.974</v>
          </cell>
          <cell r="GE17">
            <v>0.963</v>
          </cell>
          <cell r="GF17">
            <v>0.934</v>
          </cell>
          <cell r="GG17">
            <v>0.883</v>
          </cell>
          <cell r="GH17">
            <v>0.79</v>
          </cell>
          <cell r="GI17">
            <v>0.64</v>
          </cell>
          <cell r="GJ17">
            <v>0.43</v>
          </cell>
          <cell r="GK17">
            <v>0.21</v>
          </cell>
          <cell r="GL17">
            <v>0.06</v>
          </cell>
          <cell r="GM17">
            <v>0</v>
          </cell>
          <cell r="GN17">
            <v>0</v>
          </cell>
        </row>
        <row r="18">
          <cell r="B18" t="str">
            <v>H-BaK7B</v>
          </cell>
          <cell r="C18">
            <v>569560</v>
          </cell>
          <cell r="D18">
            <v>56.04</v>
          </cell>
          <cell r="E18">
            <v>55.78</v>
          </cell>
          <cell r="F18">
            <v>0.01015</v>
          </cell>
          <cell r="G18">
            <v>0.010242</v>
          </cell>
          <cell r="H18">
            <v>1.54067</v>
          </cell>
          <cell r="I18">
            <v>1.54566</v>
          </cell>
          <cell r="J18">
            <v>1.55114</v>
          </cell>
          <cell r="K18">
            <v>1.55599</v>
          </cell>
          <cell r="L18">
            <v>1.55757</v>
          </cell>
          <cell r="M18">
            <v>1.56035</v>
          </cell>
          <cell r="N18">
            <v>1.56226</v>
          </cell>
          <cell r="O18">
            <v>1.564</v>
          </cell>
          <cell r="P18">
            <v>1.56575</v>
          </cell>
          <cell r="Q18">
            <v>1.56624</v>
          </cell>
          <cell r="R18">
            <v>1.5667</v>
          </cell>
          <cell r="S18">
            <v>1.56874</v>
          </cell>
          <cell r="T18">
            <v>1.56883</v>
          </cell>
          <cell r="U18">
            <v>1.57125</v>
          </cell>
          <cell r="V18">
            <v>1.5759</v>
          </cell>
          <cell r="W18">
            <v>1.57648</v>
          </cell>
          <cell r="X18">
            <v>1.58148</v>
          </cell>
          <cell r="Y18">
            <v>1.58613</v>
          </cell>
          <cell r="Z18">
            <v>1.59409</v>
          </cell>
          <cell r="AA18">
            <v>2.42232225</v>
          </cell>
          <cell r="AB18">
            <v>-0.00946080677</v>
          </cell>
          <cell r="AC18">
            <v>0.0134161146</v>
          </cell>
          <cell r="AD18">
            <v>0.000459079961</v>
          </cell>
          <cell r="AE18">
            <v>-2.81629652e-5</v>
          </cell>
          <cell r="AF18">
            <v>1.70649477e-6</v>
          </cell>
          <cell r="AG18">
            <v>0.303448275862063</v>
          </cell>
          <cell r="AH18">
            <v>0.238423645320203</v>
          </cell>
          <cell r="AI18">
            <v>0.549753694581267</v>
          </cell>
          <cell r="AJ18">
            <v>0.252929687499987</v>
          </cell>
          <cell r="AK18">
            <v>0.236328125000008</v>
          </cell>
          <cell r="AL18">
            <v>0.488281249999988</v>
          </cell>
          <cell r="AM18">
            <v>-0.00113784118226648</v>
          </cell>
          <cell r="AN18">
            <v>-0.000763865418732856</v>
          </cell>
          <cell r="AO18">
            <v>-0.00575850995073957</v>
          </cell>
          <cell r="AP18">
            <v>-0.00287629556650085</v>
          </cell>
          <cell r="AQ18">
            <v>3.1</v>
          </cell>
          <cell r="AR18">
            <v>3</v>
          </cell>
          <cell r="AS18">
            <v>3</v>
          </cell>
          <cell r="AT18">
            <v>3</v>
          </cell>
          <cell r="AU18">
            <v>3</v>
          </cell>
          <cell r="AV18">
            <v>3.1</v>
          </cell>
          <cell r="AW18">
            <v>3.5</v>
          </cell>
          <cell r="AX18">
            <v>3.5</v>
          </cell>
          <cell r="AY18">
            <v>3.4</v>
          </cell>
          <cell r="AZ18">
            <v>3.4</v>
          </cell>
          <cell r="BA18">
            <v>3.5</v>
          </cell>
          <cell r="BB18">
            <v>3.6</v>
          </cell>
          <cell r="BC18">
            <v>3.6</v>
          </cell>
          <cell r="BD18">
            <v>3.5</v>
          </cell>
          <cell r="BE18">
            <v>3.4</v>
          </cell>
          <cell r="BF18">
            <v>3.4</v>
          </cell>
          <cell r="BG18">
            <v>3.5</v>
          </cell>
          <cell r="BH18">
            <v>3.7</v>
          </cell>
          <cell r="BI18">
            <v>3.7</v>
          </cell>
          <cell r="BJ18">
            <v>3.6</v>
          </cell>
          <cell r="BK18">
            <v>3.6</v>
          </cell>
          <cell r="BL18">
            <v>3.6</v>
          </cell>
          <cell r="BM18">
            <v>3.7</v>
          </cell>
          <cell r="BN18">
            <v>3.8</v>
          </cell>
          <cell r="BO18">
            <v>3.9</v>
          </cell>
          <cell r="BP18">
            <v>3.8</v>
          </cell>
          <cell r="BQ18">
            <v>3.7</v>
          </cell>
          <cell r="BR18">
            <v>3.7</v>
          </cell>
          <cell r="BS18">
            <v>3.9</v>
          </cell>
          <cell r="BT18">
            <v>4</v>
          </cell>
          <cell r="BU18">
            <v>4.2</v>
          </cell>
          <cell r="BV18">
            <v>4.2</v>
          </cell>
          <cell r="BW18">
            <v>4.1</v>
          </cell>
          <cell r="BX18">
            <v>4.2</v>
          </cell>
          <cell r="BY18">
            <v>4.3</v>
          </cell>
          <cell r="BZ18">
            <v>4.4</v>
          </cell>
          <cell r="CA18">
            <v>4.6</v>
          </cell>
          <cell r="CB18">
            <v>4.5</v>
          </cell>
          <cell r="CC18">
            <v>4.5</v>
          </cell>
          <cell r="CD18">
            <v>4.6</v>
          </cell>
          <cell r="CE18">
            <v>4.7</v>
          </cell>
          <cell r="CF18">
            <v>4.9</v>
          </cell>
          <cell r="CG18">
            <v>1.4</v>
          </cell>
          <cell r="CH18">
            <v>1.7</v>
          </cell>
          <cell r="CI18">
            <v>1.9</v>
          </cell>
          <cell r="CJ18">
            <v>2.1</v>
          </cell>
          <cell r="CK18">
            <v>2.3</v>
          </cell>
          <cell r="CL18">
            <v>2.6</v>
          </cell>
          <cell r="CM18">
            <v>2.69e-6</v>
          </cell>
          <cell r="CN18">
            <v>1.061e-8</v>
          </cell>
          <cell r="CO18">
            <v>1.787e-11</v>
          </cell>
          <cell r="CP18">
            <v>5.36e-7</v>
          </cell>
          <cell r="CQ18">
            <v>5.838e-10</v>
          </cell>
          <cell r="CR18">
            <v>0.214</v>
          </cell>
          <cell r="CS18">
            <v>1</v>
          </cell>
          <cell r="CT18">
            <v>1</v>
          </cell>
          <cell r="CU18">
            <v>1</v>
          </cell>
          <cell r="CV18">
            <v>1</v>
          </cell>
          <cell r="CW18">
            <v>1</v>
          </cell>
          <cell r="CX18">
            <v>1</v>
          </cell>
          <cell r="CY18">
            <v>0</v>
          </cell>
          <cell r="CZ18">
            <v>0</v>
          </cell>
          <cell r="DA18">
            <v>570</v>
          </cell>
          <cell r="DB18">
            <v>635</v>
          </cell>
          <cell r="DC18">
            <v>530</v>
          </cell>
          <cell r="DD18">
            <v>565</v>
          </cell>
          <cell r="DE18">
            <v>71</v>
          </cell>
          <cell r="DF18">
            <v>0</v>
          </cell>
          <cell r="DG18">
            <v>88</v>
          </cell>
          <cell r="DH18">
            <v>0</v>
          </cell>
          <cell r="DI18">
            <v>87</v>
          </cell>
          <cell r="DJ18">
            <v>0</v>
          </cell>
          <cell r="DK18">
            <v>553</v>
          </cell>
          <cell r="DL18">
            <v>123</v>
          </cell>
          <cell r="DM18">
            <v>8190</v>
          </cell>
          <cell r="DN18">
            <v>3292</v>
          </cell>
          <cell r="DO18">
            <v>0.244</v>
          </cell>
          <cell r="DP18">
            <v>0</v>
          </cell>
          <cell r="DQ18" t="str">
            <v>355/320</v>
          </cell>
          <cell r="DR18">
            <v>347</v>
          </cell>
          <cell r="DS18">
            <v>321</v>
          </cell>
          <cell r="DT18">
            <v>2.85</v>
          </cell>
          <cell r="DU18">
            <v>0.934</v>
          </cell>
          <cell r="DV18">
            <v>0.953</v>
          </cell>
          <cell r="DW18">
            <v>0.979</v>
          </cell>
          <cell r="DX18">
            <v>0.988</v>
          </cell>
          <cell r="DY18">
            <v>0.997</v>
          </cell>
          <cell r="DZ18">
            <v>0.999</v>
          </cell>
          <cell r="EA18">
            <v>0.999</v>
          </cell>
          <cell r="EB18">
            <v>0.999</v>
          </cell>
          <cell r="EC18">
            <v>0.999</v>
          </cell>
          <cell r="ED18">
            <v>0.999</v>
          </cell>
          <cell r="EE18">
            <v>0.999</v>
          </cell>
          <cell r="EF18">
            <v>0.999</v>
          </cell>
          <cell r="EG18">
            <v>0.999</v>
          </cell>
          <cell r="EH18">
            <v>0.999</v>
          </cell>
          <cell r="EI18">
            <v>0.999</v>
          </cell>
          <cell r="EJ18">
            <v>0.999</v>
          </cell>
          <cell r="EK18">
            <v>0.999</v>
          </cell>
          <cell r="EL18">
            <v>0.999</v>
          </cell>
          <cell r="EM18">
            <v>0.999</v>
          </cell>
          <cell r="EN18">
            <v>0.999</v>
          </cell>
          <cell r="EO18">
            <v>0.998</v>
          </cell>
          <cell r="EP18">
            <v>0.997</v>
          </cell>
          <cell r="EQ18">
            <v>0.996</v>
          </cell>
          <cell r="ER18">
            <v>0.994</v>
          </cell>
          <cell r="ES18">
            <v>0.992</v>
          </cell>
          <cell r="ET18">
            <v>0.988</v>
          </cell>
          <cell r="EU18">
            <v>0.982</v>
          </cell>
          <cell r="EV18">
            <v>0.961</v>
          </cell>
          <cell r="EW18">
            <v>0.917</v>
          </cell>
          <cell r="EX18">
            <v>0.808</v>
          </cell>
          <cell r="EY18">
            <v>0.56</v>
          </cell>
          <cell r="EZ18">
            <v>0.192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0.872</v>
          </cell>
          <cell r="FF18">
            <v>0.908</v>
          </cell>
          <cell r="FG18">
            <v>0.958</v>
          </cell>
          <cell r="FH18">
            <v>0.976</v>
          </cell>
          <cell r="FI18">
            <v>0.994</v>
          </cell>
          <cell r="FJ18">
            <v>0.998</v>
          </cell>
          <cell r="FK18">
            <v>0.998</v>
          </cell>
          <cell r="FL18">
            <v>0.998</v>
          </cell>
          <cell r="FM18">
            <v>0.998</v>
          </cell>
          <cell r="FN18">
            <v>0.998</v>
          </cell>
          <cell r="FO18">
            <v>0.998</v>
          </cell>
          <cell r="FP18">
            <v>0.998</v>
          </cell>
          <cell r="FQ18">
            <v>0.998</v>
          </cell>
          <cell r="FR18">
            <v>0.998</v>
          </cell>
          <cell r="FS18">
            <v>0.998</v>
          </cell>
          <cell r="FT18">
            <v>0.998</v>
          </cell>
          <cell r="FU18">
            <v>0.998</v>
          </cell>
          <cell r="FV18">
            <v>0.998</v>
          </cell>
          <cell r="FW18">
            <v>0.998</v>
          </cell>
          <cell r="FX18">
            <v>0.998</v>
          </cell>
          <cell r="FY18">
            <v>0.996</v>
          </cell>
          <cell r="FZ18">
            <v>0.994</v>
          </cell>
          <cell r="GA18">
            <v>0.992</v>
          </cell>
          <cell r="GB18">
            <v>0.99</v>
          </cell>
          <cell r="GC18">
            <v>0.986</v>
          </cell>
          <cell r="GD18">
            <v>0.98</v>
          </cell>
          <cell r="GE18">
            <v>0.965</v>
          </cell>
          <cell r="GF18">
            <v>0.928</v>
          </cell>
          <cell r="GG18">
            <v>0.845</v>
          </cell>
          <cell r="GH18">
            <v>0.654</v>
          </cell>
          <cell r="GI18">
            <v>0.315</v>
          </cell>
          <cell r="GJ18">
            <v>0.039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</row>
        <row r="19">
          <cell r="B19" t="str">
            <v>H-BaK8</v>
          </cell>
          <cell r="C19">
            <v>573575</v>
          </cell>
          <cell r="D19">
            <v>57.49</v>
          </cell>
          <cell r="E19">
            <v>57.2</v>
          </cell>
          <cell r="F19">
            <v>0.009959</v>
          </cell>
          <cell r="G19">
            <v>0.010051</v>
          </cell>
          <cell r="H19">
            <v>1.54549</v>
          </cell>
          <cell r="I19">
            <v>1.55016</v>
          </cell>
          <cell r="J19">
            <v>1.55531</v>
          </cell>
          <cell r="K19">
            <v>1.55993</v>
          </cell>
          <cell r="L19">
            <v>1.56148</v>
          </cell>
          <cell r="M19">
            <v>1.56419</v>
          </cell>
          <cell r="N19">
            <v>1.56606</v>
          </cell>
          <cell r="O19">
            <v>1.56777</v>
          </cell>
          <cell r="P19">
            <v>1.56948</v>
          </cell>
          <cell r="Q19">
            <v>1.56996</v>
          </cell>
          <cell r="R19">
            <v>1.57041</v>
          </cell>
          <cell r="S19">
            <v>1.57241</v>
          </cell>
          <cell r="T19">
            <v>1.5725</v>
          </cell>
          <cell r="U19">
            <v>1.57487</v>
          </cell>
          <cell r="V19">
            <v>1.57944</v>
          </cell>
          <cell r="W19">
            <v>1.58001</v>
          </cell>
          <cell r="X19">
            <v>1.5849</v>
          </cell>
          <cell r="Y19">
            <v>1.58941</v>
          </cell>
          <cell r="Z19">
            <v>1.59715</v>
          </cell>
          <cell r="AA19">
            <v>2.43375651</v>
          </cell>
          <cell r="AB19">
            <v>-0.00882982376</v>
          </cell>
          <cell r="AC19">
            <v>0.0135916939</v>
          </cell>
          <cell r="AD19">
            <v>0.000360922117</v>
          </cell>
          <cell r="AE19">
            <v>-1.79584197e-5</v>
          </cell>
          <cell r="AF19">
            <v>1.11930116e-6</v>
          </cell>
          <cell r="AG19">
            <v>0.303212851405626</v>
          </cell>
          <cell r="AH19">
            <v>0.237951807228915</v>
          </cell>
          <cell r="AI19">
            <v>0.548192771084341</v>
          </cell>
          <cell r="AJ19">
            <v>0.252736318407962</v>
          </cell>
          <cell r="AK19">
            <v>0.235820895522389</v>
          </cell>
          <cell r="AL19">
            <v>0.486567164179116</v>
          </cell>
          <cell r="AM19">
            <v>0.000369821365459537</v>
          </cell>
          <cell r="AN19">
            <v>8.36610843411023e-5</v>
          </cell>
          <cell r="AO19">
            <v>-0.0154836885943743</v>
          </cell>
          <cell r="AP19">
            <v>-0.00725150200802871</v>
          </cell>
          <cell r="AQ19">
            <v>2.1</v>
          </cell>
          <cell r="AR19">
            <v>2</v>
          </cell>
          <cell r="AS19">
            <v>2.1</v>
          </cell>
          <cell r="AT19">
            <v>2.1</v>
          </cell>
          <cell r="AU19">
            <v>2.2</v>
          </cell>
          <cell r="AV19">
            <v>2.4</v>
          </cell>
          <cell r="AW19">
            <v>2.5</v>
          </cell>
          <cell r="AX19">
            <v>2.5</v>
          </cell>
          <cell r="AY19">
            <v>2.5</v>
          </cell>
          <cell r="AZ19">
            <v>2.5</v>
          </cell>
          <cell r="BA19">
            <v>2.6</v>
          </cell>
          <cell r="BB19">
            <v>2.8</v>
          </cell>
          <cell r="BC19">
            <v>2.5</v>
          </cell>
          <cell r="BD19">
            <v>2.5</v>
          </cell>
          <cell r="BE19">
            <v>2.5</v>
          </cell>
          <cell r="BF19">
            <v>2.6</v>
          </cell>
          <cell r="BG19">
            <v>2.7</v>
          </cell>
          <cell r="BH19">
            <v>2.9</v>
          </cell>
          <cell r="BI19">
            <v>2.6</v>
          </cell>
          <cell r="BJ19">
            <v>2.6</v>
          </cell>
          <cell r="BK19">
            <v>2.7</v>
          </cell>
          <cell r="BL19">
            <v>2.7</v>
          </cell>
          <cell r="BM19">
            <v>2.8</v>
          </cell>
          <cell r="BN19">
            <v>3</v>
          </cell>
          <cell r="BO19">
            <v>2.8</v>
          </cell>
          <cell r="BP19">
            <v>2.8</v>
          </cell>
          <cell r="BQ19">
            <v>2.8</v>
          </cell>
          <cell r="BR19">
            <v>2.9</v>
          </cell>
          <cell r="BS19">
            <v>3</v>
          </cell>
          <cell r="BT19">
            <v>3.2</v>
          </cell>
          <cell r="BU19">
            <v>3.1</v>
          </cell>
          <cell r="BV19">
            <v>3.1</v>
          </cell>
          <cell r="BW19">
            <v>3.2</v>
          </cell>
          <cell r="BX19">
            <v>3.2</v>
          </cell>
          <cell r="BY19">
            <v>3.4</v>
          </cell>
          <cell r="BZ19">
            <v>3.6</v>
          </cell>
          <cell r="CA19">
            <v>3.4</v>
          </cell>
          <cell r="CB19">
            <v>3.5</v>
          </cell>
          <cell r="CC19">
            <v>3.6</v>
          </cell>
          <cell r="CD19">
            <v>3.6</v>
          </cell>
          <cell r="CE19">
            <v>3.8</v>
          </cell>
          <cell r="CF19">
            <v>4</v>
          </cell>
          <cell r="CG19">
            <v>0.4</v>
          </cell>
          <cell r="CH19">
            <v>0.7</v>
          </cell>
          <cell r="CI19">
            <v>1</v>
          </cell>
          <cell r="CJ19">
            <v>1.2</v>
          </cell>
          <cell r="CK19">
            <v>1.5</v>
          </cell>
          <cell r="CL19">
            <v>1.8</v>
          </cell>
          <cell r="CM19">
            <v>1.21e-6</v>
          </cell>
          <cell r="CN19">
            <v>1.416e-8</v>
          </cell>
          <cell r="CO19">
            <v>1.031e-11</v>
          </cell>
          <cell r="CP19">
            <v>3.54e-7</v>
          </cell>
          <cell r="CQ19">
            <v>3.048e-10</v>
          </cell>
          <cell r="CR19">
            <v>0.275</v>
          </cell>
          <cell r="CS19">
            <v>1</v>
          </cell>
          <cell r="CT19">
            <v>3</v>
          </cell>
          <cell r="CU19">
            <v>1</v>
          </cell>
          <cell r="CV19">
            <v>2</v>
          </cell>
          <cell r="CW19">
            <v>1</v>
          </cell>
          <cell r="CX19">
            <v>1</v>
          </cell>
          <cell r="CY19">
            <v>0</v>
          </cell>
          <cell r="CZ19">
            <v>0</v>
          </cell>
          <cell r="DA19">
            <v>599</v>
          </cell>
          <cell r="DB19">
            <v>668</v>
          </cell>
          <cell r="DC19">
            <v>549</v>
          </cell>
          <cell r="DD19">
            <v>592</v>
          </cell>
          <cell r="DE19">
            <v>73</v>
          </cell>
          <cell r="DF19">
            <v>0</v>
          </cell>
          <cell r="DG19">
            <v>86</v>
          </cell>
          <cell r="DH19">
            <v>0</v>
          </cell>
          <cell r="DI19">
            <v>85</v>
          </cell>
          <cell r="DJ19">
            <v>0</v>
          </cell>
          <cell r="DK19">
            <v>527</v>
          </cell>
          <cell r="DL19">
            <v>127</v>
          </cell>
          <cell r="DM19">
            <v>7562</v>
          </cell>
          <cell r="DN19">
            <v>3049</v>
          </cell>
          <cell r="DO19">
            <v>0.24</v>
          </cell>
          <cell r="DP19">
            <v>0</v>
          </cell>
          <cell r="DQ19" t="str">
            <v>335/285</v>
          </cell>
          <cell r="DR19">
            <v>0</v>
          </cell>
          <cell r="DS19">
            <v>0</v>
          </cell>
          <cell r="DT19">
            <v>3.17</v>
          </cell>
          <cell r="DU19">
            <v>0.931</v>
          </cell>
          <cell r="DV19">
            <v>0.952</v>
          </cell>
          <cell r="DW19">
            <v>0.984</v>
          </cell>
          <cell r="DX19">
            <v>0.992</v>
          </cell>
          <cell r="DY19">
            <v>0.999</v>
          </cell>
          <cell r="DZ19">
            <v>0.999</v>
          </cell>
          <cell r="EA19">
            <v>0.999</v>
          </cell>
          <cell r="EB19">
            <v>0.999</v>
          </cell>
          <cell r="EC19">
            <v>0.999</v>
          </cell>
          <cell r="ED19">
            <v>0.999</v>
          </cell>
          <cell r="EE19">
            <v>0.999</v>
          </cell>
          <cell r="EF19">
            <v>0.999</v>
          </cell>
          <cell r="EG19">
            <v>0.999</v>
          </cell>
          <cell r="EH19">
            <v>0.999</v>
          </cell>
          <cell r="EI19">
            <v>0.999</v>
          </cell>
          <cell r="EJ19">
            <v>0.999</v>
          </cell>
          <cell r="EK19">
            <v>0.999</v>
          </cell>
          <cell r="EL19">
            <v>0.999</v>
          </cell>
          <cell r="EM19">
            <v>0.999</v>
          </cell>
          <cell r="EN19">
            <v>0.999</v>
          </cell>
          <cell r="EO19">
            <v>0.999</v>
          </cell>
          <cell r="EP19">
            <v>0.999</v>
          </cell>
          <cell r="EQ19">
            <v>0.999</v>
          </cell>
          <cell r="ER19">
            <v>0.999</v>
          </cell>
          <cell r="ES19">
            <v>0.999</v>
          </cell>
          <cell r="ET19">
            <v>0.997</v>
          </cell>
          <cell r="EU19">
            <v>0.995</v>
          </cell>
          <cell r="EV19">
            <v>0.99</v>
          </cell>
          <cell r="EW19">
            <v>0.975</v>
          </cell>
          <cell r="EX19">
            <v>0.956</v>
          </cell>
          <cell r="EY19">
            <v>0.925</v>
          </cell>
          <cell r="EZ19">
            <v>0.86</v>
          </cell>
          <cell r="FA19">
            <v>0.751</v>
          </cell>
          <cell r="FB19">
            <v>0.576</v>
          </cell>
          <cell r="FC19">
            <v>0.344</v>
          </cell>
          <cell r="FD19">
            <v>0</v>
          </cell>
          <cell r="FE19">
            <v>0.866</v>
          </cell>
          <cell r="FF19">
            <v>0.91</v>
          </cell>
          <cell r="FG19">
            <v>0.966</v>
          </cell>
          <cell r="FH19">
            <v>0.985</v>
          </cell>
          <cell r="FI19">
            <v>0.998</v>
          </cell>
          <cell r="FJ19">
            <v>0.998</v>
          </cell>
          <cell r="FK19">
            <v>0.998</v>
          </cell>
          <cell r="FL19">
            <v>0.998</v>
          </cell>
          <cell r="FM19">
            <v>0.998</v>
          </cell>
          <cell r="FN19">
            <v>0.998</v>
          </cell>
          <cell r="FO19">
            <v>0.998</v>
          </cell>
          <cell r="FP19">
            <v>0.998</v>
          </cell>
          <cell r="FQ19">
            <v>0.998</v>
          </cell>
          <cell r="FR19">
            <v>0.998</v>
          </cell>
          <cell r="FS19">
            <v>0.998</v>
          </cell>
          <cell r="FT19">
            <v>0.998</v>
          </cell>
          <cell r="FU19">
            <v>0.998</v>
          </cell>
          <cell r="FV19">
            <v>0.998</v>
          </cell>
          <cell r="FW19">
            <v>0.998</v>
          </cell>
          <cell r="FX19">
            <v>0.998</v>
          </cell>
          <cell r="FY19">
            <v>0.998</v>
          </cell>
          <cell r="FZ19">
            <v>0.998</v>
          </cell>
          <cell r="GA19">
            <v>0.998</v>
          </cell>
          <cell r="GB19">
            <v>0.998</v>
          </cell>
          <cell r="GC19">
            <v>0.998</v>
          </cell>
          <cell r="GD19">
            <v>0.995</v>
          </cell>
          <cell r="GE19">
            <v>0.99</v>
          </cell>
          <cell r="GF19">
            <v>0.98</v>
          </cell>
          <cell r="GG19">
            <v>0.95</v>
          </cell>
          <cell r="GH19">
            <v>0.918</v>
          </cell>
          <cell r="GI19">
            <v>0.857</v>
          </cell>
          <cell r="GJ19">
            <v>0.739</v>
          </cell>
          <cell r="GK19">
            <v>0.558</v>
          </cell>
          <cell r="GL19">
            <v>0.329</v>
          </cell>
          <cell r="GM19">
            <v>0.12</v>
          </cell>
          <cell r="GN19">
            <v>0</v>
          </cell>
        </row>
        <row r="20">
          <cell r="B20" t="str">
            <v>H-ZK3A</v>
          </cell>
          <cell r="C20">
            <v>589613</v>
          </cell>
          <cell r="D20">
            <v>61.25</v>
          </cell>
          <cell r="E20">
            <v>61.01</v>
          </cell>
          <cell r="F20">
            <v>0.009618</v>
          </cell>
          <cell r="G20">
            <v>0.009694</v>
          </cell>
          <cell r="H20">
            <v>1.55974</v>
          </cell>
          <cell r="I20">
            <v>1.56533</v>
          </cell>
          <cell r="J20">
            <v>1.57135</v>
          </cell>
          <cell r="K20">
            <v>1.57651</v>
          </cell>
          <cell r="L20">
            <v>1.57815</v>
          </cell>
          <cell r="M20">
            <v>1.58094</v>
          </cell>
          <cell r="N20">
            <v>1.5828</v>
          </cell>
          <cell r="O20">
            <v>1.5845</v>
          </cell>
          <cell r="P20">
            <v>1.58619</v>
          </cell>
          <cell r="Q20">
            <v>1.58666</v>
          </cell>
          <cell r="R20">
            <v>1.5871</v>
          </cell>
          <cell r="S20">
            <v>1.58904</v>
          </cell>
          <cell r="T20">
            <v>1.58913</v>
          </cell>
          <cell r="U20">
            <v>1.59142</v>
          </cell>
          <cell r="V20">
            <v>1.59581</v>
          </cell>
          <cell r="W20">
            <v>1.59635</v>
          </cell>
          <cell r="X20">
            <v>1.601</v>
          </cell>
          <cell r="Y20">
            <v>1.60529</v>
          </cell>
          <cell r="Z20">
            <v>1.61262</v>
          </cell>
          <cell r="AA20">
            <v>2.48897718</v>
          </cell>
          <cell r="AB20">
            <v>-0.0108218202</v>
          </cell>
          <cell r="AC20">
            <v>0.012555265</v>
          </cell>
          <cell r="AD20">
            <v>0.000587917057</v>
          </cell>
          <cell r="AE20">
            <v>-6.06715754e-5</v>
          </cell>
          <cell r="AF20">
            <v>3.56347486e-6</v>
          </cell>
          <cell r="AG20">
            <v>0.305613305613301</v>
          </cell>
          <cell r="AH20">
            <v>0.238045738045752</v>
          </cell>
          <cell r="AI20">
            <v>0.539501039501045</v>
          </cell>
          <cell r="AJ20">
            <v>0.254901960784311</v>
          </cell>
          <cell r="AK20">
            <v>0.236326109391138</v>
          </cell>
          <cell r="AL20">
            <v>0.479876160990718</v>
          </cell>
          <cell r="AM20">
            <v>-4.90436590529011e-5</v>
          </cell>
          <cell r="AN20">
            <v>-0.00236271049895539</v>
          </cell>
          <cell r="AO20">
            <v>-0.00115866424115607</v>
          </cell>
          <cell r="AP20">
            <v>-0.00166195426195445</v>
          </cell>
          <cell r="AQ20">
            <v>3.1</v>
          </cell>
          <cell r="AR20">
            <v>3</v>
          </cell>
          <cell r="AS20">
            <v>3</v>
          </cell>
          <cell r="AT20">
            <v>3.1</v>
          </cell>
          <cell r="AU20">
            <v>3.2</v>
          </cell>
          <cell r="AV20">
            <v>3.4</v>
          </cell>
          <cell r="AW20">
            <v>3.4</v>
          </cell>
          <cell r="AX20">
            <v>3.4</v>
          </cell>
          <cell r="AY20">
            <v>3.4</v>
          </cell>
          <cell r="AZ20">
            <v>3.4</v>
          </cell>
          <cell r="BA20">
            <v>3.6</v>
          </cell>
          <cell r="BB20">
            <v>3.8</v>
          </cell>
          <cell r="BC20">
            <v>3.4</v>
          </cell>
          <cell r="BD20">
            <v>3.4</v>
          </cell>
          <cell r="BE20">
            <v>3.4</v>
          </cell>
          <cell r="BF20">
            <v>3.5</v>
          </cell>
          <cell r="BG20">
            <v>3.6</v>
          </cell>
          <cell r="BH20">
            <v>3.8</v>
          </cell>
          <cell r="BI20">
            <v>3.5</v>
          </cell>
          <cell r="BJ20">
            <v>3.5</v>
          </cell>
          <cell r="BK20">
            <v>3.5</v>
          </cell>
          <cell r="BL20">
            <v>3.6</v>
          </cell>
          <cell r="BM20">
            <v>3.7</v>
          </cell>
          <cell r="BN20">
            <v>4</v>
          </cell>
          <cell r="BO20">
            <v>3.7</v>
          </cell>
          <cell r="BP20">
            <v>3.6</v>
          </cell>
          <cell r="BQ20">
            <v>3.6</v>
          </cell>
          <cell r="BR20">
            <v>3.7</v>
          </cell>
          <cell r="BS20">
            <v>3.9</v>
          </cell>
          <cell r="BT20">
            <v>4.1</v>
          </cell>
          <cell r="BU20">
            <v>3.9</v>
          </cell>
          <cell r="BV20">
            <v>3.9</v>
          </cell>
          <cell r="BW20">
            <v>3.9</v>
          </cell>
          <cell r="BX20">
            <v>4</v>
          </cell>
          <cell r="BY20">
            <v>4.2</v>
          </cell>
          <cell r="BZ20">
            <v>4.4</v>
          </cell>
          <cell r="CA20">
            <v>4.2</v>
          </cell>
          <cell r="CB20">
            <v>4.2</v>
          </cell>
          <cell r="CC20">
            <v>4.2</v>
          </cell>
          <cell r="CD20">
            <v>4.3</v>
          </cell>
          <cell r="CE20">
            <v>4.5</v>
          </cell>
          <cell r="CF20">
            <v>4.7</v>
          </cell>
          <cell r="CG20">
            <v>1.3</v>
          </cell>
          <cell r="CH20">
            <v>1.5</v>
          </cell>
          <cell r="CI20">
            <v>1.8</v>
          </cell>
          <cell r="CJ20">
            <v>2.1</v>
          </cell>
          <cell r="CK20">
            <v>2.4</v>
          </cell>
          <cell r="CL20">
            <v>2.8</v>
          </cell>
          <cell r="CM20">
            <v>3.03462626816792e-6</v>
          </cell>
          <cell r="CN20">
            <v>1.40717164980103e-8</v>
          </cell>
          <cell r="CO20">
            <v>2.16185341097179e-11</v>
          </cell>
          <cell r="CP20">
            <v>3.80674734168175e-7</v>
          </cell>
          <cell r="CQ20">
            <v>3.60036445215003e-10</v>
          </cell>
          <cell r="CR20">
            <v>0.201311981819262</v>
          </cell>
          <cell r="CS20">
            <v>1</v>
          </cell>
          <cell r="CT20">
            <v>3</v>
          </cell>
          <cell r="CU20">
            <v>2</v>
          </cell>
          <cell r="CV20">
            <v>3</v>
          </cell>
          <cell r="CW20">
            <v>2</v>
          </cell>
          <cell r="CX20">
            <v>1</v>
          </cell>
          <cell r="CY20">
            <v>0</v>
          </cell>
          <cell r="CZ20">
            <v>0</v>
          </cell>
          <cell r="DA20">
            <v>660</v>
          </cell>
          <cell r="DB20">
            <v>712</v>
          </cell>
          <cell r="DC20">
            <v>609</v>
          </cell>
          <cell r="DD20">
            <v>650</v>
          </cell>
          <cell r="DE20">
            <v>53</v>
          </cell>
          <cell r="DF20">
            <v>0</v>
          </cell>
          <cell r="DG20">
            <v>67</v>
          </cell>
          <cell r="DH20">
            <v>0</v>
          </cell>
          <cell r="DI20">
            <v>118</v>
          </cell>
          <cell r="DJ20">
            <v>0</v>
          </cell>
          <cell r="DK20">
            <v>550</v>
          </cell>
          <cell r="DL20">
            <v>119</v>
          </cell>
          <cell r="DM20">
            <v>8674</v>
          </cell>
          <cell r="DN20">
            <v>3342</v>
          </cell>
          <cell r="DO20">
            <v>0.253</v>
          </cell>
          <cell r="DP20">
            <v>0</v>
          </cell>
          <cell r="DQ20" t="str">
            <v>350/295</v>
          </cell>
          <cell r="DR20">
            <v>336</v>
          </cell>
          <cell r="DS20">
            <v>288</v>
          </cell>
          <cell r="DT20">
            <v>3.31</v>
          </cell>
          <cell r="DU20">
            <v>0.917</v>
          </cell>
          <cell r="DV20">
            <v>0.973</v>
          </cell>
          <cell r="DW20">
            <v>0.991</v>
          </cell>
          <cell r="DX20">
            <v>0.999</v>
          </cell>
          <cell r="DY20">
            <v>0.999</v>
          </cell>
          <cell r="DZ20">
            <v>0.999</v>
          </cell>
          <cell r="EA20">
            <v>0.999</v>
          </cell>
          <cell r="EB20">
            <v>0.999</v>
          </cell>
          <cell r="EC20">
            <v>0.999</v>
          </cell>
          <cell r="ED20">
            <v>0.999</v>
          </cell>
          <cell r="EE20">
            <v>0.999</v>
          </cell>
          <cell r="EF20">
            <v>0.999</v>
          </cell>
          <cell r="EG20">
            <v>0.999</v>
          </cell>
          <cell r="EH20">
            <v>0.999</v>
          </cell>
          <cell r="EI20">
            <v>0.999</v>
          </cell>
          <cell r="EJ20">
            <v>0.999</v>
          </cell>
          <cell r="EK20">
            <v>0.999</v>
          </cell>
          <cell r="EL20">
            <v>0.999</v>
          </cell>
          <cell r="EM20">
            <v>0.999</v>
          </cell>
          <cell r="EN20">
            <v>0.999</v>
          </cell>
          <cell r="EO20">
            <v>0.999</v>
          </cell>
          <cell r="EP20">
            <v>0.999</v>
          </cell>
          <cell r="EQ20">
            <v>0.999</v>
          </cell>
          <cell r="ER20">
            <v>0.998</v>
          </cell>
          <cell r="ES20">
            <v>0.997</v>
          </cell>
          <cell r="ET20">
            <v>0.995</v>
          </cell>
          <cell r="EU20">
            <v>0.989</v>
          </cell>
          <cell r="EV20">
            <v>0.974</v>
          </cell>
          <cell r="EW20">
            <v>0.951</v>
          </cell>
          <cell r="EX20">
            <v>0.91</v>
          </cell>
          <cell r="EY20">
            <v>0.842</v>
          </cell>
          <cell r="EZ20">
            <v>0.733</v>
          </cell>
          <cell r="FA20">
            <v>0.578</v>
          </cell>
          <cell r="FB20">
            <v>0.39</v>
          </cell>
          <cell r="FC20">
            <v>0.211</v>
          </cell>
          <cell r="FD20">
            <v>0</v>
          </cell>
          <cell r="FE20">
            <v>0.842</v>
          </cell>
          <cell r="FF20">
            <v>0.947</v>
          </cell>
          <cell r="FG20">
            <v>0.982</v>
          </cell>
          <cell r="FH20">
            <v>0.998</v>
          </cell>
          <cell r="FI20">
            <v>0.998</v>
          </cell>
          <cell r="FJ20">
            <v>0.998</v>
          </cell>
          <cell r="FK20">
            <v>0.998</v>
          </cell>
          <cell r="FL20">
            <v>0.998</v>
          </cell>
          <cell r="FM20">
            <v>0.998</v>
          </cell>
          <cell r="FN20">
            <v>0.998</v>
          </cell>
          <cell r="FO20">
            <v>0.998</v>
          </cell>
          <cell r="FP20">
            <v>0.998</v>
          </cell>
          <cell r="FQ20">
            <v>0.998</v>
          </cell>
          <cell r="FR20">
            <v>0.998</v>
          </cell>
          <cell r="FS20">
            <v>0.998</v>
          </cell>
          <cell r="FT20">
            <v>0.998</v>
          </cell>
          <cell r="FU20">
            <v>0.998</v>
          </cell>
          <cell r="FV20">
            <v>0.998</v>
          </cell>
          <cell r="FW20">
            <v>0.998</v>
          </cell>
          <cell r="FX20">
            <v>0.998</v>
          </cell>
          <cell r="FY20">
            <v>0.998</v>
          </cell>
          <cell r="FZ20">
            <v>0.998</v>
          </cell>
          <cell r="GA20">
            <v>0.998</v>
          </cell>
          <cell r="GB20">
            <v>0.996</v>
          </cell>
          <cell r="GC20">
            <v>0.994</v>
          </cell>
          <cell r="GD20">
            <v>0.99</v>
          </cell>
          <cell r="GE20">
            <v>0.978</v>
          </cell>
          <cell r="GF20">
            <v>0.949</v>
          </cell>
          <cell r="GG20">
            <v>0.907</v>
          </cell>
          <cell r="GH20">
            <v>0.831</v>
          </cell>
          <cell r="GI20">
            <v>0.71</v>
          </cell>
          <cell r="GJ20">
            <v>0.537</v>
          </cell>
          <cell r="GK20">
            <v>0.334</v>
          </cell>
          <cell r="GL20">
            <v>0.152</v>
          </cell>
          <cell r="GM20">
            <v>0.045</v>
          </cell>
          <cell r="GN20">
            <v>0</v>
          </cell>
        </row>
        <row r="21">
          <cell r="B21" t="str">
            <v>H-ZK6</v>
          </cell>
          <cell r="C21">
            <v>613586</v>
          </cell>
          <cell r="D21">
            <v>58.58</v>
          </cell>
          <cell r="E21">
            <v>58.3</v>
          </cell>
          <cell r="F21">
            <v>0.01046</v>
          </cell>
          <cell r="G21">
            <v>0.010552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1.60774</v>
          </cell>
          <cell r="P21">
            <v>1.60954</v>
          </cell>
          <cell r="Q21">
            <v>1.61005</v>
          </cell>
          <cell r="R21">
            <v>1.61052</v>
          </cell>
          <cell r="S21">
            <v>1.61262</v>
          </cell>
          <cell r="T21">
            <v>1.61272</v>
          </cell>
          <cell r="U21">
            <v>1.61521</v>
          </cell>
          <cell r="V21">
            <v>1.62</v>
          </cell>
          <cell r="W21">
            <v>1.6206</v>
          </cell>
          <cell r="X21">
            <v>1.6257</v>
          </cell>
          <cell r="Y21">
            <v>1.63043</v>
          </cell>
          <cell r="Z21">
            <v>1.6385</v>
          </cell>
          <cell r="AA21">
            <v>2.5584621</v>
          </cell>
          <cell r="AB21">
            <v>-0.00974572831</v>
          </cell>
          <cell r="AC21">
            <v>0.0151104951</v>
          </cell>
          <cell r="AD21">
            <v>0.000232733331</v>
          </cell>
          <cell r="AE21">
            <v>1.11372491e-6</v>
          </cell>
          <cell r="AF21">
            <v>1.64247671e-7</v>
          </cell>
          <cell r="AG21">
            <v>0.304015296367105</v>
          </cell>
          <cell r="AH21">
            <v>0.238049713193123</v>
          </cell>
          <cell r="AI21">
            <v>0.544933078393857</v>
          </cell>
          <cell r="AJ21">
            <v>0.253080568720373</v>
          </cell>
          <cell r="AK21">
            <v>0.23601895734598</v>
          </cell>
          <cell r="AL21">
            <v>0.483412322274868</v>
          </cell>
          <cell r="AM21">
            <v>7.11504397714544e-5</v>
          </cell>
          <cell r="AN21">
            <v>-0.00136554160614311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1</v>
          </cell>
          <cell r="CT21">
            <v>3</v>
          </cell>
          <cell r="CU21">
            <v>1</v>
          </cell>
          <cell r="CV21">
            <v>3</v>
          </cell>
          <cell r="CW21">
            <v>2</v>
          </cell>
          <cell r="CX21">
            <v>2</v>
          </cell>
          <cell r="CY21">
            <v>0</v>
          </cell>
          <cell r="CZ21">
            <v>0</v>
          </cell>
          <cell r="DA21">
            <v>653</v>
          </cell>
          <cell r="DB21">
            <v>712</v>
          </cell>
          <cell r="DC21">
            <v>597</v>
          </cell>
          <cell r="DD21">
            <v>644</v>
          </cell>
          <cell r="DE21">
            <v>0</v>
          </cell>
          <cell r="DF21">
            <v>64</v>
          </cell>
          <cell r="DG21">
            <v>81</v>
          </cell>
          <cell r="DH21">
            <v>0</v>
          </cell>
          <cell r="DI21">
            <v>115</v>
          </cell>
          <cell r="DJ21">
            <v>0</v>
          </cell>
          <cell r="DK21">
            <v>520</v>
          </cell>
          <cell r="DL21">
            <v>140</v>
          </cell>
          <cell r="DM21">
            <v>8270</v>
          </cell>
          <cell r="DN21">
            <v>3261</v>
          </cell>
          <cell r="DO21">
            <v>0.268</v>
          </cell>
          <cell r="DP21">
            <v>0</v>
          </cell>
          <cell r="DQ21" t="str">
            <v>360/300</v>
          </cell>
          <cell r="DR21">
            <v>0</v>
          </cell>
          <cell r="DS21">
            <v>0</v>
          </cell>
          <cell r="DT21">
            <v>3.59</v>
          </cell>
          <cell r="DU21">
            <v>0.922</v>
          </cell>
          <cell r="DV21">
            <v>0.967</v>
          </cell>
          <cell r="DW21">
            <v>0.993</v>
          </cell>
          <cell r="DX21">
            <v>0.999</v>
          </cell>
          <cell r="DY21">
            <v>0.999</v>
          </cell>
          <cell r="DZ21">
            <v>0.999</v>
          </cell>
          <cell r="EA21">
            <v>0.999</v>
          </cell>
          <cell r="EB21">
            <v>0.999</v>
          </cell>
          <cell r="EC21">
            <v>0.999</v>
          </cell>
          <cell r="ED21">
            <v>0.999</v>
          </cell>
          <cell r="EE21">
            <v>0.999</v>
          </cell>
          <cell r="EF21">
            <v>0.999</v>
          </cell>
          <cell r="EG21">
            <v>0.999</v>
          </cell>
          <cell r="EH21">
            <v>0.999</v>
          </cell>
          <cell r="EI21">
            <v>0.999</v>
          </cell>
          <cell r="EJ21">
            <v>0.999</v>
          </cell>
          <cell r="EK21">
            <v>0.999</v>
          </cell>
          <cell r="EL21">
            <v>0.999</v>
          </cell>
          <cell r="EM21">
            <v>0.999</v>
          </cell>
          <cell r="EN21">
            <v>0.999</v>
          </cell>
          <cell r="EO21">
            <v>0.999</v>
          </cell>
          <cell r="EP21">
            <v>0.999</v>
          </cell>
          <cell r="EQ21">
            <v>0.999</v>
          </cell>
          <cell r="ER21">
            <v>0.997</v>
          </cell>
          <cell r="ES21">
            <v>0.995</v>
          </cell>
          <cell r="ET21">
            <v>0.989</v>
          </cell>
          <cell r="EU21">
            <v>0.98</v>
          </cell>
          <cell r="EV21">
            <v>0.958</v>
          </cell>
          <cell r="EW21">
            <v>0.911</v>
          </cell>
          <cell r="EX21">
            <v>0.842</v>
          </cell>
          <cell r="EY21">
            <v>0.73</v>
          </cell>
          <cell r="EZ21">
            <v>0.57</v>
          </cell>
          <cell r="FA21">
            <v>0.377</v>
          </cell>
          <cell r="FB21">
            <v>0.197</v>
          </cell>
          <cell r="FC21">
            <v>0</v>
          </cell>
          <cell r="FD21">
            <v>0</v>
          </cell>
          <cell r="FE21">
            <v>0.844</v>
          </cell>
          <cell r="FF21">
            <v>0.927</v>
          </cell>
          <cell r="FG21">
            <v>0.986</v>
          </cell>
          <cell r="FH21">
            <v>0.998</v>
          </cell>
          <cell r="FI21">
            <v>0.998</v>
          </cell>
          <cell r="FJ21">
            <v>0.998</v>
          </cell>
          <cell r="FK21">
            <v>0.998</v>
          </cell>
          <cell r="FL21">
            <v>0.998</v>
          </cell>
          <cell r="FM21">
            <v>0.998</v>
          </cell>
          <cell r="FN21">
            <v>0.998</v>
          </cell>
          <cell r="FO21">
            <v>0.998</v>
          </cell>
          <cell r="FP21">
            <v>0.998</v>
          </cell>
          <cell r="FQ21">
            <v>0.998</v>
          </cell>
          <cell r="FR21">
            <v>0.998</v>
          </cell>
          <cell r="FS21">
            <v>0.998</v>
          </cell>
          <cell r="FT21">
            <v>0.998</v>
          </cell>
          <cell r="FU21">
            <v>0.998</v>
          </cell>
          <cell r="FV21">
            <v>0.998</v>
          </cell>
          <cell r="FW21">
            <v>0.998</v>
          </cell>
          <cell r="FX21">
            <v>0.998</v>
          </cell>
          <cell r="FY21">
            <v>0.998</v>
          </cell>
          <cell r="FZ21">
            <v>0.998</v>
          </cell>
          <cell r="GA21">
            <v>0.995</v>
          </cell>
          <cell r="GB21">
            <v>0.99</v>
          </cell>
          <cell r="GC21">
            <v>0.982</v>
          </cell>
          <cell r="GD21">
            <v>0.971</v>
          </cell>
          <cell r="GE21">
            <v>0.952</v>
          </cell>
          <cell r="GF21">
            <v>0.908</v>
          </cell>
          <cell r="GG21">
            <v>0.83</v>
          </cell>
          <cell r="GH21">
            <v>0.709</v>
          </cell>
          <cell r="GI21">
            <v>0.536</v>
          </cell>
          <cell r="GJ21">
            <v>0.326</v>
          </cell>
          <cell r="GK21">
            <v>0.145</v>
          </cell>
          <cell r="GL21">
            <v>0.041</v>
          </cell>
          <cell r="GM21">
            <v>0</v>
          </cell>
          <cell r="GN21">
            <v>0</v>
          </cell>
        </row>
        <row r="22">
          <cell r="B22" t="str">
            <v>H-ZK7</v>
          </cell>
          <cell r="C22">
            <v>613606</v>
          </cell>
          <cell r="D22">
            <v>60.58</v>
          </cell>
          <cell r="E22">
            <v>60.34</v>
          </cell>
          <cell r="F22">
            <v>0.01012</v>
          </cell>
          <cell r="G22">
            <v>0.010201</v>
          </cell>
          <cell r="H22">
            <v>1.58167</v>
          </cell>
          <cell r="I22">
            <v>1.58774</v>
          </cell>
          <cell r="J22">
            <v>1.59425</v>
          </cell>
          <cell r="K22">
            <v>1.59978</v>
          </cell>
          <cell r="L22">
            <v>1.60153</v>
          </cell>
          <cell r="M22">
            <v>1.60447</v>
          </cell>
          <cell r="N22">
            <v>1.60644</v>
          </cell>
          <cell r="O22">
            <v>1.60824</v>
          </cell>
          <cell r="P22">
            <v>1.61001</v>
          </cell>
          <cell r="Q22">
            <v>1.6105</v>
          </cell>
          <cell r="R22">
            <v>1.61096</v>
          </cell>
          <cell r="S22">
            <v>1.613</v>
          </cell>
          <cell r="T22">
            <v>1.61309</v>
          </cell>
          <cell r="U22">
            <v>1.61551</v>
          </cell>
          <cell r="V22">
            <v>1.62013</v>
          </cell>
          <cell r="W22">
            <v>1.6207</v>
          </cell>
          <cell r="X22">
            <v>1.62558</v>
          </cell>
          <cell r="Y22">
            <v>1.6301</v>
          </cell>
          <cell r="Z22">
            <v>1.63781</v>
          </cell>
          <cell r="AA22">
            <v>2.56390954</v>
          </cell>
          <cell r="AB22">
            <v>-0.01195448</v>
          </cell>
          <cell r="AC22">
            <v>0.0129814065</v>
          </cell>
          <cell r="AD22">
            <v>0.000763370116</v>
          </cell>
          <cell r="AE22">
            <v>-8.49272389e-5</v>
          </cell>
          <cell r="AF22">
            <v>4.90873446e-6</v>
          </cell>
          <cell r="AG22">
            <v>0.30434782608695</v>
          </cell>
          <cell r="AH22">
            <v>0.239130434782614</v>
          </cell>
          <cell r="AI22">
            <v>0.538537549407103</v>
          </cell>
          <cell r="AJ22">
            <v>0.253921568627439</v>
          </cell>
          <cell r="AK22">
            <v>0.237254901960793</v>
          </cell>
          <cell r="AL22">
            <v>0.47843137254902</v>
          </cell>
          <cell r="AM22">
            <v>-0.000238100869564273</v>
          </cell>
          <cell r="AN22">
            <v>-0.00443907059289665</v>
          </cell>
          <cell r="AO22">
            <v>0.00427398403161416</v>
          </cell>
          <cell r="AP22">
            <v>0.00163883003950668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1</v>
          </cell>
          <cell r="CT22">
            <v>1</v>
          </cell>
          <cell r="CU22">
            <v>2</v>
          </cell>
          <cell r="CV22">
            <v>4</v>
          </cell>
          <cell r="CW22">
            <v>2</v>
          </cell>
          <cell r="CX22">
            <v>2</v>
          </cell>
          <cell r="CY22">
            <v>0</v>
          </cell>
          <cell r="CZ22">
            <v>0</v>
          </cell>
          <cell r="DA22">
            <v>633</v>
          </cell>
          <cell r="DB22">
            <v>681</v>
          </cell>
          <cell r="DC22">
            <v>582</v>
          </cell>
          <cell r="DD22">
            <v>623</v>
          </cell>
          <cell r="DE22">
            <v>59</v>
          </cell>
          <cell r="DF22">
            <v>0</v>
          </cell>
          <cell r="DG22">
            <v>73</v>
          </cell>
          <cell r="DH22">
            <v>0</v>
          </cell>
          <cell r="DI22">
            <v>120</v>
          </cell>
          <cell r="DJ22">
            <v>0</v>
          </cell>
          <cell r="DK22">
            <v>539</v>
          </cell>
          <cell r="DL22">
            <v>149</v>
          </cell>
          <cell r="DM22">
            <v>8892</v>
          </cell>
          <cell r="DN22">
            <v>3512</v>
          </cell>
          <cell r="DO22">
            <v>0.266</v>
          </cell>
          <cell r="DP22">
            <v>0</v>
          </cell>
          <cell r="DQ22" t="str">
            <v>360/300</v>
          </cell>
          <cell r="DR22">
            <v>347</v>
          </cell>
          <cell r="DS22">
            <v>308</v>
          </cell>
          <cell r="DT22">
            <v>3.5</v>
          </cell>
          <cell r="DU22">
            <v>0.841</v>
          </cell>
          <cell r="DV22">
            <v>0.925</v>
          </cell>
          <cell r="DW22">
            <v>0.981</v>
          </cell>
          <cell r="DX22">
            <v>0.992</v>
          </cell>
          <cell r="DY22">
            <v>0.999</v>
          </cell>
          <cell r="DZ22">
            <v>0.999</v>
          </cell>
          <cell r="EA22">
            <v>0.999</v>
          </cell>
          <cell r="EB22">
            <v>0.999</v>
          </cell>
          <cell r="EC22">
            <v>0.999</v>
          </cell>
          <cell r="ED22">
            <v>0.999</v>
          </cell>
          <cell r="EE22">
            <v>0.999</v>
          </cell>
          <cell r="EF22">
            <v>0.999</v>
          </cell>
          <cell r="EG22">
            <v>0.999</v>
          </cell>
          <cell r="EH22">
            <v>0.999</v>
          </cell>
          <cell r="EI22">
            <v>0.999</v>
          </cell>
          <cell r="EJ22">
            <v>0.999</v>
          </cell>
          <cell r="EK22">
            <v>0.999</v>
          </cell>
          <cell r="EL22">
            <v>0.999</v>
          </cell>
          <cell r="EM22">
            <v>0.999</v>
          </cell>
          <cell r="EN22">
            <v>0.999</v>
          </cell>
          <cell r="EO22">
            <v>0.999</v>
          </cell>
          <cell r="EP22">
            <v>0.999</v>
          </cell>
          <cell r="EQ22">
            <v>0.999</v>
          </cell>
          <cell r="ER22">
            <v>0.999</v>
          </cell>
          <cell r="ES22">
            <v>0.999</v>
          </cell>
          <cell r="ET22">
            <v>0.994</v>
          </cell>
          <cell r="EU22">
            <v>0.985</v>
          </cell>
          <cell r="EV22">
            <v>0.97</v>
          </cell>
          <cell r="EW22">
            <v>0.939</v>
          </cell>
          <cell r="EX22">
            <v>0.889</v>
          </cell>
          <cell r="EY22">
            <v>0.807</v>
          </cell>
          <cell r="EZ22">
            <v>0.689</v>
          </cell>
          <cell r="FA22">
            <v>0.529</v>
          </cell>
          <cell r="FB22">
            <v>0.348</v>
          </cell>
          <cell r="FC22">
            <v>0.181</v>
          </cell>
          <cell r="FD22">
            <v>0</v>
          </cell>
          <cell r="FE22">
            <v>0.707</v>
          </cell>
          <cell r="FF22">
            <v>0.857</v>
          </cell>
          <cell r="FG22">
            <v>0.963</v>
          </cell>
          <cell r="FH22">
            <v>0.986</v>
          </cell>
          <cell r="FI22">
            <v>0.998</v>
          </cell>
          <cell r="FJ22">
            <v>0.998</v>
          </cell>
          <cell r="FK22">
            <v>0.998</v>
          </cell>
          <cell r="FL22">
            <v>0.998</v>
          </cell>
          <cell r="FM22">
            <v>0.998</v>
          </cell>
          <cell r="FN22">
            <v>0.998</v>
          </cell>
          <cell r="FO22">
            <v>0.998</v>
          </cell>
          <cell r="FP22">
            <v>0.998</v>
          </cell>
          <cell r="FQ22">
            <v>0.998</v>
          </cell>
          <cell r="FR22">
            <v>0.998</v>
          </cell>
          <cell r="FS22">
            <v>0.998</v>
          </cell>
          <cell r="FT22">
            <v>0.998</v>
          </cell>
          <cell r="FU22">
            <v>0.998</v>
          </cell>
          <cell r="FV22">
            <v>0.998</v>
          </cell>
          <cell r="FW22">
            <v>0.998</v>
          </cell>
          <cell r="FX22">
            <v>0.998</v>
          </cell>
          <cell r="FY22">
            <v>0.998</v>
          </cell>
          <cell r="FZ22">
            <v>0.998</v>
          </cell>
          <cell r="GA22">
            <v>0.998</v>
          </cell>
          <cell r="GB22">
            <v>0.994</v>
          </cell>
          <cell r="GC22">
            <v>0.989</v>
          </cell>
          <cell r="GD22">
            <v>0.979</v>
          </cell>
          <cell r="GE22">
            <v>0.966</v>
          </cell>
          <cell r="GF22">
            <v>0.935</v>
          </cell>
          <cell r="GG22">
            <v>0.877</v>
          </cell>
          <cell r="GH22">
            <v>0.784</v>
          </cell>
          <cell r="GI22">
            <v>0.65</v>
          </cell>
          <cell r="GJ22">
            <v>0.472</v>
          </cell>
          <cell r="GK22">
            <v>0.28</v>
          </cell>
          <cell r="GL22">
            <v>0.123</v>
          </cell>
          <cell r="GM22">
            <v>0.037</v>
          </cell>
          <cell r="GN22">
            <v>0</v>
          </cell>
        </row>
        <row r="23">
          <cell r="B23" t="str">
            <v>H-ZK9</v>
          </cell>
          <cell r="C23">
            <v>620603</v>
          </cell>
          <cell r="D23">
            <v>60.34</v>
          </cell>
          <cell r="E23">
            <v>60.1</v>
          </cell>
          <cell r="F23">
            <v>0.010281</v>
          </cell>
          <cell r="G23">
            <v>0.010363</v>
          </cell>
          <cell r="H23">
            <v>1.589</v>
          </cell>
          <cell r="I23">
            <v>1.595</v>
          </cell>
          <cell r="J23">
            <v>1.60147</v>
          </cell>
          <cell r="K23">
            <v>1.60697</v>
          </cell>
          <cell r="L23">
            <v>1.60871</v>
          </cell>
          <cell r="M23">
            <v>1.61168</v>
          </cell>
          <cell r="N23">
            <v>1.61367</v>
          </cell>
          <cell r="O23">
            <v>1.61547</v>
          </cell>
          <cell r="P23">
            <v>1.61727</v>
          </cell>
          <cell r="Q23">
            <v>1.61777</v>
          </cell>
          <cell r="R23">
            <v>1.61824</v>
          </cell>
          <cell r="S23">
            <v>1.62032</v>
          </cell>
          <cell r="T23">
            <v>1.62041</v>
          </cell>
          <cell r="U23">
            <v>1.62286</v>
          </cell>
          <cell r="V23">
            <v>1.62755</v>
          </cell>
          <cell r="W23">
            <v>1.62813</v>
          </cell>
          <cell r="X23">
            <v>1.6331</v>
          </cell>
          <cell r="Y23">
            <v>1.63768</v>
          </cell>
          <cell r="Z23">
            <v>1.6455</v>
          </cell>
          <cell r="AA23">
            <v>2.58664805</v>
          </cell>
          <cell r="AB23">
            <v>-0.011871217</v>
          </cell>
          <cell r="AC23">
            <v>0.0132307928</v>
          </cell>
          <cell r="AD23">
            <v>0.000782598611</v>
          </cell>
          <cell r="AE23">
            <v>-8.48132791e-5</v>
          </cell>
          <cell r="AF23">
            <v>4.7503938e-6</v>
          </cell>
          <cell r="AG23">
            <v>0.305447470817111</v>
          </cell>
          <cell r="AH23">
            <v>0.238326848249032</v>
          </cell>
          <cell r="AI23">
            <v>0.539883268482481</v>
          </cell>
          <cell r="AJ23">
            <v>0.254826254826249</v>
          </cell>
          <cell r="AK23">
            <v>0.236486486486489</v>
          </cell>
          <cell r="AL23">
            <v>0.479729729729715</v>
          </cell>
          <cell r="AM23">
            <v>-0.000666639066142789</v>
          </cell>
          <cell r="AN23">
            <v>-0.00349199151751869</v>
          </cell>
          <cell r="AO23">
            <v>0.000177184902708682</v>
          </cell>
          <cell r="AP23">
            <v>-0.00144168093385727</v>
          </cell>
          <cell r="AQ23">
            <v>1.7</v>
          </cell>
          <cell r="AR23">
            <v>1.8</v>
          </cell>
          <cell r="AS23">
            <v>1.8</v>
          </cell>
          <cell r="AT23">
            <v>1.7</v>
          </cell>
          <cell r="AU23">
            <v>1.8</v>
          </cell>
          <cell r="AV23">
            <v>2</v>
          </cell>
          <cell r="AW23">
            <v>2.1</v>
          </cell>
          <cell r="AX23">
            <v>2.1</v>
          </cell>
          <cell r="AY23">
            <v>2.1</v>
          </cell>
          <cell r="AZ23">
            <v>2.1</v>
          </cell>
          <cell r="BA23">
            <v>2.2</v>
          </cell>
          <cell r="BB23">
            <v>2.4</v>
          </cell>
          <cell r="BC23">
            <v>2.1</v>
          </cell>
          <cell r="BD23">
            <v>2.1</v>
          </cell>
          <cell r="BE23">
            <v>2.1</v>
          </cell>
          <cell r="BF23">
            <v>2.1</v>
          </cell>
          <cell r="BG23">
            <v>2.2</v>
          </cell>
          <cell r="BH23">
            <v>2.4</v>
          </cell>
          <cell r="BI23">
            <v>2.2</v>
          </cell>
          <cell r="BJ23">
            <v>2.2</v>
          </cell>
          <cell r="BK23">
            <v>2.2</v>
          </cell>
          <cell r="BL23">
            <v>2.2</v>
          </cell>
          <cell r="BM23">
            <v>2.4</v>
          </cell>
          <cell r="BN23">
            <v>2.6</v>
          </cell>
          <cell r="BO23">
            <v>2.3</v>
          </cell>
          <cell r="BP23">
            <v>2.3</v>
          </cell>
          <cell r="BQ23">
            <v>2.3</v>
          </cell>
          <cell r="BR23">
            <v>2.4</v>
          </cell>
          <cell r="BS23">
            <v>2.5</v>
          </cell>
          <cell r="BT23">
            <v>2.7</v>
          </cell>
          <cell r="BU23">
            <v>2.6</v>
          </cell>
          <cell r="BV23">
            <v>2.6</v>
          </cell>
          <cell r="BW23">
            <v>2.6</v>
          </cell>
          <cell r="BX23">
            <v>2.7</v>
          </cell>
          <cell r="BY23">
            <v>2.8</v>
          </cell>
          <cell r="BZ23">
            <v>3.1</v>
          </cell>
          <cell r="CA23">
            <v>2.8</v>
          </cell>
          <cell r="CB23">
            <v>2.9</v>
          </cell>
          <cell r="CC23">
            <v>2.9</v>
          </cell>
          <cell r="CD23">
            <v>3</v>
          </cell>
          <cell r="CE23">
            <v>3.1</v>
          </cell>
          <cell r="CF23">
            <v>3.4</v>
          </cell>
          <cell r="CG23">
            <v>-0.1</v>
          </cell>
          <cell r="CH23">
            <v>0.2</v>
          </cell>
          <cell r="CI23">
            <v>0.5</v>
          </cell>
          <cell r="CJ23">
            <v>0.7</v>
          </cell>
          <cell r="CK23">
            <v>1</v>
          </cell>
          <cell r="CL23">
            <v>1.4</v>
          </cell>
          <cell r="CM23">
            <v>-2.4e-7</v>
          </cell>
          <cell r="CN23">
            <v>1.344e-8</v>
          </cell>
          <cell r="CO23">
            <v>2.198e-11</v>
          </cell>
          <cell r="CP23">
            <v>4.97e-7</v>
          </cell>
          <cell r="CQ23">
            <v>5.179e-10</v>
          </cell>
          <cell r="CR23">
            <v>0.135</v>
          </cell>
          <cell r="CS23">
            <v>1</v>
          </cell>
          <cell r="CT23">
            <v>2</v>
          </cell>
          <cell r="CU23">
            <v>2</v>
          </cell>
          <cell r="CV23">
            <v>4</v>
          </cell>
          <cell r="CW23">
            <v>3</v>
          </cell>
          <cell r="CX23">
            <v>2</v>
          </cell>
          <cell r="CY23">
            <v>0</v>
          </cell>
          <cell r="CZ23">
            <v>0</v>
          </cell>
          <cell r="DA23">
            <v>629</v>
          </cell>
          <cell r="DB23">
            <v>673</v>
          </cell>
          <cell r="DC23">
            <v>585</v>
          </cell>
          <cell r="DD23">
            <v>620</v>
          </cell>
          <cell r="DE23">
            <v>60</v>
          </cell>
        </row>
        <row r="23">
          <cell r="DG23">
            <v>76</v>
          </cell>
          <cell r="DH23">
            <v>0</v>
          </cell>
          <cell r="DI23">
            <v>120</v>
          </cell>
          <cell r="DJ23">
            <v>0</v>
          </cell>
          <cell r="DK23">
            <v>543</v>
          </cell>
          <cell r="DL23">
            <v>131</v>
          </cell>
          <cell r="DM23">
            <v>8846</v>
          </cell>
          <cell r="DN23">
            <v>3491</v>
          </cell>
          <cell r="DO23">
            <v>0.267</v>
          </cell>
          <cell r="DP23">
            <v>0</v>
          </cell>
          <cell r="DQ23" t="str">
            <v>360/300</v>
          </cell>
          <cell r="DR23">
            <v>344</v>
          </cell>
          <cell r="DS23">
            <v>293</v>
          </cell>
          <cell r="DT23">
            <v>3.57</v>
          </cell>
          <cell r="DU23">
            <v>0.861</v>
          </cell>
          <cell r="DV23">
            <v>0.943</v>
          </cell>
          <cell r="DW23">
            <v>0.985</v>
          </cell>
          <cell r="DX23">
            <v>0.996</v>
          </cell>
          <cell r="DY23">
            <v>0.999</v>
          </cell>
          <cell r="DZ23">
            <v>0.999</v>
          </cell>
          <cell r="EA23">
            <v>0.999</v>
          </cell>
          <cell r="EB23">
            <v>0.999</v>
          </cell>
          <cell r="EC23">
            <v>0.999</v>
          </cell>
          <cell r="ED23">
            <v>0.999</v>
          </cell>
          <cell r="EE23">
            <v>0.999</v>
          </cell>
          <cell r="EF23">
            <v>0.999</v>
          </cell>
          <cell r="EG23">
            <v>0.999</v>
          </cell>
          <cell r="EH23">
            <v>0.999</v>
          </cell>
          <cell r="EI23">
            <v>0.999</v>
          </cell>
          <cell r="EJ23">
            <v>0.999</v>
          </cell>
          <cell r="EK23">
            <v>0.999</v>
          </cell>
          <cell r="EL23">
            <v>0.999</v>
          </cell>
          <cell r="EM23">
            <v>0.999</v>
          </cell>
          <cell r="EN23">
            <v>0.999</v>
          </cell>
          <cell r="EO23">
            <v>0.999</v>
          </cell>
          <cell r="EP23">
            <v>0.999</v>
          </cell>
          <cell r="EQ23">
            <v>0.995</v>
          </cell>
          <cell r="ER23">
            <v>0.992</v>
          </cell>
          <cell r="ES23">
            <v>0.989</v>
          </cell>
          <cell r="ET23">
            <v>0.986</v>
          </cell>
          <cell r="EU23">
            <v>0.979</v>
          </cell>
          <cell r="EV23">
            <v>0.962</v>
          </cell>
          <cell r="EW23">
            <v>0.929</v>
          </cell>
          <cell r="EX23">
            <v>0.887</v>
          </cell>
          <cell r="EY23">
            <v>0.825</v>
          </cell>
          <cell r="EZ23">
            <v>0.73</v>
          </cell>
          <cell r="FA23">
            <v>0.599</v>
          </cell>
          <cell r="FB23">
            <v>0.443</v>
          </cell>
          <cell r="FC23">
            <v>0.286</v>
          </cell>
          <cell r="FD23">
            <v>0</v>
          </cell>
          <cell r="FE23">
            <v>0.741</v>
          </cell>
          <cell r="FF23">
            <v>0.889</v>
          </cell>
          <cell r="FG23">
            <v>0.97</v>
          </cell>
          <cell r="FH23">
            <v>0.992</v>
          </cell>
          <cell r="FI23">
            <v>0.998</v>
          </cell>
          <cell r="FJ23">
            <v>0.998</v>
          </cell>
          <cell r="FK23">
            <v>0.998</v>
          </cell>
          <cell r="FL23">
            <v>0.998</v>
          </cell>
          <cell r="FM23">
            <v>0.998</v>
          </cell>
          <cell r="FN23">
            <v>0.998</v>
          </cell>
          <cell r="FO23">
            <v>0.998</v>
          </cell>
          <cell r="FP23">
            <v>0.998</v>
          </cell>
          <cell r="FQ23">
            <v>0.998</v>
          </cell>
          <cell r="FR23">
            <v>0.998</v>
          </cell>
          <cell r="FS23">
            <v>0.998</v>
          </cell>
          <cell r="FT23">
            <v>0.998</v>
          </cell>
          <cell r="FU23">
            <v>0.998</v>
          </cell>
          <cell r="FV23">
            <v>0.998</v>
          </cell>
          <cell r="FW23">
            <v>0.998</v>
          </cell>
          <cell r="FX23">
            <v>0.998</v>
          </cell>
          <cell r="FY23">
            <v>0.998</v>
          </cell>
          <cell r="FZ23">
            <v>0.998</v>
          </cell>
          <cell r="GA23">
            <v>0.99</v>
          </cell>
          <cell r="GB23">
            <v>0.984</v>
          </cell>
          <cell r="GC23">
            <v>0.978</v>
          </cell>
          <cell r="GD23">
            <v>0.972</v>
          </cell>
          <cell r="GE23">
            <v>0.958</v>
          </cell>
          <cell r="GF23">
            <v>0.925</v>
          </cell>
          <cell r="GG23">
            <v>0.863</v>
          </cell>
          <cell r="GH23">
            <v>0.787</v>
          </cell>
          <cell r="GI23">
            <v>0.681</v>
          </cell>
          <cell r="GJ23">
            <v>0.533</v>
          </cell>
          <cell r="GK23">
            <v>0.359</v>
          </cell>
          <cell r="GL23">
            <v>0.196</v>
          </cell>
          <cell r="GM23">
            <v>0.082</v>
          </cell>
          <cell r="GN23">
            <v>0</v>
          </cell>
        </row>
        <row r="24">
          <cell r="B24" t="str">
            <v>H-ZK10</v>
          </cell>
          <cell r="C24">
            <v>622567</v>
          </cell>
          <cell r="D24">
            <v>56.71</v>
          </cell>
          <cell r="E24">
            <v>56.38</v>
          </cell>
          <cell r="F24">
            <v>0.01097</v>
          </cell>
          <cell r="G24">
            <v>0.01108</v>
          </cell>
          <cell r="H24">
            <v>1.59235</v>
          </cell>
          <cell r="I24">
            <v>1.59752</v>
          </cell>
          <cell r="J24">
            <v>1.60322</v>
          </cell>
          <cell r="K24">
            <v>1.60831</v>
          </cell>
          <cell r="L24">
            <v>1.60999</v>
          </cell>
          <cell r="M24">
            <v>1.61296</v>
          </cell>
          <cell r="N24">
            <v>1.61501</v>
          </cell>
          <cell r="O24">
            <v>1.61688</v>
          </cell>
          <cell r="P24">
            <v>1.61877</v>
          </cell>
          <cell r="Q24">
            <v>1.61929</v>
          </cell>
          <cell r="R24">
            <v>1.61979</v>
          </cell>
          <cell r="S24">
            <v>1.622</v>
          </cell>
          <cell r="T24">
            <v>1.6221</v>
          </cell>
          <cell r="U24">
            <v>1.6247</v>
          </cell>
          <cell r="V24">
            <v>1.62974</v>
          </cell>
          <cell r="W24">
            <v>1.63037</v>
          </cell>
          <cell r="X24">
            <v>1.63575</v>
          </cell>
          <cell r="Y24">
            <v>1.64074</v>
          </cell>
          <cell r="Z24">
            <v>1.64931</v>
          </cell>
          <cell r="AA24">
            <v>2.58749904</v>
          </cell>
          <cell r="AB24">
            <v>-0.010115926</v>
          </cell>
          <cell r="AC24">
            <v>0.014856749</v>
          </cell>
          <cell r="AD24">
            <v>0.000618406087</v>
          </cell>
          <cell r="AE24">
            <v>-5.25649442e-5</v>
          </cell>
          <cell r="AF24">
            <v>3.13583124e-6</v>
          </cell>
          <cell r="AG24">
            <v>0.303555150410217</v>
          </cell>
          <cell r="AH24">
            <v>0.237010027347307</v>
          </cell>
          <cell r="AI24">
            <v>0.547857793983602</v>
          </cell>
          <cell r="AJ24">
            <v>0.253610108303263</v>
          </cell>
          <cell r="AK24">
            <v>0.234657039711181</v>
          </cell>
          <cell r="AL24">
            <v>0.485559566786989</v>
          </cell>
          <cell r="AM24">
            <v>0.000538742242476589</v>
          </cell>
          <cell r="AN24">
            <v>-0.00154689601639804</v>
          </cell>
          <cell r="AO24">
            <v>-0.01455202918869</v>
          </cell>
          <cell r="AP24">
            <v>-0.00687774658157403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1</v>
          </cell>
          <cell r="CT24">
            <v>3</v>
          </cell>
          <cell r="CU24">
            <v>1</v>
          </cell>
          <cell r="CV24">
            <v>4</v>
          </cell>
          <cell r="CW24">
            <v>2</v>
          </cell>
          <cell r="CX24">
            <v>1</v>
          </cell>
          <cell r="CY24">
            <v>0</v>
          </cell>
          <cell r="CZ24">
            <v>0</v>
          </cell>
          <cell r="DA24">
            <v>644</v>
          </cell>
          <cell r="DB24">
            <v>700</v>
          </cell>
          <cell r="DC24">
            <v>597</v>
          </cell>
          <cell r="DD24">
            <v>635</v>
          </cell>
          <cell r="DE24">
            <v>64</v>
          </cell>
          <cell r="DF24">
            <v>0</v>
          </cell>
          <cell r="DG24">
            <v>78</v>
          </cell>
          <cell r="DH24">
            <v>0</v>
          </cell>
          <cell r="DI24">
            <v>120</v>
          </cell>
          <cell r="DJ24">
            <v>0</v>
          </cell>
          <cell r="DK24">
            <v>528</v>
          </cell>
          <cell r="DL24">
            <v>147</v>
          </cell>
          <cell r="DM24">
            <v>8332</v>
          </cell>
          <cell r="DN24">
            <v>3285</v>
          </cell>
          <cell r="DO24">
            <v>0.268</v>
          </cell>
          <cell r="DP24">
            <v>0</v>
          </cell>
          <cell r="DQ24" t="str">
            <v>365/320</v>
          </cell>
          <cell r="DR24">
            <v>0</v>
          </cell>
          <cell r="DS24">
            <v>0</v>
          </cell>
          <cell r="DT24">
            <v>3.63</v>
          </cell>
          <cell r="DU24">
            <v>0.912</v>
          </cell>
          <cell r="DV24">
            <v>0.962</v>
          </cell>
          <cell r="DW24">
            <v>0.995</v>
          </cell>
          <cell r="DX24">
            <v>0.999</v>
          </cell>
          <cell r="DY24">
            <v>0.999</v>
          </cell>
          <cell r="DZ24">
            <v>0.999</v>
          </cell>
          <cell r="EA24">
            <v>0.999</v>
          </cell>
          <cell r="EB24">
            <v>0.999</v>
          </cell>
          <cell r="EC24">
            <v>0.999</v>
          </cell>
          <cell r="ED24">
            <v>0.999</v>
          </cell>
          <cell r="EE24">
            <v>0.999</v>
          </cell>
          <cell r="EF24">
            <v>0.999</v>
          </cell>
          <cell r="EG24">
            <v>0.999</v>
          </cell>
          <cell r="EH24">
            <v>0.999</v>
          </cell>
          <cell r="EI24">
            <v>0.999</v>
          </cell>
          <cell r="EJ24">
            <v>0.999</v>
          </cell>
          <cell r="EK24">
            <v>0.999</v>
          </cell>
          <cell r="EL24">
            <v>0.999</v>
          </cell>
          <cell r="EM24">
            <v>0.999</v>
          </cell>
          <cell r="EN24">
            <v>0.999</v>
          </cell>
          <cell r="EO24">
            <v>0.999</v>
          </cell>
          <cell r="EP24">
            <v>0.999</v>
          </cell>
          <cell r="EQ24">
            <v>0.997</v>
          </cell>
          <cell r="ER24">
            <v>0.995</v>
          </cell>
          <cell r="ES24">
            <v>0.99</v>
          </cell>
          <cell r="ET24">
            <v>0.983</v>
          </cell>
          <cell r="EU24">
            <v>0.969</v>
          </cell>
          <cell r="EV24">
            <v>0.933</v>
          </cell>
          <cell r="EW24">
            <v>0.867</v>
          </cell>
          <cell r="EX24">
            <v>0.73</v>
          </cell>
          <cell r="EY24">
            <v>0.473</v>
          </cell>
          <cell r="EZ24">
            <v>0.154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0.832</v>
          </cell>
          <cell r="FF24">
            <v>0.925</v>
          </cell>
          <cell r="FG24">
            <v>0.99</v>
          </cell>
          <cell r="FH24">
            <v>0.998</v>
          </cell>
          <cell r="FI24">
            <v>0.998</v>
          </cell>
          <cell r="FJ24">
            <v>0.998</v>
          </cell>
          <cell r="FK24">
            <v>0.998</v>
          </cell>
          <cell r="FL24">
            <v>0.998</v>
          </cell>
          <cell r="FM24">
            <v>0.998</v>
          </cell>
          <cell r="FN24">
            <v>0.998</v>
          </cell>
          <cell r="FO24">
            <v>0.998</v>
          </cell>
          <cell r="FP24">
            <v>0.998</v>
          </cell>
          <cell r="FQ24">
            <v>0.998</v>
          </cell>
          <cell r="FR24">
            <v>0.998</v>
          </cell>
          <cell r="FS24">
            <v>0.998</v>
          </cell>
          <cell r="FT24">
            <v>0.998</v>
          </cell>
          <cell r="FU24">
            <v>0.998</v>
          </cell>
          <cell r="FV24">
            <v>0.998</v>
          </cell>
          <cell r="FW24">
            <v>0.998</v>
          </cell>
          <cell r="FX24">
            <v>0.998</v>
          </cell>
          <cell r="FY24">
            <v>0.998</v>
          </cell>
          <cell r="FZ24">
            <v>0.998</v>
          </cell>
          <cell r="GA24">
            <v>0.995</v>
          </cell>
          <cell r="GB24">
            <v>0.992</v>
          </cell>
          <cell r="GC24">
            <v>0.984</v>
          </cell>
          <cell r="GD24">
            <v>0.968</v>
          </cell>
          <cell r="GE24">
            <v>0.941</v>
          </cell>
          <cell r="GF24">
            <v>0.876</v>
          </cell>
          <cell r="GG24">
            <v>0.757</v>
          </cell>
          <cell r="GH24">
            <v>0.537</v>
          </cell>
          <cell r="GI24">
            <v>0.228</v>
          </cell>
          <cell r="GJ24">
            <v>0.027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</row>
        <row r="25">
          <cell r="B25" t="str">
            <v>H-ZK10N</v>
          </cell>
          <cell r="C25">
            <v>623570</v>
          </cell>
          <cell r="D25">
            <v>56.98</v>
          </cell>
          <cell r="E25">
            <v>56.74</v>
          </cell>
          <cell r="F25">
            <v>0.010931</v>
          </cell>
          <cell r="G25">
            <v>0.011023</v>
          </cell>
          <cell r="H25">
            <v>1.59301</v>
          </cell>
          <cell r="I25">
            <v>1.59824</v>
          </cell>
          <cell r="J25">
            <v>1.60395</v>
          </cell>
          <cell r="K25">
            <v>1.60905</v>
          </cell>
          <cell r="L25">
            <v>1.61074</v>
          </cell>
          <cell r="M25">
            <v>1.6137</v>
          </cell>
          <cell r="N25">
            <v>1.61574</v>
          </cell>
          <cell r="O25">
            <v>1.61761</v>
          </cell>
          <cell r="P25">
            <v>1.61948</v>
          </cell>
          <cell r="Q25">
            <v>1.62002</v>
          </cell>
          <cell r="R25">
            <v>1.62051</v>
          </cell>
          <cell r="S25">
            <v>1.6227</v>
          </cell>
          <cell r="T25">
            <v>1.6228</v>
          </cell>
          <cell r="U25">
            <v>1.62541</v>
          </cell>
          <cell r="V25">
            <v>1.63042</v>
          </cell>
          <cell r="W25">
            <v>1.63104</v>
          </cell>
          <cell r="X25">
            <v>1.6364</v>
          </cell>
          <cell r="Y25">
            <v>1.64137</v>
          </cell>
          <cell r="Z25">
            <v>1.64991</v>
          </cell>
          <cell r="AA25">
            <v>2.5901484</v>
          </cell>
          <cell r="AB25">
            <v>-0.0102058942</v>
          </cell>
          <cell r="AC25">
            <v>0.0146533223</v>
          </cell>
          <cell r="AD25">
            <v>0.000673060988</v>
          </cell>
          <cell r="AE25">
            <v>-6.20100997e-5</v>
          </cell>
          <cell r="AF25">
            <v>3.69826067e-6</v>
          </cell>
          <cell r="AG25">
            <v>0.303473491773309</v>
          </cell>
          <cell r="AH25">
            <v>0.23857404021938</v>
          </cell>
          <cell r="AI25">
            <v>0.546617915904947</v>
          </cell>
          <cell r="AJ25">
            <v>0.252268602540835</v>
          </cell>
          <cell r="AK25">
            <v>0.236842105263157</v>
          </cell>
          <cell r="AL25">
            <v>0.486388384754992</v>
          </cell>
          <cell r="AM25">
            <v>-0.000794571992689043</v>
          </cell>
          <cell r="AN25">
            <v>-0.0023383040950526</v>
          </cell>
          <cell r="AO25">
            <v>-0.0173219721389388</v>
          </cell>
          <cell r="AP25">
            <v>-0.00881561974404521</v>
          </cell>
          <cell r="AQ25">
            <v>2</v>
          </cell>
          <cell r="AR25">
            <v>2</v>
          </cell>
          <cell r="AS25">
            <v>2</v>
          </cell>
          <cell r="AT25">
            <v>2</v>
          </cell>
          <cell r="AU25">
            <v>2.1</v>
          </cell>
          <cell r="AV25">
            <v>2.2</v>
          </cell>
          <cell r="AW25">
            <v>2.4</v>
          </cell>
          <cell r="AX25">
            <v>2.4</v>
          </cell>
          <cell r="AY25">
            <v>2.4</v>
          </cell>
          <cell r="AZ25">
            <v>2.5</v>
          </cell>
          <cell r="BA25">
            <v>2.5</v>
          </cell>
          <cell r="BB25">
            <v>2.7</v>
          </cell>
          <cell r="BC25">
            <v>2.4</v>
          </cell>
          <cell r="BD25">
            <v>2.4</v>
          </cell>
          <cell r="BE25">
            <v>2.5</v>
          </cell>
          <cell r="BF25">
            <v>2.5</v>
          </cell>
          <cell r="BG25">
            <v>2.6</v>
          </cell>
          <cell r="BH25">
            <v>2.7</v>
          </cell>
          <cell r="BI25">
            <v>2.5</v>
          </cell>
          <cell r="BJ25">
            <v>2.5</v>
          </cell>
          <cell r="BK25">
            <v>2.6</v>
          </cell>
          <cell r="BL25">
            <v>2.6</v>
          </cell>
          <cell r="BM25">
            <v>2.7</v>
          </cell>
          <cell r="BN25">
            <v>2.9</v>
          </cell>
          <cell r="BO25">
            <v>2.7</v>
          </cell>
          <cell r="BP25">
            <v>2.7</v>
          </cell>
          <cell r="BQ25">
            <v>2.7</v>
          </cell>
          <cell r="BR25">
            <v>2.8</v>
          </cell>
          <cell r="BS25">
            <v>2.9</v>
          </cell>
          <cell r="BT25">
            <v>3</v>
          </cell>
          <cell r="BU25">
            <v>3</v>
          </cell>
          <cell r="BV25">
            <v>3</v>
          </cell>
          <cell r="BW25">
            <v>3.1</v>
          </cell>
          <cell r="BX25">
            <v>3.1</v>
          </cell>
          <cell r="BY25">
            <v>3.3</v>
          </cell>
          <cell r="BZ25">
            <v>3.4</v>
          </cell>
          <cell r="CA25">
            <v>3.3</v>
          </cell>
          <cell r="CB25">
            <v>3.4</v>
          </cell>
          <cell r="CC25">
            <v>3.5</v>
          </cell>
          <cell r="CD25">
            <v>3.5</v>
          </cell>
          <cell r="CE25">
            <v>3.6</v>
          </cell>
          <cell r="CF25">
            <v>3.8</v>
          </cell>
          <cell r="CG25">
            <v>0.2</v>
          </cell>
          <cell r="CH25">
            <v>0.5</v>
          </cell>
          <cell r="CI25">
            <v>0.8</v>
          </cell>
          <cell r="CJ25">
            <v>1.1</v>
          </cell>
          <cell r="CK25">
            <v>1.3</v>
          </cell>
          <cell r="CL25">
            <v>1.6</v>
          </cell>
          <cell r="CM25">
            <v>5.4e-7</v>
          </cell>
          <cell r="CN25">
            <v>1.299e-8</v>
          </cell>
          <cell r="CO25">
            <v>-4.06e-12</v>
          </cell>
          <cell r="CP25">
            <v>4.9e-7</v>
          </cell>
          <cell r="CQ25">
            <v>3.921e-10</v>
          </cell>
          <cell r="CR25">
            <v>0.193</v>
          </cell>
          <cell r="CS25">
            <v>1</v>
          </cell>
          <cell r="CT25">
            <v>3</v>
          </cell>
          <cell r="CU25">
            <v>1</v>
          </cell>
          <cell r="CV25">
            <v>4</v>
          </cell>
          <cell r="CW25">
            <v>2</v>
          </cell>
          <cell r="CX25">
            <v>2</v>
          </cell>
          <cell r="CY25">
            <v>0</v>
          </cell>
          <cell r="CZ25">
            <v>0</v>
          </cell>
          <cell r="DA25">
            <v>645</v>
          </cell>
          <cell r="DB25">
            <v>695</v>
          </cell>
          <cell r="DC25">
            <v>595</v>
          </cell>
          <cell r="DD25">
            <v>638</v>
          </cell>
          <cell r="DE25">
            <v>63</v>
          </cell>
          <cell r="DF25">
            <v>0</v>
          </cell>
          <cell r="DG25">
            <v>77</v>
          </cell>
          <cell r="DH25">
            <v>0</v>
          </cell>
          <cell r="DI25">
            <v>120</v>
          </cell>
          <cell r="DJ25">
            <v>0</v>
          </cell>
          <cell r="DK25">
            <v>521</v>
          </cell>
          <cell r="DL25">
            <v>153</v>
          </cell>
          <cell r="DM25">
            <v>8332</v>
          </cell>
          <cell r="DN25">
            <v>3285</v>
          </cell>
          <cell r="DO25">
            <v>0.268</v>
          </cell>
          <cell r="DP25">
            <v>0</v>
          </cell>
          <cell r="DQ25" t="str">
            <v>360/320</v>
          </cell>
          <cell r="DR25">
            <v>0</v>
          </cell>
          <cell r="DS25">
            <v>0</v>
          </cell>
          <cell r="DT25">
            <v>3.64</v>
          </cell>
          <cell r="DU25">
            <v>0.914</v>
          </cell>
          <cell r="DV25">
            <v>0.963</v>
          </cell>
          <cell r="DW25">
            <v>0.996</v>
          </cell>
          <cell r="DX25">
            <v>0.999</v>
          </cell>
          <cell r="DY25">
            <v>0.999</v>
          </cell>
          <cell r="DZ25">
            <v>0.999</v>
          </cell>
          <cell r="EA25">
            <v>0.999</v>
          </cell>
          <cell r="EB25">
            <v>0.999</v>
          </cell>
          <cell r="EC25">
            <v>0.999</v>
          </cell>
          <cell r="ED25">
            <v>0.999</v>
          </cell>
          <cell r="EE25">
            <v>0.999</v>
          </cell>
          <cell r="EF25">
            <v>0.999</v>
          </cell>
          <cell r="EG25">
            <v>0.999</v>
          </cell>
          <cell r="EH25">
            <v>0.999</v>
          </cell>
          <cell r="EI25">
            <v>0.999</v>
          </cell>
          <cell r="EJ25">
            <v>0.999</v>
          </cell>
          <cell r="EK25">
            <v>0.999</v>
          </cell>
          <cell r="EL25">
            <v>0.999</v>
          </cell>
          <cell r="EM25">
            <v>0.999</v>
          </cell>
          <cell r="EN25">
            <v>0.999</v>
          </cell>
          <cell r="EO25">
            <v>0.999</v>
          </cell>
          <cell r="EP25">
            <v>0.999</v>
          </cell>
          <cell r="EQ25">
            <v>0.997</v>
          </cell>
          <cell r="ER25">
            <v>0.994</v>
          </cell>
          <cell r="ES25">
            <v>0.991</v>
          </cell>
          <cell r="ET25">
            <v>0.981</v>
          </cell>
          <cell r="EU25">
            <v>0.967</v>
          </cell>
          <cell r="EV25">
            <v>0.931</v>
          </cell>
          <cell r="EW25">
            <v>0.857</v>
          </cell>
          <cell r="EX25">
            <v>0.725</v>
          </cell>
          <cell r="EY25">
            <v>0.484</v>
          </cell>
          <cell r="EZ25">
            <v>0.183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0.825</v>
          </cell>
          <cell r="FF25">
            <v>0.923</v>
          </cell>
          <cell r="FG25">
            <v>0.984</v>
          </cell>
          <cell r="FH25">
            <v>0.998</v>
          </cell>
          <cell r="FI25">
            <v>0.998</v>
          </cell>
          <cell r="FJ25">
            <v>0.998</v>
          </cell>
          <cell r="FK25">
            <v>0.998</v>
          </cell>
          <cell r="FL25">
            <v>0.998</v>
          </cell>
          <cell r="FM25">
            <v>0.998</v>
          </cell>
          <cell r="FN25">
            <v>0.998</v>
          </cell>
          <cell r="FO25">
            <v>0.998</v>
          </cell>
          <cell r="FP25">
            <v>0.998</v>
          </cell>
          <cell r="FQ25">
            <v>0.998</v>
          </cell>
          <cell r="FR25">
            <v>0.998</v>
          </cell>
          <cell r="FS25">
            <v>0.998</v>
          </cell>
          <cell r="FT25">
            <v>0.998</v>
          </cell>
          <cell r="FU25">
            <v>0.998</v>
          </cell>
          <cell r="FV25">
            <v>0.998</v>
          </cell>
          <cell r="FW25">
            <v>0.998</v>
          </cell>
          <cell r="FX25">
            <v>0.998</v>
          </cell>
          <cell r="FY25">
            <v>0.998</v>
          </cell>
          <cell r="FZ25">
            <v>0.998</v>
          </cell>
          <cell r="GA25">
            <v>0.995</v>
          </cell>
          <cell r="GB25">
            <v>0.992</v>
          </cell>
          <cell r="GC25">
            <v>0.981</v>
          </cell>
          <cell r="GD25">
            <v>0.965</v>
          </cell>
          <cell r="GE25">
            <v>0.933</v>
          </cell>
          <cell r="GF25">
            <v>0.866</v>
          </cell>
          <cell r="GG25">
            <v>0.737</v>
          </cell>
          <cell r="GH25">
            <v>0.526</v>
          </cell>
          <cell r="GI25">
            <v>0.237</v>
          </cell>
          <cell r="GJ25">
            <v>0.039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</row>
        <row r="26">
          <cell r="B26" t="str">
            <v>H-ZK11</v>
          </cell>
          <cell r="C26">
            <v>639555</v>
          </cell>
          <cell r="D26">
            <v>55.45</v>
          </cell>
          <cell r="E26">
            <v>55.18</v>
          </cell>
          <cell r="F26">
            <v>0.011516</v>
          </cell>
          <cell r="G26">
            <v>0.011621</v>
          </cell>
          <cell r="H26">
            <v>1.60803</v>
          </cell>
          <cell r="I26">
            <v>1.61325</v>
          </cell>
          <cell r="J26">
            <v>1.619</v>
          </cell>
          <cell r="K26">
            <v>1.62419</v>
          </cell>
          <cell r="L26">
            <v>1.62593</v>
          </cell>
          <cell r="M26">
            <v>1.629</v>
          </cell>
          <cell r="N26">
            <v>1.63114</v>
          </cell>
          <cell r="O26">
            <v>1.6331</v>
          </cell>
          <cell r="P26">
            <v>1.63505</v>
          </cell>
          <cell r="Q26">
            <v>1.63561</v>
          </cell>
          <cell r="R26">
            <v>1.63613</v>
          </cell>
          <cell r="S26">
            <v>1.63844</v>
          </cell>
          <cell r="T26">
            <v>1.63854</v>
          </cell>
          <cell r="U26">
            <v>1.64129</v>
          </cell>
          <cell r="V26">
            <v>1.64657</v>
          </cell>
          <cell r="W26">
            <v>1.64723</v>
          </cell>
          <cell r="X26">
            <v>1.65291</v>
          </cell>
          <cell r="Y26">
            <v>1.65819</v>
          </cell>
          <cell r="Z26">
            <v>1.66725</v>
          </cell>
          <cell r="AA26">
            <v>2.63821944</v>
          </cell>
          <cell r="AB26">
            <v>-0.010247331</v>
          </cell>
          <cell r="AC26">
            <v>0.0158983043</v>
          </cell>
          <cell r="AD26">
            <v>0.000577973503</v>
          </cell>
          <cell r="AE26">
            <v>-3.90220391e-5</v>
          </cell>
          <cell r="AF26">
            <v>2.35832993e-6</v>
          </cell>
          <cell r="AG26">
            <v>0.302951388888902</v>
          </cell>
          <cell r="AH26">
            <v>0.238715277777757</v>
          </cell>
          <cell r="AI26">
            <v>0.550347222222214</v>
          </cell>
          <cell r="AJ26">
            <v>0.252151462994846</v>
          </cell>
          <cell r="AK26">
            <v>0.236660929431998</v>
          </cell>
          <cell r="AL26">
            <v>0.488812392426863</v>
          </cell>
          <cell r="AM26">
            <v>-0.00125826666665944</v>
          </cell>
          <cell r="AN26">
            <v>-0.00115032777778606</v>
          </cell>
          <cell r="AO26">
            <v>-0.0171440333333647</v>
          </cell>
          <cell r="AP26">
            <v>-0.00830638888890747</v>
          </cell>
          <cell r="AQ26">
            <v>1.4</v>
          </cell>
          <cell r="AR26">
            <v>1.4</v>
          </cell>
          <cell r="AS26">
            <v>1.4</v>
          </cell>
          <cell r="AT26">
            <v>1.4</v>
          </cell>
          <cell r="AU26">
            <v>1.4</v>
          </cell>
          <cell r="AV26">
            <v>1.6</v>
          </cell>
          <cell r="AW26">
            <v>1.9</v>
          </cell>
          <cell r="AX26">
            <v>1.8</v>
          </cell>
          <cell r="AY26">
            <v>1.8</v>
          </cell>
          <cell r="AZ26">
            <v>1.8</v>
          </cell>
          <cell r="BA26">
            <v>1.9</v>
          </cell>
          <cell r="BB26">
            <v>2.1</v>
          </cell>
          <cell r="BC26">
            <v>1.9</v>
          </cell>
          <cell r="BD26">
            <v>1.8</v>
          </cell>
          <cell r="BE26">
            <v>1.9</v>
          </cell>
          <cell r="BF26">
            <v>1.9</v>
          </cell>
          <cell r="BG26">
            <v>1.9</v>
          </cell>
          <cell r="BH26">
            <v>2.1</v>
          </cell>
          <cell r="BI26">
            <v>2</v>
          </cell>
          <cell r="BJ26">
            <v>2</v>
          </cell>
          <cell r="BK26">
            <v>2</v>
          </cell>
          <cell r="BL26">
            <v>2</v>
          </cell>
          <cell r="BM26">
            <v>2.1</v>
          </cell>
          <cell r="BN26">
            <v>2.2</v>
          </cell>
          <cell r="BO26">
            <v>2.2</v>
          </cell>
          <cell r="BP26">
            <v>2.1</v>
          </cell>
          <cell r="BQ26">
            <v>2.2</v>
          </cell>
          <cell r="BR26">
            <v>2.2</v>
          </cell>
          <cell r="BS26">
            <v>2.3</v>
          </cell>
          <cell r="BT26">
            <v>2.4</v>
          </cell>
          <cell r="BU26">
            <v>2.5</v>
          </cell>
          <cell r="BV26">
            <v>2.5</v>
          </cell>
          <cell r="BW26">
            <v>2.6</v>
          </cell>
          <cell r="BX26">
            <v>2.6</v>
          </cell>
          <cell r="BY26">
            <v>2.7</v>
          </cell>
          <cell r="BZ26">
            <v>2.8</v>
          </cell>
          <cell r="CA26">
            <v>2.9</v>
          </cell>
          <cell r="CB26">
            <v>2.9</v>
          </cell>
          <cell r="CC26">
            <v>2.9</v>
          </cell>
          <cell r="CD26">
            <v>3</v>
          </cell>
          <cell r="CE26">
            <v>3.1</v>
          </cell>
          <cell r="CF26">
            <v>3.3</v>
          </cell>
          <cell r="CG26">
            <v>-0.3</v>
          </cell>
          <cell r="CH26">
            <v>-0.1</v>
          </cell>
          <cell r="CI26">
            <v>0.2</v>
          </cell>
          <cell r="CJ26">
            <v>0.5</v>
          </cell>
          <cell r="CK26">
            <v>0.7</v>
          </cell>
          <cell r="CL26">
            <v>1</v>
          </cell>
          <cell r="CM26">
            <v>-8.3e-7</v>
          </cell>
          <cell r="CN26">
            <v>1.139e-8</v>
          </cell>
          <cell r="CO26">
            <v>-6.47e-12</v>
          </cell>
          <cell r="CP26">
            <v>5.61e-7</v>
          </cell>
          <cell r="CQ26">
            <v>4.867e-10</v>
          </cell>
          <cell r="CR26">
            <v>0.164</v>
          </cell>
          <cell r="CS26">
            <v>1</v>
          </cell>
          <cell r="CT26">
            <v>2</v>
          </cell>
          <cell r="CU26">
            <v>1</v>
          </cell>
          <cell r="CV26">
            <v>3</v>
          </cell>
          <cell r="CW26">
            <v>2</v>
          </cell>
          <cell r="CX26">
            <v>2</v>
          </cell>
          <cell r="CY26">
            <v>0</v>
          </cell>
          <cell r="CZ26">
            <v>0</v>
          </cell>
          <cell r="DA26">
            <v>633</v>
          </cell>
          <cell r="DB26">
            <v>683</v>
          </cell>
          <cell r="DC26">
            <v>591</v>
          </cell>
          <cell r="DD26">
            <v>624</v>
          </cell>
          <cell r="DE26">
            <v>71</v>
          </cell>
          <cell r="DF26">
            <v>0</v>
          </cell>
          <cell r="DG26">
            <v>85</v>
          </cell>
          <cell r="DH26">
            <v>0</v>
          </cell>
          <cell r="DI26">
            <v>120</v>
          </cell>
          <cell r="DJ26">
            <v>0</v>
          </cell>
          <cell r="DK26">
            <v>510</v>
          </cell>
          <cell r="DL26">
            <v>160</v>
          </cell>
          <cell r="DM26">
            <v>8336</v>
          </cell>
          <cell r="DN26">
            <v>3282</v>
          </cell>
          <cell r="DO26">
            <v>0.27</v>
          </cell>
          <cell r="DP26">
            <v>0</v>
          </cell>
          <cell r="DQ26" t="str">
            <v>365/325</v>
          </cell>
          <cell r="DR26">
            <v>358</v>
          </cell>
          <cell r="DS26">
            <v>326</v>
          </cell>
          <cell r="DT26">
            <v>3.66</v>
          </cell>
          <cell r="DU26">
            <v>0.902</v>
          </cell>
          <cell r="DV26">
            <v>0.964</v>
          </cell>
          <cell r="DW26">
            <v>0.994</v>
          </cell>
          <cell r="DX26">
            <v>0.999</v>
          </cell>
          <cell r="DY26">
            <v>0.999</v>
          </cell>
          <cell r="DZ26">
            <v>0.999</v>
          </cell>
          <cell r="EA26">
            <v>0.999</v>
          </cell>
          <cell r="EB26">
            <v>0.999</v>
          </cell>
          <cell r="EC26">
            <v>0.999</v>
          </cell>
          <cell r="ED26">
            <v>0.999</v>
          </cell>
          <cell r="EE26">
            <v>0.999</v>
          </cell>
          <cell r="EF26">
            <v>0.999</v>
          </cell>
          <cell r="EG26">
            <v>0.999</v>
          </cell>
          <cell r="EH26">
            <v>0.999</v>
          </cell>
          <cell r="EI26">
            <v>0.999</v>
          </cell>
          <cell r="EJ26">
            <v>0.999</v>
          </cell>
          <cell r="EK26">
            <v>0.999</v>
          </cell>
          <cell r="EL26">
            <v>0.999</v>
          </cell>
          <cell r="EM26">
            <v>0.999</v>
          </cell>
          <cell r="EN26">
            <v>0.998</v>
          </cell>
          <cell r="EO26">
            <v>0.995</v>
          </cell>
          <cell r="EP26">
            <v>0.995</v>
          </cell>
          <cell r="EQ26">
            <v>0.993</v>
          </cell>
          <cell r="ER26">
            <v>0.988</v>
          </cell>
          <cell r="ES26">
            <v>0.981</v>
          </cell>
          <cell r="ET26">
            <v>0.968</v>
          </cell>
          <cell r="EU26">
            <v>0.945</v>
          </cell>
          <cell r="EV26">
            <v>0.898</v>
          </cell>
          <cell r="EW26">
            <v>0.801</v>
          </cell>
          <cell r="EX26">
            <v>0.616</v>
          </cell>
          <cell r="EY26">
            <v>0.326</v>
          </cell>
          <cell r="EZ26">
            <v>0.067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0.815</v>
          </cell>
          <cell r="FF26">
            <v>0.93</v>
          </cell>
          <cell r="FG26">
            <v>0.989</v>
          </cell>
          <cell r="FH26">
            <v>0.998</v>
          </cell>
          <cell r="FI26">
            <v>0.998</v>
          </cell>
          <cell r="FJ26">
            <v>0.998</v>
          </cell>
          <cell r="FK26">
            <v>0.998</v>
          </cell>
          <cell r="FL26">
            <v>0.998</v>
          </cell>
          <cell r="FM26">
            <v>0.998</v>
          </cell>
          <cell r="FN26">
            <v>0.998</v>
          </cell>
          <cell r="FO26">
            <v>0.998</v>
          </cell>
          <cell r="FP26">
            <v>0.998</v>
          </cell>
          <cell r="FQ26">
            <v>0.998</v>
          </cell>
          <cell r="FR26">
            <v>0.998</v>
          </cell>
          <cell r="FS26">
            <v>0.998</v>
          </cell>
          <cell r="FT26">
            <v>0.998</v>
          </cell>
          <cell r="FU26">
            <v>0.998</v>
          </cell>
          <cell r="FV26">
            <v>0.998</v>
          </cell>
          <cell r="FW26">
            <v>0.998</v>
          </cell>
          <cell r="FX26">
            <v>0.996</v>
          </cell>
          <cell r="FY26">
            <v>0.993</v>
          </cell>
          <cell r="FZ26">
            <v>0.99</v>
          </cell>
          <cell r="GA26">
            <v>0.986</v>
          </cell>
          <cell r="GB26">
            <v>0.976</v>
          </cell>
          <cell r="GC26">
            <v>0.962</v>
          </cell>
          <cell r="GD26">
            <v>0.937</v>
          </cell>
          <cell r="GE26">
            <v>0.893</v>
          </cell>
          <cell r="GF26">
            <v>0.806</v>
          </cell>
          <cell r="GG26">
            <v>0.642</v>
          </cell>
          <cell r="GH26">
            <v>0.379</v>
          </cell>
          <cell r="GI26">
            <v>0.106</v>
          </cell>
          <cell r="GJ26">
            <v>0.004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</row>
        <row r="27">
          <cell r="B27" t="str">
            <v>H-ZK14</v>
          </cell>
          <cell r="C27">
            <v>603606</v>
          </cell>
          <cell r="D27">
            <v>60.6</v>
          </cell>
          <cell r="E27">
            <v>60.35</v>
          </cell>
          <cell r="F27">
            <v>0.009952</v>
          </cell>
          <cell r="G27">
            <v>0.010033</v>
          </cell>
          <cell r="H27">
            <v>1.57306</v>
          </cell>
          <cell r="I27">
            <v>1.57877</v>
          </cell>
          <cell r="J27">
            <v>1.58492</v>
          </cell>
          <cell r="K27">
            <v>1.59017</v>
          </cell>
          <cell r="L27">
            <v>1.59184</v>
          </cell>
          <cell r="M27">
            <v>1.59468</v>
          </cell>
          <cell r="N27">
            <v>1.5966</v>
          </cell>
          <cell r="O27">
            <v>1.59834</v>
          </cell>
          <cell r="P27">
            <v>1.60007</v>
          </cell>
          <cell r="Q27">
            <v>1.60056</v>
          </cell>
          <cell r="R27">
            <v>1.60101</v>
          </cell>
          <cell r="S27">
            <v>1.60302</v>
          </cell>
          <cell r="T27">
            <v>1.60311</v>
          </cell>
          <cell r="U27">
            <v>1.60548</v>
          </cell>
          <cell r="V27">
            <v>1.61003</v>
          </cell>
          <cell r="W27">
            <v>1.61059</v>
          </cell>
          <cell r="X27">
            <v>1.61542</v>
          </cell>
          <cell r="Y27">
            <v>1.61986</v>
          </cell>
          <cell r="Z27">
            <v>1.627404575</v>
          </cell>
          <cell r="AA27">
            <v>2.53252307</v>
          </cell>
          <cell r="AB27">
            <v>-0.0111610362</v>
          </cell>
          <cell r="AC27">
            <v>0.01263489</v>
          </cell>
          <cell r="AD27">
            <v>0.000737549464</v>
          </cell>
          <cell r="AE27">
            <v>-7.33089145e-5</v>
          </cell>
          <cell r="AF27">
            <v>3.78538867e-6</v>
          </cell>
          <cell r="AG27">
            <v>0.305220883534131</v>
          </cell>
          <cell r="AH27">
            <v>0.237951807228915</v>
          </cell>
          <cell r="AI27">
            <v>0.54116465863454</v>
          </cell>
          <cell r="AJ27">
            <v>0.254237288135599</v>
          </cell>
          <cell r="AK27">
            <v>0.236291126620138</v>
          </cell>
          <cell r="AL27">
            <v>0.481555333998018</v>
          </cell>
          <cell r="AM27">
            <v>7.85092369546131e-5</v>
          </cell>
          <cell r="AN27">
            <v>-0.00177874136545951</v>
          </cell>
          <cell r="AO27">
            <v>-0.00746237911644504</v>
          </cell>
          <cell r="AP27">
            <v>-0.00467534136545952</v>
          </cell>
          <cell r="AQ27">
            <v>2.7</v>
          </cell>
          <cell r="AR27">
            <v>2.7</v>
          </cell>
          <cell r="AS27">
            <v>2.7</v>
          </cell>
          <cell r="AT27">
            <v>2.7</v>
          </cell>
          <cell r="AU27">
            <v>2.8</v>
          </cell>
          <cell r="AV27">
            <v>3</v>
          </cell>
          <cell r="AW27">
            <v>3</v>
          </cell>
          <cell r="AX27">
            <v>3.1</v>
          </cell>
          <cell r="AY27">
            <v>3.1</v>
          </cell>
          <cell r="AZ27">
            <v>3.1</v>
          </cell>
          <cell r="BA27">
            <v>3.2</v>
          </cell>
          <cell r="BB27">
            <v>3.4</v>
          </cell>
          <cell r="BC27">
            <v>3</v>
          </cell>
          <cell r="BD27">
            <v>3.1</v>
          </cell>
          <cell r="BE27">
            <v>3.1</v>
          </cell>
          <cell r="BF27">
            <v>3.1</v>
          </cell>
          <cell r="BG27">
            <v>3.2</v>
          </cell>
          <cell r="BH27">
            <v>3.4</v>
          </cell>
          <cell r="BI27">
            <v>3.1</v>
          </cell>
          <cell r="BJ27">
            <v>3.2</v>
          </cell>
          <cell r="BK27">
            <v>3.2</v>
          </cell>
          <cell r="BL27">
            <v>3.2</v>
          </cell>
          <cell r="BM27">
            <v>3.3</v>
          </cell>
          <cell r="BN27">
            <v>3.5</v>
          </cell>
          <cell r="BO27">
            <v>3.3</v>
          </cell>
          <cell r="BP27">
            <v>3.3</v>
          </cell>
          <cell r="BQ27">
            <v>3.4</v>
          </cell>
          <cell r="BR27">
            <v>3.4</v>
          </cell>
          <cell r="BS27">
            <v>3.5</v>
          </cell>
          <cell r="BT27">
            <v>3.7</v>
          </cell>
          <cell r="BU27">
            <v>3.5</v>
          </cell>
          <cell r="BV27">
            <v>3.6</v>
          </cell>
          <cell r="BW27">
            <v>3.7</v>
          </cell>
          <cell r="BX27">
            <v>3.7</v>
          </cell>
          <cell r="BY27">
            <v>3.8</v>
          </cell>
          <cell r="BZ27">
            <v>4</v>
          </cell>
          <cell r="CA27">
            <v>3.8</v>
          </cell>
          <cell r="CB27">
            <v>3.9</v>
          </cell>
          <cell r="CC27">
            <v>4</v>
          </cell>
          <cell r="CD27">
            <v>4</v>
          </cell>
          <cell r="CE27">
            <v>4.1</v>
          </cell>
          <cell r="CF27">
            <v>4.4</v>
          </cell>
          <cell r="CG27">
            <v>0.9</v>
          </cell>
          <cell r="CH27">
            <v>1.2</v>
          </cell>
          <cell r="CI27">
            <v>1.5</v>
          </cell>
          <cell r="CJ27">
            <v>1.7</v>
          </cell>
          <cell r="CK27">
            <v>2</v>
          </cell>
          <cell r="CL27">
            <v>2.3</v>
          </cell>
          <cell r="CM27">
            <v>1.99574746701383e-6</v>
          </cell>
          <cell r="CN27">
            <v>1.28451867165208e-8</v>
          </cell>
          <cell r="CO27">
            <v>2.89562760597959e-12</v>
          </cell>
          <cell r="CP27">
            <v>4.8328845942402e-7</v>
          </cell>
          <cell r="CQ27">
            <v>5.71308725336865e-10</v>
          </cell>
          <cell r="CR27">
            <v>0.139344877839077</v>
          </cell>
          <cell r="CS27">
            <v>3</v>
          </cell>
          <cell r="CT27">
            <v>3</v>
          </cell>
          <cell r="CU27">
            <v>2</v>
          </cell>
          <cell r="CV27">
            <v>4</v>
          </cell>
          <cell r="CW27">
            <v>2</v>
          </cell>
          <cell r="CX27">
            <v>2</v>
          </cell>
          <cell r="CY27">
            <v>0</v>
          </cell>
          <cell r="CZ27">
            <v>0</v>
          </cell>
          <cell r="DA27">
            <v>631</v>
          </cell>
          <cell r="DB27">
            <v>683</v>
          </cell>
          <cell r="DC27">
            <v>583</v>
          </cell>
          <cell r="DD27">
            <v>615</v>
          </cell>
          <cell r="DE27">
            <v>57</v>
          </cell>
          <cell r="DF27">
            <v>0</v>
          </cell>
          <cell r="DG27">
            <v>73</v>
          </cell>
          <cell r="DH27">
            <v>0</v>
          </cell>
          <cell r="DI27">
            <v>115</v>
          </cell>
          <cell r="DJ27">
            <v>0</v>
          </cell>
          <cell r="DK27">
            <v>567</v>
          </cell>
          <cell r="DL27">
            <v>131</v>
          </cell>
          <cell r="DM27">
            <v>8917</v>
          </cell>
          <cell r="DN27">
            <v>3525</v>
          </cell>
          <cell r="DO27">
            <v>0.265</v>
          </cell>
          <cell r="DP27" t="str">
            <v> 1.99</v>
          </cell>
          <cell r="DQ27" t="str">
            <v>350/300</v>
          </cell>
          <cell r="DR27">
            <v>341</v>
          </cell>
          <cell r="DS27">
            <v>295</v>
          </cell>
          <cell r="DT27">
            <v>3.4</v>
          </cell>
          <cell r="DU27">
            <v>0.879</v>
          </cell>
          <cell r="DV27">
            <v>0.939</v>
          </cell>
          <cell r="DW27">
            <v>0.983</v>
          </cell>
          <cell r="DX27">
            <v>0.993</v>
          </cell>
          <cell r="DY27">
            <v>0.999</v>
          </cell>
          <cell r="DZ27">
            <v>0.999</v>
          </cell>
          <cell r="EA27">
            <v>0.999</v>
          </cell>
          <cell r="EB27">
            <v>0.999</v>
          </cell>
          <cell r="EC27">
            <v>0.999</v>
          </cell>
          <cell r="ED27">
            <v>0.999</v>
          </cell>
          <cell r="EE27">
            <v>0.999</v>
          </cell>
          <cell r="EF27">
            <v>0.999</v>
          </cell>
          <cell r="EG27">
            <v>0.999</v>
          </cell>
          <cell r="EH27">
            <v>0.999</v>
          </cell>
          <cell r="EI27">
            <v>0.999</v>
          </cell>
          <cell r="EJ27">
            <v>0.999</v>
          </cell>
          <cell r="EK27">
            <v>0.999</v>
          </cell>
          <cell r="EL27">
            <v>0.999</v>
          </cell>
          <cell r="EM27">
            <v>0.999</v>
          </cell>
          <cell r="EN27">
            <v>0.999</v>
          </cell>
          <cell r="EO27">
            <v>0.999</v>
          </cell>
          <cell r="EP27">
            <v>0.999</v>
          </cell>
          <cell r="EQ27">
            <v>0.997</v>
          </cell>
          <cell r="ER27">
            <v>0.996</v>
          </cell>
          <cell r="ES27">
            <v>0.994</v>
          </cell>
          <cell r="ET27">
            <v>0.992</v>
          </cell>
          <cell r="EU27">
            <v>0.985</v>
          </cell>
          <cell r="EV27">
            <v>0.976</v>
          </cell>
          <cell r="EW27">
            <v>0.954</v>
          </cell>
          <cell r="EX27">
            <v>0.919</v>
          </cell>
          <cell r="EY27">
            <v>0.862</v>
          </cell>
          <cell r="EZ27">
            <v>0.762</v>
          </cell>
          <cell r="FA27">
            <v>0.615</v>
          </cell>
          <cell r="FB27">
            <v>0.419</v>
          </cell>
          <cell r="FC27">
            <v>0.21</v>
          </cell>
          <cell r="FD27">
            <v>0</v>
          </cell>
          <cell r="FE27">
            <v>0.774</v>
          </cell>
          <cell r="FF27">
            <v>0.88</v>
          </cell>
          <cell r="FG27">
            <v>0.967</v>
          </cell>
          <cell r="FH27">
            <v>0.984</v>
          </cell>
          <cell r="FI27">
            <v>0.996</v>
          </cell>
          <cell r="FJ27">
            <v>0.997</v>
          </cell>
          <cell r="FK27">
            <v>0.998</v>
          </cell>
          <cell r="FL27">
            <v>0.998</v>
          </cell>
          <cell r="FM27">
            <v>0.998</v>
          </cell>
          <cell r="FN27">
            <v>0.998</v>
          </cell>
          <cell r="FO27">
            <v>0.998</v>
          </cell>
          <cell r="FP27">
            <v>0.998</v>
          </cell>
          <cell r="FQ27">
            <v>0.998</v>
          </cell>
          <cell r="FR27">
            <v>0.998</v>
          </cell>
          <cell r="FS27">
            <v>0.998</v>
          </cell>
          <cell r="FT27">
            <v>0.998</v>
          </cell>
          <cell r="FU27">
            <v>0.998</v>
          </cell>
          <cell r="FV27">
            <v>0.998</v>
          </cell>
          <cell r="FW27">
            <v>0.998</v>
          </cell>
          <cell r="FX27">
            <v>0.998</v>
          </cell>
          <cell r="FY27">
            <v>0.998</v>
          </cell>
          <cell r="FZ27">
            <v>0.998</v>
          </cell>
          <cell r="GA27">
            <v>0.995</v>
          </cell>
          <cell r="GB27">
            <v>0.995</v>
          </cell>
          <cell r="GC27">
            <v>0.99</v>
          </cell>
          <cell r="GD27">
            <v>0.985</v>
          </cell>
          <cell r="GE27">
            <v>0.976</v>
          </cell>
          <cell r="GF27">
            <v>0.957</v>
          </cell>
          <cell r="GG27">
            <v>0.916</v>
          </cell>
          <cell r="GH27">
            <v>0.852</v>
          </cell>
          <cell r="GI27">
            <v>0.747</v>
          </cell>
          <cell r="GJ27">
            <v>0.588</v>
          </cell>
          <cell r="GK27">
            <v>0.385</v>
          </cell>
          <cell r="GL27">
            <v>0.18</v>
          </cell>
          <cell r="GM27">
            <v>0.05</v>
          </cell>
          <cell r="GN27">
            <v>0</v>
          </cell>
        </row>
        <row r="28">
          <cell r="B28" t="str">
            <v>H-ZK21</v>
          </cell>
          <cell r="C28">
            <v>623581</v>
          </cell>
          <cell r="D28">
            <v>58.12</v>
          </cell>
          <cell r="E28">
            <v>57.87</v>
          </cell>
          <cell r="F28">
            <v>0.010719</v>
          </cell>
          <cell r="G28">
            <v>0.010809</v>
          </cell>
          <cell r="H28">
            <v>1.59235</v>
          </cell>
          <cell r="I28">
            <v>1.59795</v>
          </cell>
          <cell r="J28">
            <v>1.60402</v>
          </cell>
          <cell r="K28">
            <v>1.60931</v>
          </cell>
          <cell r="L28">
            <v>1.61103</v>
          </cell>
          <cell r="M28">
            <v>1.61401</v>
          </cell>
          <cell r="N28">
            <v>1.61603</v>
          </cell>
          <cell r="O28">
            <v>1.61787</v>
          </cell>
          <cell r="P28">
            <v>1.61973</v>
          </cell>
          <cell r="Q28">
            <v>1.62025</v>
          </cell>
          <cell r="R28">
            <v>1.62074</v>
          </cell>
          <cell r="S28">
            <v>1.6229</v>
          </cell>
          <cell r="T28">
            <v>1.62299</v>
          </cell>
          <cell r="U28">
            <v>1.62555</v>
          </cell>
          <cell r="V28">
            <v>1.63045</v>
          </cell>
          <cell r="W28">
            <v>1.63106</v>
          </cell>
          <cell r="X28">
            <v>1.63629</v>
          </cell>
          <cell r="Y28">
            <v>1.64113</v>
          </cell>
          <cell r="Z28">
            <v>1.64946</v>
          </cell>
          <cell r="AA28">
            <v>2.59254654</v>
          </cell>
          <cell r="AB28">
            <v>-0.0110129354</v>
          </cell>
          <cell r="AC28">
            <v>0.0138896553</v>
          </cell>
          <cell r="AD28">
            <v>0.000821371542</v>
          </cell>
          <cell r="AE28">
            <v>-8.84083953e-5</v>
          </cell>
          <cell r="AF28">
            <v>5.19951049e-6</v>
          </cell>
          <cell r="AG28">
            <v>0.304104477611942</v>
          </cell>
          <cell r="AH28">
            <v>0.238805970149263</v>
          </cell>
          <cell r="AI28">
            <v>0.544776119402988</v>
          </cell>
          <cell r="AJ28">
            <v>0.25346901017576</v>
          </cell>
          <cell r="AK28">
            <v>0.236817761332111</v>
          </cell>
          <cell r="AL28">
            <v>0.483811285846445</v>
          </cell>
          <cell r="AM28">
            <v>-0.00102820776120564</v>
          </cell>
          <cell r="AN28">
            <v>-0.00228656059701175</v>
          </cell>
          <cell r="AO28">
            <v>-0.0101823558209068</v>
          </cell>
          <cell r="AP28">
            <v>-0.00630591044776921</v>
          </cell>
          <cell r="AQ28">
            <v>1.9</v>
          </cell>
          <cell r="AR28">
            <v>1.9</v>
          </cell>
          <cell r="AS28">
            <v>1.9</v>
          </cell>
          <cell r="AT28">
            <v>2</v>
          </cell>
          <cell r="AU28">
            <v>2.1</v>
          </cell>
          <cell r="AV28">
            <v>2.2</v>
          </cell>
          <cell r="AW28">
            <v>2.3</v>
          </cell>
          <cell r="AX28">
            <v>2.2</v>
          </cell>
          <cell r="AY28">
            <v>2.3</v>
          </cell>
          <cell r="AZ28">
            <v>2.3</v>
          </cell>
          <cell r="BA28">
            <v>2.4</v>
          </cell>
          <cell r="BB28">
            <v>2.6</v>
          </cell>
          <cell r="BC28">
            <v>2.3</v>
          </cell>
          <cell r="BD28">
            <v>2.3</v>
          </cell>
          <cell r="BE28">
            <v>2.3</v>
          </cell>
          <cell r="BF28">
            <v>2.4</v>
          </cell>
          <cell r="BG28">
            <v>2.5</v>
          </cell>
          <cell r="BH28">
            <v>2.6</v>
          </cell>
          <cell r="BI28">
            <v>2.4</v>
          </cell>
          <cell r="BJ28">
            <v>2.4</v>
          </cell>
          <cell r="BK28">
            <v>2.4</v>
          </cell>
          <cell r="BL28">
            <v>2.5</v>
          </cell>
          <cell r="BM28">
            <v>2.6</v>
          </cell>
          <cell r="BN28">
            <v>2.7</v>
          </cell>
          <cell r="BO28">
            <v>2.5</v>
          </cell>
          <cell r="BP28">
            <v>2.5</v>
          </cell>
          <cell r="BQ28">
            <v>2.6</v>
          </cell>
          <cell r="BR28">
            <v>2.6</v>
          </cell>
          <cell r="BS28">
            <v>2.7</v>
          </cell>
          <cell r="BT28">
            <v>2.9</v>
          </cell>
          <cell r="BU28">
            <v>2.8</v>
          </cell>
          <cell r="BV28">
            <v>2.8</v>
          </cell>
          <cell r="BW28">
            <v>2.9</v>
          </cell>
          <cell r="BX28">
            <v>3</v>
          </cell>
          <cell r="BY28">
            <v>3.1</v>
          </cell>
          <cell r="BZ28">
            <v>3.2</v>
          </cell>
          <cell r="CA28">
            <v>3.1</v>
          </cell>
          <cell r="CB28">
            <v>3.1</v>
          </cell>
          <cell r="CC28">
            <v>3.2</v>
          </cell>
          <cell r="CD28">
            <v>3.3</v>
          </cell>
          <cell r="CE28">
            <v>3.4</v>
          </cell>
          <cell r="CF28">
            <v>3.6</v>
          </cell>
          <cell r="CG28">
            <v>0.1</v>
          </cell>
          <cell r="CH28">
            <v>0.4</v>
          </cell>
          <cell r="CI28">
            <v>0.7</v>
          </cell>
          <cell r="CJ28">
            <v>1</v>
          </cell>
          <cell r="CK28">
            <v>1.2</v>
          </cell>
          <cell r="CL28">
            <v>1.5</v>
          </cell>
          <cell r="CM28">
            <v>4.71388912849522e-7</v>
          </cell>
          <cell r="CN28">
            <v>1.18459872735061e-8</v>
          </cell>
          <cell r="CO28">
            <v>-6.78888359279168e-12</v>
          </cell>
          <cell r="CP28">
            <v>4.25346765902339e-7</v>
          </cell>
          <cell r="CQ28">
            <v>7.23768378211616e-10</v>
          </cell>
          <cell r="CR28">
            <v>0.199611825637828</v>
          </cell>
          <cell r="CS28">
            <v>3</v>
          </cell>
          <cell r="CT28">
            <v>3</v>
          </cell>
          <cell r="CU28">
            <v>2</v>
          </cell>
          <cell r="CV28">
            <v>4</v>
          </cell>
          <cell r="CW28">
            <v>2</v>
          </cell>
          <cell r="CX28">
            <v>2</v>
          </cell>
          <cell r="CY28">
            <v>0</v>
          </cell>
          <cell r="CZ28">
            <v>0</v>
          </cell>
          <cell r="DA28">
            <v>658</v>
          </cell>
          <cell r="DB28">
            <v>704</v>
          </cell>
          <cell r="DC28">
            <v>605</v>
          </cell>
          <cell r="DD28">
            <v>651</v>
          </cell>
          <cell r="DE28">
            <v>63</v>
          </cell>
          <cell r="DF28">
            <v>0</v>
          </cell>
          <cell r="DG28">
            <v>72</v>
          </cell>
          <cell r="DH28">
            <v>0</v>
          </cell>
          <cell r="DI28">
            <v>125</v>
          </cell>
          <cell r="DJ28">
            <v>0</v>
          </cell>
          <cell r="DK28">
            <v>558</v>
          </cell>
          <cell r="DL28">
            <v>138</v>
          </cell>
          <cell r="DM28">
            <v>9979</v>
          </cell>
          <cell r="DN28">
            <v>4021</v>
          </cell>
          <cell r="DO28">
            <v>0.241</v>
          </cell>
          <cell r="DP28">
            <v>0</v>
          </cell>
          <cell r="DQ28" t="str">
            <v>355/295</v>
          </cell>
          <cell r="DR28">
            <v>0</v>
          </cell>
          <cell r="DS28">
            <v>0</v>
          </cell>
          <cell r="DT28">
            <v>3.57</v>
          </cell>
          <cell r="DU28">
            <v>0.882</v>
          </cell>
          <cell r="DV28">
            <v>0.948</v>
          </cell>
          <cell r="DW28">
            <v>0.98</v>
          </cell>
          <cell r="DX28">
            <v>0.988</v>
          </cell>
          <cell r="DY28">
            <v>0.999</v>
          </cell>
          <cell r="DZ28">
            <v>0.999</v>
          </cell>
          <cell r="EA28">
            <v>0.999</v>
          </cell>
          <cell r="EB28">
            <v>0.999</v>
          </cell>
          <cell r="EC28">
            <v>0.999</v>
          </cell>
          <cell r="ED28">
            <v>0.999</v>
          </cell>
          <cell r="EE28">
            <v>0.999</v>
          </cell>
          <cell r="EF28">
            <v>0.999</v>
          </cell>
          <cell r="EG28">
            <v>0.999</v>
          </cell>
          <cell r="EH28">
            <v>0.999</v>
          </cell>
          <cell r="EI28">
            <v>0.999</v>
          </cell>
          <cell r="EJ28">
            <v>0.999</v>
          </cell>
          <cell r="EK28">
            <v>0.999</v>
          </cell>
          <cell r="EL28">
            <v>0.999</v>
          </cell>
          <cell r="EM28">
            <v>0.999</v>
          </cell>
          <cell r="EN28">
            <v>0.999</v>
          </cell>
          <cell r="EO28">
            <v>0.999</v>
          </cell>
          <cell r="EP28">
            <v>0.999</v>
          </cell>
          <cell r="EQ28">
            <v>0.996</v>
          </cell>
          <cell r="ER28">
            <v>0.993</v>
          </cell>
          <cell r="ES28">
            <v>0.99</v>
          </cell>
          <cell r="ET28">
            <v>0.986</v>
          </cell>
          <cell r="EU28">
            <v>0.975</v>
          </cell>
          <cell r="EV28">
            <v>0.956</v>
          </cell>
          <cell r="EW28">
            <v>0.938</v>
          </cell>
          <cell r="EX28">
            <v>0.881</v>
          </cell>
          <cell r="EY28">
            <v>0.788</v>
          </cell>
          <cell r="EZ28">
            <v>0.656</v>
          </cell>
          <cell r="FA28">
            <v>0.488</v>
          </cell>
          <cell r="FB28">
            <v>0.314</v>
          </cell>
          <cell r="FC28">
            <v>0</v>
          </cell>
          <cell r="FD28">
            <v>0</v>
          </cell>
          <cell r="FE28">
            <v>0.778</v>
          </cell>
          <cell r="FF28">
            <v>0.899</v>
          </cell>
          <cell r="FG28">
            <v>0.96</v>
          </cell>
          <cell r="FH28">
            <v>0.976</v>
          </cell>
          <cell r="FI28">
            <v>0.998</v>
          </cell>
          <cell r="FJ28">
            <v>0.998</v>
          </cell>
          <cell r="FK28">
            <v>0.998</v>
          </cell>
          <cell r="FL28">
            <v>0.998</v>
          </cell>
          <cell r="FM28">
            <v>0.998</v>
          </cell>
          <cell r="FN28">
            <v>0.998</v>
          </cell>
          <cell r="FO28">
            <v>0.998</v>
          </cell>
          <cell r="FP28">
            <v>0.998</v>
          </cell>
          <cell r="FQ28">
            <v>0.998</v>
          </cell>
          <cell r="FR28">
            <v>0.998</v>
          </cell>
          <cell r="FS28">
            <v>0.998</v>
          </cell>
          <cell r="FT28">
            <v>0.998</v>
          </cell>
          <cell r="FU28">
            <v>0.998</v>
          </cell>
          <cell r="FV28">
            <v>0.998</v>
          </cell>
          <cell r="FW28">
            <v>0.998</v>
          </cell>
          <cell r="FX28">
            <v>0.998</v>
          </cell>
          <cell r="FY28">
            <v>0.998</v>
          </cell>
          <cell r="FZ28">
            <v>0.998</v>
          </cell>
          <cell r="GA28">
            <v>0.992</v>
          </cell>
          <cell r="GB28">
            <v>0.986</v>
          </cell>
          <cell r="GC28">
            <v>0.98</v>
          </cell>
          <cell r="GD28">
            <v>0.972</v>
          </cell>
          <cell r="GE28">
            <v>0.951</v>
          </cell>
          <cell r="GF28">
            <v>0.914</v>
          </cell>
          <cell r="GG28">
            <v>0.88</v>
          </cell>
          <cell r="GH28">
            <v>0.776</v>
          </cell>
          <cell r="GI28">
            <v>0.621</v>
          </cell>
          <cell r="GJ28">
            <v>0.43</v>
          </cell>
          <cell r="GK28">
            <v>0.238</v>
          </cell>
          <cell r="GL28">
            <v>0.099</v>
          </cell>
          <cell r="GM28">
            <v>0</v>
          </cell>
          <cell r="GN28">
            <v>0</v>
          </cell>
        </row>
        <row r="29">
          <cell r="B29" t="str">
            <v>H-ZK50</v>
          </cell>
          <cell r="C29">
            <v>607567</v>
          </cell>
          <cell r="D29">
            <v>56.65</v>
          </cell>
          <cell r="E29">
            <v>56.38</v>
          </cell>
          <cell r="F29">
            <v>0.010721</v>
          </cell>
          <cell r="G29">
            <v>0.010819</v>
          </cell>
          <cell r="H29">
            <v>1.57933</v>
          </cell>
          <cell r="I29">
            <v>1.58405</v>
          </cell>
          <cell r="J29">
            <v>1.58926</v>
          </cell>
          <cell r="K29">
            <v>1.59403</v>
          </cell>
          <cell r="L29">
            <v>1.59564</v>
          </cell>
          <cell r="M29">
            <v>1.5985</v>
          </cell>
          <cell r="N29">
            <v>1.60048</v>
          </cell>
          <cell r="O29">
            <v>1.6023</v>
          </cell>
          <cell r="P29">
            <v>1.60414</v>
          </cell>
          <cell r="Q29">
            <v>1.60465</v>
          </cell>
          <cell r="R29">
            <v>1.60513</v>
          </cell>
          <cell r="S29">
            <v>1.60729</v>
          </cell>
          <cell r="T29">
            <v>1.60738</v>
          </cell>
          <cell r="U29">
            <v>1.60994</v>
          </cell>
          <cell r="V29">
            <v>1.61486</v>
          </cell>
          <cell r="W29">
            <v>1.61547</v>
          </cell>
          <cell r="X29">
            <v>1.62073</v>
          </cell>
          <cell r="Y29">
            <v>1.62562</v>
          </cell>
          <cell r="Z29">
            <v>1.63393</v>
          </cell>
          <cell r="AA29">
            <v>2.54047355</v>
          </cell>
          <cell r="AB29">
            <v>-0.00905535161</v>
          </cell>
          <cell r="AC29">
            <v>0.0149621725</v>
          </cell>
          <cell r="AD29">
            <v>0.000392388778</v>
          </cell>
          <cell r="AE29">
            <v>-1.515438e-5</v>
          </cell>
          <cell r="AF29">
            <v>7.76341926e-7</v>
          </cell>
          <cell r="AG29">
            <v>0.30223880597016</v>
          </cell>
          <cell r="AH29">
            <v>0.238805970149243</v>
          </cell>
          <cell r="AI29">
            <v>0.547574626865672</v>
          </cell>
          <cell r="AJ29">
            <v>0.252310536044372</v>
          </cell>
          <cell r="AK29">
            <v>0.236598890942688</v>
          </cell>
          <cell r="AL29">
            <v>0.486136783733828</v>
          </cell>
          <cell r="AM29">
            <v>2.60238805975879e-5</v>
          </cell>
          <cell r="AN29">
            <v>-0.00192972313432759</v>
          </cell>
          <cell r="AO29">
            <v>-0.0217154522388151</v>
          </cell>
          <cell r="AP29">
            <v>-0.0102405970149408</v>
          </cell>
          <cell r="AQ29">
            <v>0.9</v>
          </cell>
          <cell r="AR29">
            <v>0.8</v>
          </cell>
          <cell r="AS29">
            <v>0.8</v>
          </cell>
          <cell r="AT29">
            <v>0.8</v>
          </cell>
          <cell r="AU29">
            <v>0.8</v>
          </cell>
          <cell r="AV29">
            <v>0.9</v>
          </cell>
          <cell r="AW29">
            <v>1.3</v>
          </cell>
          <cell r="AX29">
            <v>1.2</v>
          </cell>
          <cell r="AY29">
            <v>1.2</v>
          </cell>
          <cell r="AZ29">
            <v>1.2</v>
          </cell>
          <cell r="BA29">
            <v>1.2</v>
          </cell>
          <cell r="BB29">
            <v>1.4</v>
          </cell>
          <cell r="BC29">
            <v>1.3</v>
          </cell>
          <cell r="BD29">
            <v>1.2</v>
          </cell>
          <cell r="BE29">
            <v>1.2</v>
          </cell>
          <cell r="BF29">
            <v>1.2</v>
          </cell>
          <cell r="BG29">
            <v>1.3</v>
          </cell>
          <cell r="BH29">
            <v>1.4</v>
          </cell>
          <cell r="BI29">
            <v>1.4</v>
          </cell>
          <cell r="BJ29">
            <v>1.3</v>
          </cell>
          <cell r="BK29">
            <v>1.3</v>
          </cell>
          <cell r="BL29">
            <v>1.3</v>
          </cell>
          <cell r="BM29">
            <v>1.4</v>
          </cell>
          <cell r="BN29">
            <v>1.5</v>
          </cell>
          <cell r="BO29">
            <v>1.6</v>
          </cell>
          <cell r="BP29">
            <v>1.5</v>
          </cell>
          <cell r="BQ29">
            <v>1.5</v>
          </cell>
          <cell r="BR29">
            <v>1.5</v>
          </cell>
          <cell r="BS29">
            <v>1.6</v>
          </cell>
          <cell r="BT29">
            <v>1.7</v>
          </cell>
          <cell r="BU29">
            <v>1.9</v>
          </cell>
          <cell r="BV29">
            <v>1.9</v>
          </cell>
          <cell r="BW29">
            <v>1.9</v>
          </cell>
          <cell r="BX29">
            <v>1.9</v>
          </cell>
          <cell r="BY29">
            <v>2</v>
          </cell>
          <cell r="BZ29">
            <v>2.1</v>
          </cell>
          <cell r="CA29">
            <v>2.3</v>
          </cell>
          <cell r="CB29">
            <v>2.2</v>
          </cell>
          <cell r="CC29">
            <v>2.2</v>
          </cell>
          <cell r="CD29">
            <v>2.3</v>
          </cell>
          <cell r="CE29">
            <v>2.4</v>
          </cell>
          <cell r="CF29">
            <v>2.5</v>
          </cell>
          <cell r="CG29">
            <v>-0.9</v>
          </cell>
          <cell r="CH29">
            <v>-0.6</v>
          </cell>
          <cell r="CI29">
            <v>-0.4</v>
          </cell>
          <cell r="CJ29">
            <v>-0.2</v>
          </cell>
          <cell r="CK29">
            <v>0</v>
          </cell>
          <cell r="CL29">
            <v>0.3</v>
          </cell>
          <cell r="CM29">
            <v>-1.96462663385718e-6</v>
          </cell>
          <cell r="CN29">
            <v>1.07692207096636e-8</v>
          </cell>
          <cell r="CO29">
            <v>6.99707837418331e-12</v>
          </cell>
          <cell r="CP29">
            <v>4.70259595523733e-7</v>
          </cell>
          <cell r="CQ29">
            <v>4.3445708739059e-10</v>
          </cell>
          <cell r="CR29">
            <v>0.217893910121315</v>
          </cell>
          <cell r="CS29">
            <v>1</v>
          </cell>
          <cell r="CT29">
            <v>3</v>
          </cell>
          <cell r="CU29">
            <v>1</v>
          </cell>
          <cell r="CV29">
            <v>3</v>
          </cell>
          <cell r="CW29">
            <v>2</v>
          </cell>
          <cell r="CX29">
            <v>2</v>
          </cell>
          <cell r="CY29">
            <v>0</v>
          </cell>
          <cell r="CZ29">
            <v>0</v>
          </cell>
          <cell r="DA29">
            <v>579</v>
          </cell>
          <cell r="DB29">
            <v>632</v>
          </cell>
          <cell r="DC29">
            <v>532</v>
          </cell>
          <cell r="DD29">
            <v>570</v>
          </cell>
          <cell r="DE29">
            <v>80</v>
          </cell>
          <cell r="DF29">
            <v>0</v>
          </cell>
          <cell r="DG29">
            <v>95</v>
          </cell>
          <cell r="DH29">
            <v>0</v>
          </cell>
          <cell r="DI29">
            <v>100</v>
          </cell>
          <cell r="DJ29">
            <v>0</v>
          </cell>
          <cell r="DK29">
            <v>489</v>
          </cell>
          <cell r="DL29">
            <v>210</v>
          </cell>
          <cell r="DM29">
            <v>6377</v>
          </cell>
          <cell r="DN29">
            <v>2525</v>
          </cell>
          <cell r="DO29">
            <v>0.263</v>
          </cell>
          <cell r="DP29">
            <v>0</v>
          </cell>
          <cell r="DQ29" t="str">
            <v>350/295</v>
          </cell>
          <cell r="DR29">
            <v>0</v>
          </cell>
          <cell r="DS29">
            <v>0</v>
          </cell>
          <cell r="DT29">
            <v>3.47</v>
          </cell>
          <cell r="DU29">
            <v>0.917</v>
          </cell>
          <cell r="DV29">
            <v>0.952</v>
          </cell>
          <cell r="DW29">
            <v>0.983</v>
          </cell>
          <cell r="DX29">
            <v>0.993</v>
          </cell>
          <cell r="DY29">
            <v>0.999</v>
          </cell>
          <cell r="DZ29">
            <v>0.999</v>
          </cell>
          <cell r="EA29">
            <v>0.999</v>
          </cell>
          <cell r="EB29">
            <v>0.999</v>
          </cell>
          <cell r="EC29">
            <v>0.999</v>
          </cell>
          <cell r="ED29">
            <v>0.999</v>
          </cell>
          <cell r="EE29">
            <v>0.999</v>
          </cell>
          <cell r="EF29">
            <v>0.999</v>
          </cell>
          <cell r="EG29">
            <v>0.999</v>
          </cell>
          <cell r="EH29">
            <v>0.999</v>
          </cell>
          <cell r="EI29">
            <v>0.999</v>
          </cell>
          <cell r="EJ29">
            <v>0.999</v>
          </cell>
          <cell r="EK29">
            <v>0.999</v>
          </cell>
          <cell r="EL29">
            <v>0.999</v>
          </cell>
          <cell r="EM29">
            <v>0.999</v>
          </cell>
          <cell r="EN29">
            <v>0.999</v>
          </cell>
          <cell r="EO29">
            <v>0.999</v>
          </cell>
          <cell r="EP29">
            <v>0.999</v>
          </cell>
          <cell r="EQ29">
            <v>0.997</v>
          </cell>
          <cell r="ER29">
            <v>0.995</v>
          </cell>
          <cell r="ES29">
            <v>0.992</v>
          </cell>
          <cell r="ET29">
            <v>0.99</v>
          </cell>
          <cell r="EU29">
            <v>0.983</v>
          </cell>
          <cell r="EV29">
            <v>0.971</v>
          </cell>
          <cell r="EW29">
            <v>0.948</v>
          </cell>
          <cell r="EX29">
            <v>0.903</v>
          </cell>
          <cell r="EY29">
            <v>0.824</v>
          </cell>
          <cell r="EZ29">
            <v>0.698</v>
          </cell>
          <cell r="FA29">
            <v>0.515</v>
          </cell>
          <cell r="FB29">
            <v>0.312</v>
          </cell>
          <cell r="FC29">
            <v>0.145</v>
          </cell>
          <cell r="FD29">
            <v>0</v>
          </cell>
          <cell r="FE29">
            <v>0.841</v>
          </cell>
          <cell r="FF29">
            <v>0.904</v>
          </cell>
          <cell r="FG29">
            <v>0.966</v>
          </cell>
          <cell r="FH29">
            <v>0.986</v>
          </cell>
          <cell r="FI29">
            <v>0.998</v>
          </cell>
          <cell r="FJ29">
            <v>0.998</v>
          </cell>
          <cell r="FK29">
            <v>0.998</v>
          </cell>
          <cell r="FL29">
            <v>0.998</v>
          </cell>
          <cell r="FM29">
            <v>0.998</v>
          </cell>
          <cell r="FN29">
            <v>0.998</v>
          </cell>
          <cell r="FO29">
            <v>0.998</v>
          </cell>
          <cell r="FP29">
            <v>0.998</v>
          </cell>
          <cell r="FQ29">
            <v>0.998</v>
          </cell>
          <cell r="FR29">
            <v>0.998</v>
          </cell>
          <cell r="FS29">
            <v>0.998</v>
          </cell>
          <cell r="FT29">
            <v>0.998</v>
          </cell>
          <cell r="FU29">
            <v>0.998</v>
          </cell>
          <cell r="FV29">
            <v>0.998</v>
          </cell>
          <cell r="FW29">
            <v>0.998</v>
          </cell>
          <cell r="FX29">
            <v>0.998</v>
          </cell>
          <cell r="FY29">
            <v>0.998</v>
          </cell>
          <cell r="FZ29">
            <v>0.998</v>
          </cell>
          <cell r="GA29">
            <v>0.995</v>
          </cell>
          <cell r="GB29">
            <v>0.991</v>
          </cell>
          <cell r="GC29">
            <v>0.986</v>
          </cell>
          <cell r="GD29">
            <v>0.981</v>
          </cell>
          <cell r="GE29">
            <v>0.968</v>
          </cell>
          <cell r="GF29">
            <v>0.944</v>
          </cell>
          <cell r="GG29">
            <v>0.897</v>
          </cell>
          <cell r="GH29">
            <v>0.813</v>
          </cell>
          <cell r="GI29">
            <v>0.673</v>
          </cell>
          <cell r="GJ29">
            <v>0.482</v>
          </cell>
          <cell r="GK29">
            <v>0.262</v>
          </cell>
          <cell r="GL29">
            <v>0.095</v>
          </cell>
          <cell r="GM29">
            <v>0.021</v>
          </cell>
          <cell r="GN29">
            <v>0</v>
          </cell>
        </row>
        <row r="30">
          <cell r="B30" t="str">
            <v>H-LaK1</v>
          </cell>
          <cell r="C30">
            <v>660574</v>
          </cell>
          <cell r="D30">
            <v>57.35</v>
          </cell>
          <cell r="E30">
            <v>57.13</v>
          </cell>
          <cell r="F30">
            <v>0.0115</v>
          </cell>
          <cell r="G30">
            <v>0.011592</v>
          </cell>
          <cell r="H30">
            <v>1.62649</v>
          </cell>
          <cell r="I30">
            <v>1.63247</v>
          </cell>
          <cell r="J30">
            <v>1.63901</v>
          </cell>
          <cell r="K30">
            <v>1.64475</v>
          </cell>
          <cell r="L30">
            <v>1.6466</v>
          </cell>
          <cell r="M30">
            <v>1.64983</v>
          </cell>
          <cell r="N30">
            <v>1.65202</v>
          </cell>
          <cell r="O30">
            <v>1.65403</v>
          </cell>
          <cell r="P30">
            <v>1.656</v>
          </cell>
          <cell r="Q30">
            <v>1.65655</v>
          </cell>
          <cell r="R30">
            <v>1.65707</v>
          </cell>
          <cell r="S30">
            <v>1.65939</v>
          </cell>
          <cell r="T30">
            <v>1.6595</v>
          </cell>
          <cell r="U30">
            <v>1.66224</v>
          </cell>
          <cell r="V30">
            <v>1.6675</v>
          </cell>
          <cell r="W30">
            <v>1.66814</v>
          </cell>
          <cell r="X30">
            <v>1.67376</v>
          </cell>
          <cell r="Y30">
            <v>1.67897</v>
          </cell>
          <cell r="Z30">
            <v>1.68783</v>
          </cell>
          <cell r="AA30">
            <v>2.7073327</v>
          </cell>
          <cell r="AB30">
            <v>-0.0120058561</v>
          </cell>
          <cell r="AC30">
            <v>0.0164047722</v>
          </cell>
          <cell r="AD30">
            <v>0.000417032662</v>
          </cell>
          <cell r="AE30">
            <v>-1.43172608e-5</v>
          </cell>
          <cell r="AF30">
            <v>7.78703513e-7</v>
          </cell>
          <cell r="AG30">
            <v>0.30434782608696</v>
          </cell>
          <cell r="AH30">
            <v>0.238260869565213</v>
          </cell>
          <cell r="AI30">
            <v>0.544347826086948</v>
          </cell>
          <cell r="AJ30">
            <v>0.254529767040553</v>
          </cell>
          <cell r="AK30">
            <v>0.236410698878341</v>
          </cell>
          <cell r="AL30">
            <v>0.48490077653149</v>
          </cell>
          <cell r="AM30">
            <v>-0.00115149565217287</v>
          </cell>
          <cell r="AN30">
            <v>-0.00399382391305242</v>
          </cell>
          <cell r="AO30">
            <v>-0.000626795652191425</v>
          </cell>
          <cell r="AP30">
            <v>-0.00151826086956752</v>
          </cell>
          <cell r="AQ30">
            <v>1.7</v>
          </cell>
          <cell r="AR30">
            <v>1.6</v>
          </cell>
          <cell r="AS30">
            <v>1.6</v>
          </cell>
          <cell r="AT30">
            <v>1.6</v>
          </cell>
          <cell r="AU30">
            <v>1.7</v>
          </cell>
          <cell r="AV30">
            <v>1.8</v>
          </cell>
          <cell r="AW30">
            <v>2.1</v>
          </cell>
          <cell r="AX30">
            <v>2</v>
          </cell>
          <cell r="AY30">
            <v>2</v>
          </cell>
          <cell r="AZ30">
            <v>2</v>
          </cell>
          <cell r="BA30">
            <v>2.1</v>
          </cell>
          <cell r="BB30">
            <v>2.2</v>
          </cell>
          <cell r="BC30">
            <v>2.1</v>
          </cell>
          <cell r="BD30">
            <v>2</v>
          </cell>
          <cell r="BE30">
            <v>2</v>
          </cell>
          <cell r="BF30">
            <v>2.1</v>
          </cell>
          <cell r="BG30">
            <v>2.1</v>
          </cell>
          <cell r="BH30">
            <v>2.2</v>
          </cell>
          <cell r="BI30">
            <v>2.2</v>
          </cell>
          <cell r="BJ30">
            <v>2.1</v>
          </cell>
          <cell r="BK30">
            <v>2.1</v>
          </cell>
          <cell r="BL30">
            <v>2.2</v>
          </cell>
          <cell r="BM30">
            <v>2.3</v>
          </cell>
          <cell r="BN30">
            <v>2.4</v>
          </cell>
          <cell r="BO30">
            <v>2.3</v>
          </cell>
          <cell r="BP30">
            <v>2.3</v>
          </cell>
          <cell r="BQ30">
            <v>2.3</v>
          </cell>
          <cell r="BR30">
            <v>2.3</v>
          </cell>
          <cell r="BS30">
            <v>2.4</v>
          </cell>
          <cell r="BT30">
            <v>2.5</v>
          </cell>
          <cell r="BU30">
            <v>2.7</v>
          </cell>
          <cell r="BV30">
            <v>2.6</v>
          </cell>
          <cell r="BW30">
            <v>2.7</v>
          </cell>
          <cell r="BX30">
            <v>2.7</v>
          </cell>
          <cell r="BY30">
            <v>2.8</v>
          </cell>
          <cell r="BZ30">
            <v>2.9</v>
          </cell>
          <cell r="CA30">
            <v>3</v>
          </cell>
          <cell r="CB30">
            <v>3</v>
          </cell>
          <cell r="CC30">
            <v>3</v>
          </cell>
          <cell r="CD30">
            <v>3.1</v>
          </cell>
          <cell r="CE30">
            <v>3.2</v>
          </cell>
          <cell r="CF30">
            <v>3.3</v>
          </cell>
          <cell r="CG30">
            <v>-0.2</v>
          </cell>
          <cell r="CH30">
            <v>0.1</v>
          </cell>
          <cell r="CI30">
            <v>0.4</v>
          </cell>
          <cell r="CJ30">
            <v>0.6</v>
          </cell>
          <cell r="CK30">
            <v>0.9</v>
          </cell>
          <cell r="CL30">
            <v>1.1</v>
          </cell>
          <cell r="CM30">
            <v>-3.01140130281026e-7</v>
          </cell>
          <cell r="CN30">
            <v>1.10054073748154e-8</v>
          </cell>
          <cell r="CO30">
            <v>-3.9428963062001e-12</v>
          </cell>
          <cell r="CP30">
            <v>4.27463054244976e-7</v>
          </cell>
          <cell r="CQ30">
            <v>3.97900997346206e-10</v>
          </cell>
          <cell r="CR30">
            <v>0.219900863081002</v>
          </cell>
          <cell r="CS30">
            <v>0</v>
          </cell>
          <cell r="CT30">
            <v>1</v>
          </cell>
          <cell r="CU30">
            <v>3</v>
          </cell>
          <cell r="CV30">
            <v>4</v>
          </cell>
          <cell r="CW30">
            <v>1</v>
          </cell>
          <cell r="CX30">
            <v>3</v>
          </cell>
          <cell r="CY30">
            <v>0</v>
          </cell>
          <cell r="CZ30">
            <v>0</v>
          </cell>
          <cell r="DA30">
            <v>633</v>
          </cell>
          <cell r="DB30">
            <v>675</v>
          </cell>
          <cell r="DC30">
            <v>588</v>
          </cell>
          <cell r="DD30">
            <v>617</v>
          </cell>
          <cell r="DE30">
            <v>65</v>
          </cell>
          <cell r="DF30">
            <v>0</v>
          </cell>
          <cell r="DG30">
            <v>81</v>
          </cell>
          <cell r="DH30">
            <v>0</v>
          </cell>
          <cell r="DI30">
            <v>135</v>
          </cell>
          <cell r="DJ30">
            <v>0</v>
          </cell>
          <cell r="DK30">
            <v>581</v>
          </cell>
          <cell r="DL30">
            <v>112</v>
          </cell>
          <cell r="DM30">
            <v>9089</v>
          </cell>
          <cell r="DN30">
            <v>3570</v>
          </cell>
          <cell r="DO30">
            <v>0.273</v>
          </cell>
          <cell r="DP30">
            <v>0</v>
          </cell>
          <cell r="DQ30" t="str">
            <v>350/270</v>
          </cell>
          <cell r="DR30">
            <v>0</v>
          </cell>
          <cell r="DS30">
            <v>0</v>
          </cell>
          <cell r="DT30">
            <v>3.64</v>
          </cell>
          <cell r="DU30">
            <v>0.873</v>
          </cell>
          <cell r="DV30">
            <v>0.954</v>
          </cell>
          <cell r="DW30">
            <v>0.993</v>
          </cell>
          <cell r="DX30">
            <v>0.999</v>
          </cell>
          <cell r="DY30">
            <v>0.999</v>
          </cell>
          <cell r="DZ30">
            <v>0.999</v>
          </cell>
          <cell r="EA30">
            <v>0.999</v>
          </cell>
          <cell r="EB30">
            <v>0.999</v>
          </cell>
          <cell r="EC30">
            <v>0.999</v>
          </cell>
          <cell r="ED30">
            <v>0.999</v>
          </cell>
          <cell r="EE30">
            <v>0.999</v>
          </cell>
          <cell r="EF30">
            <v>0.999</v>
          </cell>
          <cell r="EG30">
            <v>0.999</v>
          </cell>
          <cell r="EH30">
            <v>0.999</v>
          </cell>
          <cell r="EI30">
            <v>0.999</v>
          </cell>
          <cell r="EJ30">
            <v>0.999</v>
          </cell>
          <cell r="EK30">
            <v>0.999</v>
          </cell>
          <cell r="EL30">
            <v>0.999</v>
          </cell>
          <cell r="EM30">
            <v>0.999</v>
          </cell>
          <cell r="EN30">
            <v>0.999</v>
          </cell>
          <cell r="EO30">
            <v>0.999</v>
          </cell>
          <cell r="EP30">
            <v>0.999</v>
          </cell>
          <cell r="EQ30">
            <v>0.997</v>
          </cell>
          <cell r="ER30">
            <v>0.995</v>
          </cell>
          <cell r="ES30">
            <v>0.993</v>
          </cell>
          <cell r="ET30">
            <v>0.99</v>
          </cell>
          <cell r="EU30">
            <v>0.981</v>
          </cell>
          <cell r="EV30">
            <v>0.968</v>
          </cell>
          <cell r="EW30">
            <v>0.95</v>
          </cell>
          <cell r="EX30">
            <v>0.918</v>
          </cell>
          <cell r="EY30">
            <v>0.868</v>
          </cell>
          <cell r="EZ30">
            <v>0.796</v>
          </cell>
          <cell r="FA30">
            <v>0.697</v>
          </cell>
          <cell r="FB30">
            <v>0.581</v>
          </cell>
          <cell r="FC30">
            <v>0.46</v>
          </cell>
          <cell r="FD30">
            <v>0.343</v>
          </cell>
          <cell r="FE30">
            <v>0.762</v>
          </cell>
          <cell r="FF30">
            <v>0.91</v>
          </cell>
          <cell r="FG30">
            <v>0.986</v>
          </cell>
          <cell r="FH30">
            <v>0.998</v>
          </cell>
          <cell r="FI30">
            <v>0.998</v>
          </cell>
          <cell r="FJ30">
            <v>0.998</v>
          </cell>
          <cell r="FK30">
            <v>0.998</v>
          </cell>
          <cell r="FL30">
            <v>0.998</v>
          </cell>
          <cell r="FM30">
            <v>0.998</v>
          </cell>
          <cell r="FN30">
            <v>0.998</v>
          </cell>
          <cell r="FO30">
            <v>0.998</v>
          </cell>
          <cell r="FP30">
            <v>0.998</v>
          </cell>
          <cell r="FQ30">
            <v>0.998</v>
          </cell>
          <cell r="FR30">
            <v>0.998</v>
          </cell>
          <cell r="FS30">
            <v>0.998</v>
          </cell>
          <cell r="FT30">
            <v>0.998</v>
          </cell>
          <cell r="FU30">
            <v>0.998</v>
          </cell>
          <cell r="FV30">
            <v>0.998</v>
          </cell>
          <cell r="FW30">
            <v>0.998</v>
          </cell>
          <cell r="FX30">
            <v>0.998</v>
          </cell>
          <cell r="FY30">
            <v>0.998</v>
          </cell>
          <cell r="FZ30">
            <v>0.998</v>
          </cell>
          <cell r="GA30">
            <v>0.995</v>
          </cell>
          <cell r="GB30">
            <v>0.992</v>
          </cell>
          <cell r="GC30">
            <v>0.987</v>
          </cell>
          <cell r="GD30">
            <v>0.981</v>
          </cell>
          <cell r="GE30">
            <v>0.97</v>
          </cell>
          <cell r="GF30">
            <v>0.947</v>
          </cell>
          <cell r="GG30">
            <v>0.91</v>
          </cell>
          <cell r="GH30">
            <v>0.852</v>
          </cell>
          <cell r="GI30">
            <v>0.762</v>
          </cell>
          <cell r="GJ30">
            <v>0.641</v>
          </cell>
          <cell r="GK30">
            <v>0.495</v>
          </cell>
          <cell r="GL30">
            <v>0.346</v>
          </cell>
          <cell r="GM30">
            <v>0.217</v>
          </cell>
          <cell r="GN30">
            <v>0.122</v>
          </cell>
        </row>
        <row r="31">
          <cell r="B31" t="str">
            <v>H-LaK2</v>
          </cell>
          <cell r="C31">
            <v>691547</v>
          </cell>
          <cell r="D31">
            <v>54.7</v>
          </cell>
          <cell r="E31">
            <v>54.48</v>
          </cell>
          <cell r="F31">
            <v>0.012633</v>
          </cell>
          <cell r="G31">
            <v>0.012739</v>
          </cell>
          <cell r="H31">
            <v>1.6533</v>
          </cell>
          <cell r="I31">
            <v>1.66043</v>
          </cell>
          <cell r="J31">
            <v>1.66812</v>
          </cell>
          <cell r="K31">
            <v>1.67471</v>
          </cell>
          <cell r="L31">
            <v>1.67681</v>
          </cell>
          <cell r="M31">
            <v>1.68039</v>
          </cell>
          <cell r="N31">
            <v>1.6828</v>
          </cell>
          <cell r="O31">
            <v>1.68499</v>
          </cell>
          <cell r="P31">
            <v>1.68715</v>
          </cell>
          <cell r="Q31">
            <v>1.68776</v>
          </cell>
          <cell r="R31">
            <v>1.68833</v>
          </cell>
          <cell r="S31">
            <v>1.69088</v>
          </cell>
          <cell r="T31">
            <v>1.691</v>
          </cell>
          <cell r="U31">
            <v>1.69401</v>
          </cell>
          <cell r="V31">
            <v>1.69978</v>
          </cell>
          <cell r="W31">
            <v>1.7005</v>
          </cell>
          <cell r="X31">
            <v>1.70665</v>
          </cell>
          <cell r="Y31">
            <v>1.71235</v>
          </cell>
          <cell r="Z31">
            <v>1.72209</v>
          </cell>
          <cell r="AA31">
            <v>2.80955685</v>
          </cell>
          <cell r="AB31">
            <v>-0.014667358</v>
          </cell>
          <cell r="AC31">
            <v>0.0168842607</v>
          </cell>
          <cell r="AD31">
            <v>0.000916821494</v>
          </cell>
          <cell r="AE31">
            <v>-7.97191507e-5</v>
          </cell>
          <cell r="AF31">
            <v>4.19772399e-6</v>
          </cell>
          <cell r="AG31">
            <v>0.304829770387972</v>
          </cell>
          <cell r="AH31">
            <v>0.238321456848767</v>
          </cell>
          <cell r="AI31">
            <v>0.543942992874098</v>
          </cell>
          <cell r="AJ31">
            <v>0.254317111459979</v>
          </cell>
          <cell r="AK31">
            <v>0.236263736263733</v>
          </cell>
          <cell r="AL31">
            <v>0.482731554160134</v>
          </cell>
          <cell r="AM31">
            <v>-0.00315682723673889</v>
          </cell>
          <cell r="AN31">
            <v>-0.0088003071259022</v>
          </cell>
          <cell r="AO31">
            <v>0.0135094690419557</v>
          </cell>
          <cell r="AP31">
            <v>0.00355357086300884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1</v>
          </cell>
          <cell r="CT31">
            <v>3</v>
          </cell>
          <cell r="CU31">
            <v>1</v>
          </cell>
          <cell r="CV31">
            <v>3</v>
          </cell>
          <cell r="CW31">
            <v>1</v>
          </cell>
          <cell r="CX31">
            <v>3</v>
          </cell>
          <cell r="CY31">
            <v>0</v>
          </cell>
          <cell r="CZ31">
            <v>0</v>
          </cell>
          <cell r="DA31">
            <v>614</v>
          </cell>
          <cell r="DB31">
            <v>651</v>
          </cell>
          <cell r="DC31">
            <v>585</v>
          </cell>
          <cell r="DD31">
            <v>602</v>
          </cell>
          <cell r="DE31">
            <v>57</v>
          </cell>
          <cell r="DF31">
            <v>0</v>
          </cell>
          <cell r="DG31">
            <v>73</v>
          </cell>
          <cell r="DH31">
            <v>0</v>
          </cell>
          <cell r="DI31">
            <v>150</v>
          </cell>
          <cell r="DJ31">
            <v>0</v>
          </cell>
          <cell r="DK31">
            <v>528</v>
          </cell>
          <cell r="DL31">
            <v>94</v>
          </cell>
          <cell r="DM31">
            <v>10013</v>
          </cell>
          <cell r="DN31">
            <v>3973</v>
          </cell>
          <cell r="DO31">
            <v>0.26</v>
          </cell>
          <cell r="DP31">
            <v>2.01</v>
          </cell>
          <cell r="DQ31" t="str">
            <v>360/290</v>
          </cell>
          <cell r="DR31">
            <v>0</v>
          </cell>
          <cell r="DS31">
            <v>0</v>
          </cell>
          <cell r="DT31">
            <v>3.63</v>
          </cell>
          <cell r="DU31">
            <v>0.766</v>
          </cell>
          <cell r="DV31">
            <v>0.919</v>
          </cell>
          <cell r="DW31">
            <v>0.973</v>
          </cell>
          <cell r="DX31">
            <v>0.989</v>
          </cell>
          <cell r="DY31">
            <v>0.999</v>
          </cell>
          <cell r="DZ31">
            <v>0.999</v>
          </cell>
          <cell r="EA31">
            <v>0.999</v>
          </cell>
          <cell r="EB31">
            <v>0.999</v>
          </cell>
          <cell r="EC31">
            <v>0.999</v>
          </cell>
          <cell r="ED31">
            <v>0.999</v>
          </cell>
          <cell r="EE31">
            <v>0.999</v>
          </cell>
          <cell r="EF31">
            <v>0.999</v>
          </cell>
          <cell r="EG31">
            <v>0.999</v>
          </cell>
          <cell r="EH31">
            <v>0.999</v>
          </cell>
          <cell r="EI31">
            <v>0.999</v>
          </cell>
          <cell r="EJ31">
            <v>0.999</v>
          </cell>
          <cell r="EK31">
            <v>0.999</v>
          </cell>
          <cell r="EL31">
            <v>0.999</v>
          </cell>
          <cell r="EM31">
            <v>0.999</v>
          </cell>
          <cell r="EN31">
            <v>0.999</v>
          </cell>
          <cell r="EO31">
            <v>0.999</v>
          </cell>
          <cell r="EP31">
            <v>0.999</v>
          </cell>
          <cell r="EQ31">
            <v>0.999</v>
          </cell>
          <cell r="ER31">
            <v>0.994</v>
          </cell>
          <cell r="ES31">
            <v>0.987</v>
          </cell>
          <cell r="ET31">
            <v>0.98</v>
          </cell>
          <cell r="EU31">
            <v>0.969</v>
          </cell>
          <cell r="EV31">
            <v>0.948</v>
          </cell>
          <cell r="EW31">
            <v>0.916</v>
          </cell>
          <cell r="EX31">
            <v>0.867</v>
          </cell>
          <cell r="EY31">
            <v>0.801</v>
          </cell>
          <cell r="EZ31">
            <v>0.712</v>
          </cell>
          <cell r="FA31">
            <v>0.599</v>
          </cell>
          <cell r="FB31">
            <v>0.449</v>
          </cell>
          <cell r="FC31">
            <v>0.245</v>
          </cell>
          <cell r="FD31">
            <v>0</v>
          </cell>
          <cell r="FE31">
            <v>0.579</v>
          </cell>
          <cell r="FF31">
            <v>0.846</v>
          </cell>
          <cell r="FG31">
            <v>0.955</v>
          </cell>
          <cell r="FH31">
            <v>0.986</v>
          </cell>
          <cell r="FI31">
            <v>0.998</v>
          </cell>
          <cell r="FJ31">
            <v>0.998</v>
          </cell>
          <cell r="FK31">
            <v>0.998</v>
          </cell>
          <cell r="FL31">
            <v>0.998</v>
          </cell>
          <cell r="FM31">
            <v>0.998</v>
          </cell>
          <cell r="FN31">
            <v>0.998</v>
          </cell>
          <cell r="FO31">
            <v>0.998</v>
          </cell>
          <cell r="FP31">
            <v>0.998</v>
          </cell>
          <cell r="FQ31">
            <v>0.998</v>
          </cell>
          <cell r="FR31">
            <v>0.998</v>
          </cell>
          <cell r="FS31">
            <v>0.998</v>
          </cell>
          <cell r="FT31">
            <v>0.998</v>
          </cell>
          <cell r="FU31">
            <v>0.998</v>
          </cell>
          <cell r="FV31">
            <v>0.998</v>
          </cell>
          <cell r="FW31">
            <v>0.998</v>
          </cell>
          <cell r="FX31">
            <v>0.998</v>
          </cell>
          <cell r="FY31">
            <v>0.998</v>
          </cell>
          <cell r="FZ31">
            <v>0.995</v>
          </cell>
          <cell r="GA31">
            <v>0.991</v>
          </cell>
          <cell r="GB31">
            <v>0.985</v>
          </cell>
          <cell r="GC31">
            <v>0.979</v>
          </cell>
          <cell r="GD31">
            <v>0.965</v>
          </cell>
          <cell r="GE31">
            <v>0.943</v>
          </cell>
          <cell r="GF31">
            <v>0.906</v>
          </cell>
          <cell r="GG31">
            <v>0.838</v>
          </cell>
          <cell r="GH31">
            <v>0.757</v>
          </cell>
          <cell r="GI31">
            <v>0.645</v>
          </cell>
          <cell r="GJ31">
            <v>0.509</v>
          </cell>
          <cell r="GK31">
            <v>0.36</v>
          </cell>
          <cell r="GL31">
            <v>0.202</v>
          </cell>
          <cell r="GM31">
            <v>0.063</v>
          </cell>
          <cell r="GN31">
            <v>0</v>
          </cell>
        </row>
        <row r="32">
          <cell r="B32" t="str">
            <v>H-LaK2H</v>
          </cell>
          <cell r="C32">
            <v>692545</v>
          </cell>
          <cell r="D32">
            <v>54.54</v>
          </cell>
          <cell r="E32">
            <v>54.29</v>
          </cell>
          <cell r="F32">
            <v>0.01269</v>
          </cell>
          <cell r="G32">
            <v>0.012804</v>
          </cell>
          <cell r="H32">
            <v>1.65358</v>
          </cell>
          <cell r="I32">
            <v>1.66092</v>
          </cell>
          <cell r="J32">
            <v>1.66884</v>
          </cell>
          <cell r="K32">
            <v>1.67561</v>
          </cell>
          <cell r="L32">
            <v>1.67775</v>
          </cell>
          <cell r="M32">
            <v>1.6814</v>
          </cell>
          <cell r="N32">
            <v>1.68384</v>
          </cell>
          <cell r="O32">
            <v>1.68606</v>
          </cell>
          <cell r="P32">
            <v>1.68827</v>
          </cell>
          <cell r="Q32">
            <v>1.68888</v>
          </cell>
          <cell r="R32">
            <v>1.68945</v>
          </cell>
          <cell r="S32">
            <v>1.69201</v>
          </cell>
          <cell r="T32">
            <v>1.69211</v>
          </cell>
          <cell r="U32">
            <v>1.69514</v>
          </cell>
          <cell r="V32">
            <v>1.70096</v>
          </cell>
          <cell r="W32">
            <v>1.70168</v>
          </cell>
          <cell r="X32">
            <v>1.70783</v>
          </cell>
          <cell r="Y32">
            <v>1.71355</v>
          </cell>
          <cell r="Z32">
            <v>1.72334</v>
          </cell>
          <cell r="AA32">
            <v>2.81281207</v>
          </cell>
          <cell r="AB32">
            <v>-0.0151090486</v>
          </cell>
          <cell r="AC32">
            <v>0.0173324917</v>
          </cell>
          <cell r="AD32">
            <v>0.000829325128</v>
          </cell>
          <cell r="AE32">
            <v>-7.29570094e-5</v>
          </cell>
          <cell r="AF32">
            <v>4.13913961e-6</v>
          </cell>
          <cell r="AG32">
            <v>0.302600472813242</v>
          </cell>
          <cell r="AH32">
            <v>0.238770685579201</v>
          </cell>
          <cell r="AI32">
            <v>0.541371158392426</v>
          </cell>
          <cell r="AJ32">
            <v>0.252343750000002</v>
          </cell>
          <cell r="AK32">
            <v>0.236718750000004</v>
          </cell>
          <cell r="AL32">
            <v>0.480468749999985</v>
          </cell>
          <cell r="AM32">
            <v>-0.00146507839244329</v>
          </cell>
          <cell r="AN32">
            <v>-0.0116379016075742</v>
          </cell>
          <cell r="AO32">
            <v>0.0245983719779187</v>
          </cell>
          <cell r="AP32">
            <v>0.0100751583924258</v>
          </cell>
          <cell r="AQ32">
            <v>3.9</v>
          </cell>
          <cell r="AR32">
            <v>3.9</v>
          </cell>
          <cell r="AS32">
            <v>3.9</v>
          </cell>
          <cell r="AT32">
            <v>3.9</v>
          </cell>
          <cell r="AU32">
            <v>4</v>
          </cell>
          <cell r="AV32">
            <v>4.1</v>
          </cell>
          <cell r="AW32">
            <v>4.4</v>
          </cell>
          <cell r="AX32">
            <v>4.3</v>
          </cell>
          <cell r="AY32">
            <v>4.4</v>
          </cell>
          <cell r="AZ32">
            <v>4.4</v>
          </cell>
          <cell r="BA32">
            <v>4.5</v>
          </cell>
          <cell r="BB32">
            <v>4.7</v>
          </cell>
          <cell r="BC32">
            <v>4.4</v>
          </cell>
          <cell r="BD32">
            <v>4.4</v>
          </cell>
          <cell r="BE32">
            <v>4.4</v>
          </cell>
          <cell r="BF32">
            <v>4.4</v>
          </cell>
          <cell r="BG32">
            <v>4.5</v>
          </cell>
          <cell r="BH32">
            <v>4.7</v>
          </cell>
          <cell r="BI32">
            <v>4.5</v>
          </cell>
          <cell r="BJ32">
            <v>4.5</v>
          </cell>
          <cell r="BK32">
            <v>4.5</v>
          </cell>
          <cell r="BL32">
            <v>4.6</v>
          </cell>
          <cell r="BM32">
            <v>4.7</v>
          </cell>
          <cell r="BN32">
            <v>4.9</v>
          </cell>
          <cell r="BO32">
            <v>4.7</v>
          </cell>
          <cell r="BP32">
            <v>4.7</v>
          </cell>
          <cell r="BQ32">
            <v>4.7</v>
          </cell>
          <cell r="BR32">
            <v>4.8</v>
          </cell>
          <cell r="BS32">
            <v>4.9</v>
          </cell>
          <cell r="BT32">
            <v>5.1</v>
          </cell>
          <cell r="BU32">
            <v>5.1</v>
          </cell>
          <cell r="BV32">
            <v>5.1</v>
          </cell>
          <cell r="BW32">
            <v>5.1</v>
          </cell>
          <cell r="BX32">
            <v>5.2</v>
          </cell>
          <cell r="BY32">
            <v>5.3</v>
          </cell>
          <cell r="BZ32">
            <v>5.5</v>
          </cell>
          <cell r="CA32">
            <v>5.5</v>
          </cell>
          <cell r="CB32">
            <v>5.5</v>
          </cell>
          <cell r="CC32">
            <v>5.5</v>
          </cell>
          <cell r="CD32">
            <v>5.6</v>
          </cell>
          <cell r="CE32">
            <v>5.8</v>
          </cell>
          <cell r="CF32">
            <v>6</v>
          </cell>
          <cell r="CG32">
            <v>2.1</v>
          </cell>
          <cell r="CH32">
            <v>2.4</v>
          </cell>
          <cell r="CI32">
            <v>2.7</v>
          </cell>
          <cell r="CJ32">
            <v>2.9</v>
          </cell>
          <cell r="CK32">
            <v>3.2</v>
          </cell>
          <cell r="CL32">
            <v>3.6</v>
          </cell>
          <cell r="CM32">
            <v>3.58e-6</v>
          </cell>
          <cell r="CN32">
            <v>1.13e-8</v>
          </cell>
          <cell r="CO32">
            <v>3.77e-12</v>
          </cell>
          <cell r="CP32">
            <v>5.83e-7</v>
          </cell>
          <cell r="CQ32">
            <v>6.57e-10</v>
          </cell>
          <cell r="CR32">
            <v>0.142</v>
          </cell>
          <cell r="CS32">
            <v>1</v>
          </cell>
          <cell r="CT32">
            <v>3</v>
          </cell>
          <cell r="CU32">
            <v>1</v>
          </cell>
          <cell r="CV32">
            <v>3</v>
          </cell>
          <cell r="CW32">
            <v>1</v>
          </cell>
          <cell r="CX32">
            <v>3</v>
          </cell>
          <cell r="CY32">
            <v>0</v>
          </cell>
          <cell r="CZ32">
            <v>0</v>
          </cell>
          <cell r="DA32">
            <v>641</v>
          </cell>
          <cell r="DB32">
            <v>665</v>
          </cell>
          <cell r="DC32">
            <v>599</v>
          </cell>
          <cell r="DD32">
            <v>635</v>
          </cell>
          <cell r="DE32">
            <v>59</v>
          </cell>
          <cell r="DF32">
            <v>0</v>
          </cell>
          <cell r="DG32">
            <v>74</v>
          </cell>
          <cell r="DH32">
            <v>0</v>
          </cell>
          <cell r="DI32">
            <v>140</v>
          </cell>
          <cell r="DJ32">
            <v>0</v>
          </cell>
          <cell r="DK32">
            <v>665</v>
          </cell>
          <cell r="DL32">
            <v>77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 t="str">
            <v>360/270</v>
          </cell>
          <cell r="DR32">
            <v>335</v>
          </cell>
          <cell r="DS32">
            <v>268</v>
          </cell>
          <cell r="DT32">
            <v>3.53</v>
          </cell>
          <cell r="DU32">
            <v>0.754</v>
          </cell>
          <cell r="DV32">
            <v>0.915</v>
          </cell>
          <cell r="DW32">
            <v>0.98</v>
          </cell>
          <cell r="DX32">
            <v>0.99</v>
          </cell>
          <cell r="DY32">
            <v>0.999</v>
          </cell>
          <cell r="DZ32">
            <v>0.999</v>
          </cell>
          <cell r="EA32">
            <v>0.999</v>
          </cell>
          <cell r="EB32">
            <v>0.999</v>
          </cell>
          <cell r="EC32">
            <v>0.999</v>
          </cell>
          <cell r="ED32">
            <v>0.999</v>
          </cell>
          <cell r="EE32">
            <v>0.999</v>
          </cell>
          <cell r="EF32">
            <v>0.999</v>
          </cell>
          <cell r="EG32">
            <v>0.999</v>
          </cell>
          <cell r="EH32">
            <v>0.999</v>
          </cell>
          <cell r="EI32">
            <v>0.999</v>
          </cell>
          <cell r="EJ32">
            <v>0.999</v>
          </cell>
          <cell r="EK32">
            <v>0.999</v>
          </cell>
          <cell r="EL32">
            <v>0.999</v>
          </cell>
          <cell r="EM32">
            <v>0.999</v>
          </cell>
          <cell r="EN32">
            <v>0.999</v>
          </cell>
          <cell r="EO32">
            <v>0.999</v>
          </cell>
          <cell r="EP32">
            <v>0.997</v>
          </cell>
          <cell r="EQ32">
            <v>0.995</v>
          </cell>
          <cell r="ER32">
            <v>0.993</v>
          </cell>
          <cell r="ES32">
            <v>0.991</v>
          </cell>
          <cell r="ET32">
            <v>0.987</v>
          </cell>
          <cell r="EU32">
            <v>0.98</v>
          </cell>
          <cell r="EV32">
            <v>0.964</v>
          </cell>
          <cell r="EW32">
            <v>0.943</v>
          </cell>
          <cell r="EX32">
            <v>0.91</v>
          </cell>
          <cell r="EY32">
            <v>0.862</v>
          </cell>
          <cell r="EZ32">
            <v>0.8</v>
          </cell>
          <cell r="FA32">
            <v>0.724</v>
          </cell>
          <cell r="FB32">
            <v>0.638</v>
          </cell>
          <cell r="FC32">
            <v>0.542</v>
          </cell>
          <cell r="FD32">
            <v>0.433</v>
          </cell>
          <cell r="FE32">
            <v>0.568</v>
          </cell>
          <cell r="FF32">
            <v>0.837</v>
          </cell>
          <cell r="FG32">
            <v>0.96</v>
          </cell>
          <cell r="FH32">
            <v>0.98</v>
          </cell>
          <cell r="FI32">
            <v>0.998</v>
          </cell>
          <cell r="FJ32">
            <v>0.998</v>
          </cell>
          <cell r="FK32">
            <v>0.998</v>
          </cell>
          <cell r="FL32">
            <v>0.998</v>
          </cell>
          <cell r="FM32">
            <v>0.998</v>
          </cell>
          <cell r="FN32">
            <v>0.998</v>
          </cell>
          <cell r="FO32">
            <v>0.998</v>
          </cell>
          <cell r="FP32">
            <v>0.998</v>
          </cell>
          <cell r="FQ32">
            <v>0.998</v>
          </cell>
          <cell r="FR32">
            <v>0.998</v>
          </cell>
          <cell r="FS32">
            <v>0.998</v>
          </cell>
          <cell r="FT32">
            <v>0.998</v>
          </cell>
          <cell r="FU32">
            <v>0.998</v>
          </cell>
          <cell r="FV32">
            <v>0.998</v>
          </cell>
          <cell r="FW32">
            <v>0.998</v>
          </cell>
          <cell r="FX32">
            <v>0.998</v>
          </cell>
          <cell r="FY32">
            <v>0.998</v>
          </cell>
          <cell r="FZ32">
            <v>0.995</v>
          </cell>
          <cell r="GA32">
            <v>0.991</v>
          </cell>
          <cell r="GB32">
            <v>0.986</v>
          </cell>
          <cell r="GC32">
            <v>0.981</v>
          </cell>
          <cell r="GD32">
            <v>0.973</v>
          </cell>
          <cell r="GE32">
            <v>0.959</v>
          </cell>
          <cell r="GF32">
            <v>0.928</v>
          </cell>
          <cell r="GG32">
            <v>0.889</v>
          </cell>
          <cell r="GH32">
            <v>0.828</v>
          </cell>
          <cell r="GI32">
            <v>0.744</v>
          </cell>
          <cell r="GJ32">
            <v>0.639</v>
          </cell>
          <cell r="GK32">
            <v>0.523</v>
          </cell>
          <cell r="GL32">
            <v>0.406</v>
          </cell>
          <cell r="GM32">
            <v>0.295</v>
          </cell>
          <cell r="GN32">
            <v>0.189</v>
          </cell>
        </row>
        <row r="33">
          <cell r="B33" t="str">
            <v>H-LaK3</v>
          </cell>
          <cell r="C33">
            <v>747510</v>
          </cell>
          <cell r="D33">
            <v>50.95</v>
          </cell>
          <cell r="E33">
            <v>50.72</v>
          </cell>
          <cell r="F33">
            <v>0.01466</v>
          </cell>
          <cell r="G33">
            <v>0.014794</v>
          </cell>
          <cell r="H33">
            <v>1.706</v>
          </cell>
          <cell r="I33">
            <v>1.71332</v>
          </cell>
          <cell r="J33">
            <v>1.72133</v>
          </cell>
          <cell r="K33">
            <v>1.72838</v>
          </cell>
          <cell r="L33">
            <v>1.73069</v>
          </cell>
          <cell r="M33">
            <v>1.73471</v>
          </cell>
          <cell r="N33">
            <v>1.73747</v>
          </cell>
          <cell r="O33">
            <v>1.73998</v>
          </cell>
          <cell r="P33">
            <v>1.7425</v>
          </cell>
          <cell r="Q33">
            <v>1.7432</v>
          </cell>
          <cell r="R33">
            <v>1.74386</v>
          </cell>
          <cell r="S33">
            <v>1.7468</v>
          </cell>
          <cell r="T33">
            <v>1.74693</v>
          </cell>
          <cell r="U33">
            <v>1.75042</v>
          </cell>
          <cell r="V33">
            <v>1.75716</v>
          </cell>
          <cell r="W33">
            <v>1.75799</v>
          </cell>
          <cell r="X33">
            <v>1.76523</v>
          </cell>
          <cell r="Y33">
            <v>1.77195</v>
          </cell>
          <cell r="Z33">
            <v>1.7835</v>
          </cell>
          <cell r="AA33">
            <v>2.9896441</v>
          </cell>
          <cell r="AB33">
            <v>-0.015385395</v>
          </cell>
          <cell r="AC33">
            <v>0.0214098946</v>
          </cell>
          <cell r="AD33">
            <v>0.000735181833</v>
          </cell>
          <cell r="AE33">
            <v>-3.80789614e-5</v>
          </cell>
          <cell r="AF33">
            <v>2.29046629e-6</v>
          </cell>
          <cell r="AG33">
            <v>0.302182810368357</v>
          </cell>
          <cell r="AH33">
            <v>0.238062755798088</v>
          </cell>
          <cell r="AI33">
            <v>0.550477489768073</v>
          </cell>
          <cell r="AJ33">
            <v>0.25219743069642</v>
          </cell>
          <cell r="AK33">
            <v>0.235970250169035</v>
          </cell>
          <cell r="AL33">
            <v>0.489519945909412</v>
          </cell>
          <cell r="AM33">
            <v>-0.00232116616644517</v>
          </cell>
          <cell r="AN33">
            <v>-0.00849456023192652</v>
          </cell>
          <cell r="AO33">
            <v>0.01858975156888</v>
          </cell>
          <cell r="AP33">
            <v>0.00869789904501378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1</v>
          </cell>
          <cell r="CU33">
            <v>1</v>
          </cell>
          <cell r="CV33">
            <v>3</v>
          </cell>
          <cell r="CW33">
            <v>1</v>
          </cell>
          <cell r="CX33">
            <v>2</v>
          </cell>
          <cell r="CY33">
            <v>0</v>
          </cell>
          <cell r="CZ33">
            <v>0</v>
          </cell>
          <cell r="DA33">
            <v>658</v>
          </cell>
          <cell r="DB33">
            <v>694</v>
          </cell>
          <cell r="DC33">
            <v>603</v>
          </cell>
          <cell r="DD33">
            <v>641</v>
          </cell>
          <cell r="DE33">
            <v>53</v>
          </cell>
          <cell r="DF33">
            <v>0</v>
          </cell>
          <cell r="DG33">
            <v>66</v>
          </cell>
          <cell r="DH33">
            <v>0</v>
          </cell>
          <cell r="DI33">
            <v>165</v>
          </cell>
          <cell r="DJ33">
            <v>0</v>
          </cell>
          <cell r="DK33">
            <v>769</v>
          </cell>
          <cell r="DL33">
            <v>50</v>
          </cell>
          <cell r="DM33">
            <v>11884</v>
          </cell>
          <cell r="DN33">
            <v>4712</v>
          </cell>
          <cell r="DO33">
            <v>0.261</v>
          </cell>
          <cell r="DP33">
            <v>0</v>
          </cell>
          <cell r="DQ33" t="str">
            <v>370/300</v>
          </cell>
          <cell r="DR33">
            <v>0</v>
          </cell>
          <cell r="DS33">
            <v>0</v>
          </cell>
          <cell r="DT33">
            <v>4.1</v>
          </cell>
          <cell r="DU33">
            <v>0.779</v>
          </cell>
          <cell r="DV33">
            <v>0.931</v>
          </cell>
          <cell r="DW33">
            <v>0.986</v>
          </cell>
          <cell r="DX33">
            <v>0.997</v>
          </cell>
          <cell r="DY33">
            <v>0.999</v>
          </cell>
          <cell r="DZ33">
            <v>0.999</v>
          </cell>
          <cell r="EA33">
            <v>0.999</v>
          </cell>
          <cell r="EB33">
            <v>0.999</v>
          </cell>
          <cell r="EC33">
            <v>0.999</v>
          </cell>
          <cell r="ED33">
            <v>0.999</v>
          </cell>
          <cell r="EE33">
            <v>0.999</v>
          </cell>
          <cell r="EF33">
            <v>0.999</v>
          </cell>
          <cell r="EG33">
            <v>0.999</v>
          </cell>
          <cell r="EH33">
            <v>0.999</v>
          </cell>
          <cell r="EI33">
            <v>0.999</v>
          </cell>
          <cell r="EJ33">
            <v>0.999</v>
          </cell>
          <cell r="EK33">
            <v>0.999</v>
          </cell>
          <cell r="EL33">
            <v>0.999</v>
          </cell>
          <cell r="EM33">
            <v>0.999</v>
          </cell>
          <cell r="EN33">
            <v>0.999</v>
          </cell>
          <cell r="EO33">
            <v>0.999</v>
          </cell>
          <cell r="EP33">
            <v>0.997</v>
          </cell>
          <cell r="EQ33">
            <v>0.994</v>
          </cell>
          <cell r="ER33">
            <v>0.99</v>
          </cell>
          <cell r="ES33">
            <v>0.987</v>
          </cell>
          <cell r="ET33">
            <v>0.98</v>
          </cell>
          <cell r="EU33">
            <v>0.968</v>
          </cell>
          <cell r="EV33">
            <v>0.946</v>
          </cell>
          <cell r="EW33">
            <v>0.907</v>
          </cell>
          <cell r="EX33">
            <v>0.85</v>
          </cell>
          <cell r="EY33">
            <v>0.767</v>
          </cell>
          <cell r="EZ33">
            <v>0.64</v>
          </cell>
          <cell r="FA33">
            <v>0.42</v>
          </cell>
          <cell r="FB33">
            <v>0.155</v>
          </cell>
          <cell r="FC33">
            <v>0</v>
          </cell>
          <cell r="FD33">
            <v>0</v>
          </cell>
          <cell r="FE33">
            <v>0.612</v>
          </cell>
          <cell r="FF33">
            <v>0.868</v>
          </cell>
          <cell r="FG33">
            <v>0.963</v>
          </cell>
          <cell r="FH33">
            <v>0.994</v>
          </cell>
          <cell r="FI33">
            <v>0.998</v>
          </cell>
          <cell r="FJ33">
            <v>0.998</v>
          </cell>
          <cell r="FK33">
            <v>0.998</v>
          </cell>
          <cell r="FL33">
            <v>0.998</v>
          </cell>
          <cell r="FM33">
            <v>0.998</v>
          </cell>
          <cell r="FN33">
            <v>0.998</v>
          </cell>
          <cell r="FO33">
            <v>0.998</v>
          </cell>
          <cell r="FP33">
            <v>0.998</v>
          </cell>
          <cell r="FQ33">
            <v>0.998</v>
          </cell>
          <cell r="FR33">
            <v>0.998</v>
          </cell>
          <cell r="FS33">
            <v>0.998</v>
          </cell>
          <cell r="FT33">
            <v>0.998</v>
          </cell>
          <cell r="FU33">
            <v>0.998</v>
          </cell>
          <cell r="FV33">
            <v>0.998</v>
          </cell>
          <cell r="FW33">
            <v>0.998</v>
          </cell>
          <cell r="FX33">
            <v>0.998</v>
          </cell>
          <cell r="FY33">
            <v>0.997</v>
          </cell>
          <cell r="FZ33">
            <v>0.994</v>
          </cell>
          <cell r="GA33">
            <v>0.99</v>
          </cell>
          <cell r="GB33">
            <v>0.981</v>
          </cell>
          <cell r="GC33">
            <v>0.974</v>
          </cell>
          <cell r="GD33">
            <v>0.959</v>
          </cell>
          <cell r="GE33">
            <v>0.935</v>
          </cell>
          <cell r="GF33">
            <v>0.891</v>
          </cell>
          <cell r="GG33">
            <v>0.817</v>
          </cell>
          <cell r="GH33">
            <v>0.724</v>
          </cell>
          <cell r="GI33">
            <v>0.589</v>
          </cell>
          <cell r="GJ33">
            <v>0.41</v>
          </cell>
          <cell r="GK33">
            <v>0.18</v>
          </cell>
          <cell r="GL33">
            <v>0.034</v>
          </cell>
          <cell r="GM33">
            <v>0</v>
          </cell>
          <cell r="GN33">
            <v>0</v>
          </cell>
        </row>
        <row r="34">
          <cell r="B34" t="str">
            <v>H-LaK4L</v>
          </cell>
          <cell r="C34">
            <v>640602</v>
          </cell>
          <cell r="D34">
            <v>60.2</v>
          </cell>
          <cell r="E34">
            <v>60</v>
          </cell>
          <cell r="F34">
            <v>0.010631</v>
          </cell>
          <cell r="G34">
            <v>0.010709</v>
          </cell>
          <cell r="H34">
            <v>1.60415</v>
          </cell>
          <cell r="I34">
            <v>1.61142</v>
          </cell>
          <cell r="J34">
            <v>1.61918</v>
          </cell>
          <cell r="K34">
            <v>1.62562</v>
          </cell>
          <cell r="L34">
            <v>1.62759</v>
          </cell>
          <cell r="M34">
            <v>1.63083</v>
          </cell>
          <cell r="N34">
            <v>1.63296</v>
          </cell>
          <cell r="O34">
            <v>1.63486</v>
          </cell>
          <cell r="P34">
            <v>1.63674</v>
          </cell>
          <cell r="Q34">
            <v>1.63726</v>
          </cell>
          <cell r="R34">
            <v>1.63775</v>
          </cell>
          <cell r="S34">
            <v>1.6399</v>
          </cell>
          <cell r="T34">
            <v>1.64</v>
          </cell>
          <cell r="U34">
            <v>1.64254</v>
          </cell>
          <cell r="V34">
            <v>1.64737</v>
          </cell>
          <cell r="W34">
            <v>1.64797</v>
          </cell>
          <cell r="X34">
            <v>1.65305</v>
          </cell>
          <cell r="Y34">
            <v>1.65776</v>
          </cell>
          <cell r="Z34">
            <v>1.66574</v>
          </cell>
          <cell r="AA34">
            <v>2.65004076</v>
          </cell>
          <cell r="AB34">
            <v>-0.0146730544</v>
          </cell>
          <cell r="AC34">
            <v>0.0138448882</v>
          </cell>
          <cell r="AD34">
            <v>0.000700625352</v>
          </cell>
          <cell r="AE34">
            <v>-6.6225e-5</v>
          </cell>
          <cell r="AF34">
            <v>3.53607313e-6</v>
          </cell>
          <cell r="AG34">
            <v>0.306679209783617</v>
          </cell>
          <cell r="AH34">
            <v>0.238946378174977</v>
          </cell>
          <cell r="AI34">
            <v>0.534336782690494</v>
          </cell>
          <cell r="AJ34">
            <v>0.25583566760037</v>
          </cell>
          <cell r="AK34">
            <v>0.237161531279177</v>
          </cell>
          <cell r="AL34">
            <v>0.474323062558354</v>
          </cell>
          <cell r="AM34">
            <v>-0.0025951879585937</v>
          </cell>
          <cell r="AN34">
            <v>-0.00927101730950594</v>
          </cell>
          <cell r="AO34">
            <v>0.0289422016933267</v>
          </cell>
          <cell r="AP34">
            <v>0.0110936594543865</v>
          </cell>
          <cell r="AQ34">
            <v>2.7</v>
          </cell>
          <cell r="AR34">
            <v>2.6</v>
          </cell>
          <cell r="AS34">
            <v>2.6</v>
          </cell>
          <cell r="AT34">
            <v>2.6</v>
          </cell>
          <cell r="AU34">
            <v>2.6</v>
          </cell>
          <cell r="AV34">
            <v>2.8</v>
          </cell>
          <cell r="AW34">
            <v>3</v>
          </cell>
          <cell r="AX34">
            <v>3</v>
          </cell>
          <cell r="AY34">
            <v>2.9</v>
          </cell>
          <cell r="AZ34">
            <v>2.9</v>
          </cell>
          <cell r="BA34">
            <v>3</v>
          </cell>
          <cell r="BB34">
            <v>3.2</v>
          </cell>
          <cell r="BC34">
            <v>3</v>
          </cell>
          <cell r="BD34">
            <v>3</v>
          </cell>
          <cell r="BE34">
            <v>3</v>
          </cell>
          <cell r="BF34">
            <v>3</v>
          </cell>
          <cell r="BG34">
            <v>3</v>
          </cell>
          <cell r="BH34">
            <v>3.2</v>
          </cell>
          <cell r="BI34">
            <v>3.1</v>
          </cell>
          <cell r="BJ34">
            <v>3.1</v>
          </cell>
          <cell r="BK34">
            <v>3.1</v>
          </cell>
          <cell r="BL34">
            <v>3.1</v>
          </cell>
          <cell r="BM34">
            <v>3.1</v>
          </cell>
          <cell r="BN34">
            <v>3.3</v>
          </cell>
          <cell r="BO34">
            <v>3.3</v>
          </cell>
          <cell r="BP34">
            <v>3.2</v>
          </cell>
          <cell r="BQ34">
            <v>3.2</v>
          </cell>
          <cell r="BR34">
            <v>3.2</v>
          </cell>
          <cell r="BS34">
            <v>3.3</v>
          </cell>
          <cell r="BT34">
            <v>3.5</v>
          </cell>
          <cell r="BU34">
            <v>3.5</v>
          </cell>
          <cell r="BV34">
            <v>3.5</v>
          </cell>
          <cell r="BW34">
            <v>3.5</v>
          </cell>
          <cell r="BX34">
            <v>3.5</v>
          </cell>
          <cell r="BY34">
            <v>3.6</v>
          </cell>
          <cell r="BZ34">
            <v>3.8</v>
          </cell>
          <cell r="CA34">
            <v>3.8</v>
          </cell>
          <cell r="CB34">
            <v>3.8</v>
          </cell>
          <cell r="CC34">
            <v>3.8</v>
          </cell>
          <cell r="CD34">
            <v>3.8</v>
          </cell>
          <cell r="CE34">
            <v>3.9</v>
          </cell>
          <cell r="CF34">
            <v>4.1</v>
          </cell>
          <cell r="CG34">
            <v>0.8</v>
          </cell>
          <cell r="CH34">
            <v>1.1</v>
          </cell>
          <cell r="CI34">
            <v>1.3</v>
          </cell>
          <cell r="CJ34">
            <v>1.5</v>
          </cell>
          <cell r="CK34">
            <v>1.8</v>
          </cell>
          <cell r="CL34">
            <v>2.1</v>
          </cell>
          <cell r="CM34">
            <v>1.53e-6</v>
          </cell>
          <cell r="CN34">
            <v>1.007e-8</v>
          </cell>
          <cell r="CO34">
            <v>5.4e-12</v>
          </cell>
          <cell r="CP34">
            <v>4.53e-7</v>
          </cell>
          <cell r="CQ34">
            <v>7.092e-10</v>
          </cell>
          <cell r="CR34">
            <v>0.157</v>
          </cell>
          <cell r="CS34">
            <v>3</v>
          </cell>
          <cell r="CT34">
            <v>2</v>
          </cell>
          <cell r="CU34">
            <v>4</v>
          </cell>
          <cell r="CV34">
            <v>4</v>
          </cell>
          <cell r="CW34">
            <v>5</v>
          </cell>
          <cell r="CX34">
            <v>4</v>
          </cell>
          <cell r="CY34">
            <v>0</v>
          </cell>
          <cell r="CZ34">
            <v>0</v>
          </cell>
          <cell r="DA34">
            <v>651</v>
          </cell>
          <cell r="DB34">
            <v>683</v>
          </cell>
          <cell r="DC34">
            <v>603</v>
          </cell>
          <cell r="DD34">
            <v>637</v>
          </cell>
          <cell r="DE34">
            <v>62</v>
          </cell>
          <cell r="DF34">
            <v>0</v>
          </cell>
          <cell r="DG34">
            <v>80</v>
          </cell>
          <cell r="DH34">
            <v>0</v>
          </cell>
          <cell r="DI34">
            <v>115</v>
          </cell>
          <cell r="DJ34">
            <v>0</v>
          </cell>
          <cell r="DK34">
            <v>640</v>
          </cell>
          <cell r="DL34">
            <v>78</v>
          </cell>
          <cell r="DM34">
            <v>11330</v>
          </cell>
          <cell r="DN34">
            <v>4395</v>
          </cell>
          <cell r="DO34">
            <v>0.289</v>
          </cell>
          <cell r="DP34">
            <v>0</v>
          </cell>
          <cell r="DQ34" t="str">
            <v>355/270</v>
          </cell>
          <cell r="DR34">
            <v>334</v>
          </cell>
          <cell r="DS34">
            <v>266</v>
          </cell>
          <cell r="DT34">
            <v>2.98</v>
          </cell>
          <cell r="DU34">
            <v>0.777</v>
          </cell>
          <cell r="DV34">
            <v>0.926</v>
          </cell>
          <cell r="DW34">
            <v>0.985</v>
          </cell>
          <cell r="DX34">
            <v>0.999</v>
          </cell>
          <cell r="DY34">
            <v>0.999</v>
          </cell>
          <cell r="DZ34">
            <v>0.999</v>
          </cell>
          <cell r="EA34">
            <v>0.999</v>
          </cell>
          <cell r="EB34">
            <v>0.999</v>
          </cell>
          <cell r="EC34">
            <v>0.999</v>
          </cell>
          <cell r="ED34">
            <v>0.999</v>
          </cell>
          <cell r="EE34">
            <v>0.999</v>
          </cell>
          <cell r="EF34">
            <v>0.999</v>
          </cell>
          <cell r="EG34">
            <v>0.999</v>
          </cell>
          <cell r="EH34">
            <v>0.999</v>
          </cell>
          <cell r="EI34">
            <v>0.999</v>
          </cell>
          <cell r="EJ34">
            <v>0.999</v>
          </cell>
          <cell r="EK34">
            <v>0.999</v>
          </cell>
          <cell r="EL34">
            <v>0.999</v>
          </cell>
          <cell r="EM34">
            <v>0.999</v>
          </cell>
          <cell r="EN34">
            <v>0.998</v>
          </cell>
          <cell r="EO34">
            <v>0.997</v>
          </cell>
          <cell r="EP34">
            <v>0.995</v>
          </cell>
          <cell r="EQ34">
            <v>0.993</v>
          </cell>
          <cell r="ER34">
            <v>0.991</v>
          </cell>
          <cell r="ES34">
            <v>0.989</v>
          </cell>
          <cell r="ET34">
            <v>0.986</v>
          </cell>
          <cell r="EU34">
            <v>0.979</v>
          </cell>
          <cell r="EV34">
            <v>0.965</v>
          </cell>
          <cell r="EW34">
            <v>0.941</v>
          </cell>
          <cell r="EX34">
            <v>0.906</v>
          </cell>
          <cell r="EY34">
            <v>0.858</v>
          </cell>
          <cell r="EZ34">
            <v>0.791</v>
          </cell>
          <cell r="FA34">
            <v>0.706</v>
          </cell>
          <cell r="FB34">
            <v>0.612</v>
          </cell>
          <cell r="FC34">
            <v>0.514</v>
          </cell>
          <cell r="FD34">
            <v>0.419</v>
          </cell>
          <cell r="FE34">
            <v>0.604</v>
          </cell>
          <cell r="FF34">
            <v>0.857</v>
          </cell>
          <cell r="FG34">
            <v>0.97</v>
          </cell>
          <cell r="FH34">
            <v>0.998</v>
          </cell>
          <cell r="FI34">
            <v>0.998</v>
          </cell>
          <cell r="FJ34">
            <v>0.998</v>
          </cell>
          <cell r="FK34">
            <v>0.998</v>
          </cell>
          <cell r="FL34">
            <v>0.998</v>
          </cell>
          <cell r="FM34">
            <v>0.998</v>
          </cell>
          <cell r="FN34">
            <v>0.998</v>
          </cell>
          <cell r="FO34">
            <v>0.998</v>
          </cell>
          <cell r="FP34">
            <v>0.998</v>
          </cell>
          <cell r="FQ34">
            <v>0.998</v>
          </cell>
          <cell r="FR34">
            <v>0.998</v>
          </cell>
          <cell r="FS34">
            <v>0.998</v>
          </cell>
          <cell r="FT34">
            <v>0.998</v>
          </cell>
          <cell r="FU34">
            <v>0.998</v>
          </cell>
          <cell r="FV34">
            <v>0.998</v>
          </cell>
          <cell r="FW34">
            <v>0.998</v>
          </cell>
          <cell r="FX34">
            <v>0.996</v>
          </cell>
          <cell r="FY34">
            <v>0.993</v>
          </cell>
          <cell r="FZ34">
            <v>0.99</v>
          </cell>
          <cell r="GA34">
            <v>0.987</v>
          </cell>
          <cell r="GB34">
            <v>0.984</v>
          </cell>
          <cell r="GC34">
            <v>0.977</v>
          </cell>
          <cell r="GD34">
            <v>0.971</v>
          </cell>
          <cell r="GE34">
            <v>0.956</v>
          </cell>
          <cell r="GF34">
            <v>0.931</v>
          </cell>
          <cell r="GG34">
            <v>0.883</v>
          </cell>
          <cell r="GH34">
            <v>0.823</v>
          </cell>
          <cell r="GI34">
            <v>0.736</v>
          </cell>
          <cell r="GJ34">
            <v>0.628</v>
          </cell>
          <cell r="GK34">
            <v>0.505</v>
          </cell>
          <cell r="GL34">
            <v>0.38</v>
          </cell>
          <cell r="GM34">
            <v>0.271</v>
          </cell>
          <cell r="GN34">
            <v>0.183</v>
          </cell>
        </row>
        <row r="35">
          <cell r="B35" t="str">
            <v>H-LaK5</v>
          </cell>
          <cell r="C35">
            <v>678555</v>
          </cell>
          <cell r="D35">
            <v>55.52</v>
          </cell>
          <cell r="E35">
            <v>55.26</v>
          </cell>
          <cell r="F35">
            <v>0.012211</v>
          </cell>
          <cell r="G35">
            <v>0.012319</v>
          </cell>
          <cell r="H35">
            <v>1.64374</v>
          </cell>
          <cell r="I35">
            <v>1.64985</v>
          </cell>
          <cell r="J35">
            <v>1.65652</v>
          </cell>
          <cell r="K35">
            <v>1.66241</v>
          </cell>
          <cell r="L35">
            <v>1.66433</v>
          </cell>
          <cell r="M35">
            <v>1.66769</v>
          </cell>
          <cell r="N35">
            <v>1.66999</v>
          </cell>
          <cell r="O35">
            <v>1.6721</v>
          </cell>
          <cell r="P35">
            <v>1.6742</v>
          </cell>
          <cell r="Q35">
            <v>1.67479</v>
          </cell>
          <cell r="R35">
            <v>1.67534</v>
          </cell>
          <cell r="S35">
            <v>1.67779</v>
          </cell>
          <cell r="T35">
            <v>1.6779</v>
          </cell>
          <cell r="U35">
            <v>1.68081</v>
          </cell>
          <cell r="V35">
            <v>1.68641</v>
          </cell>
          <cell r="W35">
            <v>1.6871</v>
          </cell>
          <cell r="X35">
            <v>1.69306</v>
          </cell>
          <cell r="Y35">
            <v>1.6986</v>
          </cell>
          <cell r="Z35">
            <v>1.70808</v>
          </cell>
          <cell r="AA35">
            <v>2.76557263</v>
          </cell>
          <cell r="AB35">
            <v>-0.0123637271</v>
          </cell>
          <cell r="AC35">
            <v>0.0169982158</v>
          </cell>
          <cell r="AD35">
            <v>0.000722126985</v>
          </cell>
          <cell r="AE35">
            <v>-6.22373337e-5</v>
          </cell>
          <cell r="AF35">
            <v>3.67624447e-6</v>
          </cell>
          <cell r="AG35">
            <v>0.303030303030305</v>
          </cell>
          <cell r="AH35">
            <v>0.238329238329235</v>
          </cell>
          <cell r="AI35">
            <v>0.544635544635546</v>
          </cell>
          <cell r="AJ35">
            <v>0.252640129975624</v>
          </cell>
          <cell r="AK35">
            <v>0.236393176279444</v>
          </cell>
          <cell r="AL35">
            <v>0.484159220146218</v>
          </cell>
          <cell r="AM35">
            <v>-0.000912501359539367</v>
          </cell>
          <cell r="AN35">
            <v>-0.00674573536445408</v>
          </cell>
          <cell r="AO35">
            <v>-0.000796111646209685</v>
          </cell>
          <cell r="AP35">
            <v>-0.0004784668304679</v>
          </cell>
          <cell r="AQ35">
            <v>-0.2</v>
          </cell>
          <cell r="AR35">
            <v>-0.3</v>
          </cell>
          <cell r="AS35">
            <v>-0.3</v>
          </cell>
          <cell r="AT35">
            <v>-0.4</v>
          </cell>
          <cell r="AU35">
            <v>-0.4</v>
          </cell>
          <cell r="AV35">
            <v>-0.3</v>
          </cell>
          <cell r="AW35">
            <v>0.3</v>
          </cell>
          <cell r="AX35">
            <v>0.1</v>
          </cell>
          <cell r="AY35">
            <v>0.1</v>
          </cell>
          <cell r="AZ35">
            <v>0.1</v>
          </cell>
          <cell r="BA35">
            <v>0.2</v>
          </cell>
          <cell r="BB35">
            <v>0.2</v>
          </cell>
          <cell r="BC35">
            <v>0.3</v>
          </cell>
          <cell r="BD35">
            <v>0.2</v>
          </cell>
          <cell r="BE35">
            <v>0.1</v>
          </cell>
          <cell r="BF35">
            <v>0.1</v>
          </cell>
          <cell r="BG35">
            <v>0.2</v>
          </cell>
          <cell r="BH35">
            <v>0.3</v>
          </cell>
          <cell r="BI35">
            <v>0.4</v>
          </cell>
          <cell r="BJ35">
            <v>0.3</v>
          </cell>
          <cell r="BK35">
            <v>0.3</v>
          </cell>
          <cell r="BL35">
            <v>0.3</v>
          </cell>
          <cell r="BM35">
            <v>0.3</v>
          </cell>
          <cell r="BN35">
            <v>0.4</v>
          </cell>
          <cell r="BO35">
            <v>0.5</v>
          </cell>
          <cell r="BP35">
            <v>0.5</v>
          </cell>
          <cell r="BQ35">
            <v>0.4</v>
          </cell>
          <cell r="BR35">
            <v>0.4</v>
          </cell>
          <cell r="BS35">
            <v>0.5</v>
          </cell>
          <cell r="BT35">
            <v>0.6</v>
          </cell>
          <cell r="BU35">
            <v>0.9</v>
          </cell>
          <cell r="BV35">
            <v>0.8</v>
          </cell>
          <cell r="BW35">
            <v>0.8</v>
          </cell>
          <cell r="BX35">
            <v>0.8</v>
          </cell>
          <cell r="BY35">
            <v>0.9</v>
          </cell>
          <cell r="BZ35">
            <v>1</v>
          </cell>
          <cell r="CA35">
            <v>1.2</v>
          </cell>
          <cell r="CB35">
            <v>1.2</v>
          </cell>
          <cell r="CC35">
            <v>1.2</v>
          </cell>
          <cell r="CD35">
            <v>1.2</v>
          </cell>
          <cell r="CE35">
            <v>1.3</v>
          </cell>
          <cell r="CF35">
            <v>1.4</v>
          </cell>
          <cell r="CG35">
            <v>-2</v>
          </cell>
          <cell r="CH35">
            <v>-1.8</v>
          </cell>
          <cell r="CI35">
            <v>-1.5</v>
          </cell>
          <cell r="CJ35">
            <v>-1.3</v>
          </cell>
          <cell r="CK35">
            <v>-1.1</v>
          </cell>
          <cell r="CL35">
            <v>-0.9</v>
          </cell>
          <cell r="CM35">
            <v>-3.96e-6</v>
          </cell>
          <cell r="CN35">
            <v>9.97e-9</v>
          </cell>
          <cell r="CO35">
            <v>-3.83e-12</v>
          </cell>
          <cell r="CP35">
            <v>4.96e-7</v>
          </cell>
          <cell r="CQ35">
            <v>3.241e-10</v>
          </cell>
          <cell r="CR35">
            <v>0.184</v>
          </cell>
          <cell r="CS35">
            <v>3</v>
          </cell>
          <cell r="CT35">
            <v>3</v>
          </cell>
          <cell r="CU35">
            <v>4</v>
          </cell>
          <cell r="CV35">
            <v>4</v>
          </cell>
          <cell r="CW35">
            <v>2</v>
          </cell>
          <cell r="CX35">
            <v>5</v>
          </cell>
          <cell r="CY35">
            <v>0</v>
          </cell>
          <cell r="CZ35">
            <v>0</v>
          </cell>
          <cell r="DA35">
            <v>616</v>
          </cell>
          <cell r="DB35">
            <v>647</v>
          </cell>
          <cell r="DC35">
            <v>570</v>
          </cell>
          <cell r="DD35">
            <v>602</v>
          </cell>
          <cell r="DE35">
            <v>78</v>
          </cell>
          <cell r="DF35">
            <v>0</v>
          </cell>
          <cell r="DG35">
            <v>94</v>
          </cell>
          <cell r="DH35">
            <v>0</v>
          </cell>
          <cell r="DI35">
            <v>105</v>
          </cell>
          <cell r="DJ35">
            <v>0</v>
          </cell>
          <cell r="DK35">
            <v>551</v>
          </cell>
          <cell r="DL35">
            <v>165</v>
          </cell>
          <cell r="DM35">
            <v>9458</v>
          </cell>
          <cell r="DN35">
            <v>3721</v>
          </cell>
          <cell r="DO35">
            <v>0.271</v>
          </cell>
          <cell r="DP35">
            <v>0</v>
          </cell>
          <cell r="DQ35" t="str">
            <v>360/275</v>
          </cell>
          <cell r="DR35">
            <v>341</v>
          </cell>
          <cell r="DS35">
            <v>267</v>
          </cell>
          <cell r="DT35">
            <v>3.79</v>
          </cell>
          <cell r="DU35">
            <v>0.852</v>
          </cell>
          <cell r="DV35">
            <v>0.962</v>
          </cell>
          <cell r="DW35">
            <v>0.994</v>
          </cell>
          <cell r="DX35">
            <v>0.999</v>
          </cell>
          <cell r="DY35">
            <v>0.999</v>
          </cell>
          <cell r="DZ35">
            <v>0.999</v>
          </cell>
          <cell r="EA35">
            <v>0.999</v>
          </cell>
          <cell r="EB35">
            <v>0.999</v>
          </cell>
          <cell r="EC35">
            <v>0.999</v>
          </cell>
          <cell r="ED35">
            <v>0.999</v>
          </cell>
          <cell r="EE35">
            <v>0.999</v>
          </cell>
          <cell r="EF35">
            <v>0.999</v>
          </cell>
          <cell r="EG35">
            <v>0.999</v>
          </cell>
          <cell r="EH35">
            <v>0.999</v>
          </cell>
          <cell r="EI35">
            <v>0.999</v>
          </cell>
          <cell r="EJ35">
            <v>0.999</v>
          </cell>
          <cell r="EK35">
            <v>0.999</v>
          </cell>
          <cell r="EL35">
            <v>0.999</v>
          </cell>
          <cell r="EM35">
            <v>0.998</v>
          </cell>
          <cell r="EN35">
            <v>0.997</v>
          </cell>
          <cell r="EO35">
            <v>0.996</v>
          </cell>
          <cell r="EP35">
            <v>0.994</v>
          </cell>
          <cell r="EQ35">
            <v>0.992</v>
          </cell>
          <cell r="ER35">
            <v>0.99</v>
          </cell>
          <cell r="ES35">
            <v>0.987</v>
          </cell>
          <cell r="ET35">
            <v>0.982</v>
          </cell>
          <cell r="EU35">
            <v>0.967</v>
          </cell>
          <cell r="EV35">
            <v>0.95</v>
          </cell>
          <cell r="EW35">
            <v>0.907</v>
          </cell>
          <cell r="EX35">
            <v>0.853</v>
          </cell>
          <cell r="EY35">
            <v>0.778</v>
          </cell>
          <cell r="EZ35">
            <v>0.684</v>
          </cell>
          <cell r="FA35">
            <v>0.572</v>
          </cell>
          <cell r="FB35">
            <v>0.456</v>
          </cell>
          <cell r="FC35">
            <v>0.348</v>
          </cell>
          <cell r="FD35">
            <v>0.248</v>
          </cell>
          <cell r="FE35">
            <v>0.728</v>
          </cell>
          <cell r="FF35">
            <v>0.926</v>
          </cell>
          <cell r="FG35">
            <v>0.988</v>
          </cell>
          <cell r="FH35">
            <v>0.998</v>
          </cell>
          <cell r="FI35">
            <v>0.998</v>
          </cell>
          <cell r="FJ35">
            <v>0.998</v>
          </cell>
          <cell r="FK35">
            <v>0.998</v>
          </cell>
          <cell r="FL35">
            <v>0.998</v>
          </cell>
          <cell r="FM35">
            <v>0.998</v>
          </cell>
          <cell r="FN35">
            <v>0.998</v>
          </cell>
          <cell r="FO35">
            <v>0.998</v>
          </cell>
          <cell r="FP35">
            <v>0.998</v>
          </cell>
          <cell r="FQ35">
            <v>0.998</v>
          </cell>
          <cell r="FR35">
            <v>0.998</v>
          </cell>
          <cell r="FS35">
            <v>0.998</v>
          </cell>
          <cell r="FT35">
            <v>0.998</v>
          </cell>
          <cell r="FU35">
            <v>0.998</v>
          </cell>
          <cell r="FV35">
            <v>0.998</v>
          </cell>
          <cell r="FW35">
            <v>0.995</v>
          </cell>
          <cell r="FX35">
            <v>0.992</v>
          </cell>
          <cell r="FY35">
            <v>0.988</v>
          </cell>
          <cell r="FZ35">
            <v>0.984</v>
          </cell>
          <cell r="GA35">
            <v>0.98</v>
          </cell>
          <cell r="GB35">
            <v>0.975</v>
          </cell>
          <cell r="GC35">
            <v>0.969</v>
          </cell>
          <cell r="GD35">
            <v>0.959</v>
          </cell>
          <cell r="GE35">
            <v>0.937</v>
          </cell>
          <cell r="GF35">
            <v>0.894</v>
          </cell>
          <cell r="GG35">
            <v>0.827</v>
          </cell>
          <cell r="GH35">
            <v>0.734</v>
          </cell>
          <cell r="GI35">
            <v>0.613</v>
          </cell>
          <cell r="GJ35">
            <v>0.477</v>
          </cell>
          <cell r="GK35">
            <v>0.341</v>
          </cell>
          <cell r="GL35">
            <v>0.221</v>
          </cell>
          <cell r="GM35">
            <v>0.132</v>
          </cell>
          <cell r="GN35">
            <v>0.069</v>
          </cell>
        </row>
        <row r="36">
          <cell r="B36" t="str">
            <v>H-LaK6</v>
          </cell>
          <cell r="C36">
            <v>694533</v>
          </cell>
          <cell r="D36">
            <v>53.31</v>
          </cell>
          <cell r="E36">
            <v>53.11</v>
          </cell>
          <cell r="F36">
            <v>0.013008</v>
          </cell>
          <cell r="G36">
            <v>0.013115</v>
          </cell>
          <cell r="H36">
            <v>1.65447</v>
          </cell>
          <cell r="I36">
            <v>1.66194</v>
          </cell>
          <cell r="J36">
            <v>1.66995</v>
          </cell>
          <cell r="K36">
            <v>1.67675</v>
          </cell>
          <cell r="L36">
            <v>1.6789</v>
          </cell>
          <cell r="M36">
            <v>1.68256</v>
          </cell>
          <cell r="N36">
            <v>1.68504</v>
          </cell>
          <cell r="O36">
            <v>1.68729</v>
          </cell>
          <cell r="P36">
            <v>1.68955</v>
          </cell>
          <cell r="Q36">
            <v>1.69018</v>
          </cell>
          <cell r="R36">
            <v>1.69076</v>
          </cell>
          <cell r="S36">
            <v>1.69338</v>
          </cell>
          <cell r="T36">
            <v>1.6935</v>
          </cell>
          <cell r="U36">
            <v>1.6966</v>
          </cell>
          <cell r="V36">
            <v>1.70256</v>
          </cell>
          <cell r="W36">
            <v>1.7033</v>
          </cell>
          <cell r="X36">
            <v>1.70965</v>
          </cell>
          <cell r="Y36">
            <v>1.71552</v>
          </cell>
          <cell r="Z36">
            <v>1.72568</v>
          </cell>
          <cell r="AA36">
            <v>2.81759388</v>
          </cell>
          <cell r="AB36">
            <v>-0.015413857</v>
          </cell>
          <cell r="AC36">
            <v>0.0161918416</v>
          </cell>
          <cell r="AD36">
            <v>0.00145166636</v>
          </cell>
          <cell r="AE36">
            <v>-0.000169121007</v>
          </cell>
          <cell r="AF36">
            <v>9.65290369e-6</v>
          </cell>
          <cell r="AG36">
            <v>0.303612605687925</v>
          </cell>
          <cell r="AH36">
            <v>0.23827824750193</v>
          </cell>
          <cell r="AI36">
            <v>0.544965411222124</v>
          </cell>
          <cell r="AJ36">
            <v>0.253048780487804</v>
          </cell>
          <cell r="AK36">
            <v>0.236280487804886</v>
          </cell>
          <cell r="AL36">
            <v>0.483993902439013</v>
          </cell>
          <cell r="AM36">
            <v>-0.00266373318985544</v>
          </cell>
          <cell r="AN36">
            <v>-0.0100866787778757</v>
          </cell>
          <cell r="AO36">
            <v>0.0201608160953172</v>
          </cell>
          <cell r="AP36">
            <v>0.00893501614143505</v>
          </cell>
          <cell r="AQ36">
            <v>4.9</v>
          </cell>
          <cell r="AR36">
            <v>4.6</v>
          </cell>
          <cell r="AS36">
            <v>4.6</v>
          </cell>
          <cell r="AT36">
            <v>4.7</v>
          </cell>
          <cell r="AU36">
            <v>4.9</v>
          </cell>
          <cell r="AV36">
            <v>5</v>
          </cell>
          <cell r="AW36">
            <v>5.3</v>
          </cell>
          <cell r="AX36">
            <v>5.2</v>
          </cell>
          <cell r="AY36">
            <v>5.1</v>
          </cell>
          <cell r="AZ36">
            <v>5.2</v>
          </cell>
          <cell r="BA36">
            <v>5.4</v>
          </cell>
          <cell r="BB36">
            <v>5.6</v>
          </cell>
          <cell r="BC36">
            <v>5.4</v>
          </cell>
          <cell r="BD36">
            <v>5.2</v>
          </cell>
          <cell r="BE36">
            <v>5.2</v>
          </cell>
          <cell r="BF36">
            <v>5.3</v>
          </cell>
          <cell r="BG36">
            <v>5.5</v>
          </cell>
          <cell r="BH36">
            <v>5.7</v>
          </cell>
          <cell r="BI36">
            <v>5.5</v>
          </cell>
          <cell r="BJ36">
            <v>5.3</v>
          </cell>
          <cell r="BK36">
            <v>5.3</v>
          </cell>
          <cell r="BL36">
            <v>5.4</v>
          </cell>
          <cell r="BM36">
            <v>5.6</v>
          </cell>
          <cell r="BN36">
            <v>5.8</v>
          </cell>
          <cell r="BO36">
            <v>5.7</v>
          </cell>
          <cell r="BP36">
            <v>5.5</v>
          </cell>
          <cell r="BQ36">
            <v>5.5</v>
          </cell>
          <cell r="BR36">
            <v>5.6</v>
          </cell>
          <cell r="BS36">
            <v>5.8</v>
          </cell>
          <cell r="BT36">
            <v>6</v>
          </cell>
          <cell r="BU36">
            <v>6.1</v>
          </cell>
          <cell r="BV36">
            <v>5.9</v>
          </cell>
          <cell r="BW36">
            <v>5.9</v>
          </cell>
          <cell r="BX36">
            <v>6.1</v>
          </cell>
          <cell r="BY36">
            <v>6.3</v>
          </cell>
          <cell r="BZ36">
            <v>6.5</v>
          </cell>
          <cell r="CA36">
            <v>6.5</v>
          </cell>
          <cell r="CB36">
            <v>6.3</v>
          </cell>
          <cell r="CC36">
            <v>6.4</v>
          </cell>
          <cell r="CD36">
            <v>6.5</v>
          </cell>
          <cell r="CE36">
            <v>6.8</v>
          </cell>
          <cell r="CF36">
            <v>7</v>
          </cell>
          <cell r="CG36">
            <v>3.1</v>
          </cell>
          <cell r="CH36">
            <v>3.2</v>
          </cell>
          <cell r="CI36">
            <v>3.5</v>
          </cell>
          <cell r="CJ36">
            <v>3.8</v>
          </cell>
          <cell r="CK36">
            <v>4.2</v>
          </cell>
          <cell r="CL36">
            <v>4.5</v>
          </cell>
          <cell r="CM36">
            <v>5.24e-6</v>
          </cell>
          <cell r="CN36">
            <v>1.129e-8</v>
          </cell>
          <cell r="CO36">
            <v>2.883e-11</v>
          </cell>
          <cell r="CP36">
            <v>5.66e-7</v>
          </cell>
          <cell r="CQ36">
            <v>6.518e-10</v>
          </cell>
          <cell r="CR36">
            <v>0.144</v>
          </cell>
          <cell r="CS36">
            <v>2</v>
          </cell>
          <cell r="CT36">
            <v>3</v>
          </cell>
          <cell r="CU36">
            <v>1</v>
          </cell>
          <cell r="CV36">
            <v>3</v>
          </cell>
          <cell r="CW36">
            <v>1</v>
          </cell>
          <cell r="CX36">
            <v>2</v>
          </cell>
          <cell r="CY36">
            <v>0</v>
          </cell>
          <cell r="CZ36">
            <v>0</v>
          </cell>
          <cell r="DA36">
            <v>631</v>
          </cell>
          <cell r="DB36">
            <v>669</v>
          </cell>
          <cell r="DC36">
            <v>580</v>
          </cell>
          <cell r="DD36">
            <v>625</v>
          </cell>
          <cell r="DE36">
            <v>51</v>
          </cell>
          <cell r="DF36">
            <v>0</v>
          </cell>
          <cell r="DG36">
            <v>67</v>
          </cell>
          <cell r="DH36">
            <v>0</v>
          </cell>
          <cell r="DI36">
            <v>145</v>
          </cell>
          <cell r="DJ36">
            <v>0</v>
          </cell>
          <cell r="DK36">
            <v>665</v>
          </cell>
          <cell r="DL36">
            <v>84</v>
          </cell>
          <cell r="DM36">
            <v>11043</v>
          </cell>
          <cell r="DN36">
            <v>4280</v>
          </cell>
          <cell r="DO36">
            <v>0.29</v>
          </cell>
          <cell r="DP36">
            <v>2.08</v>
          </cell>
          <cell r="DQ36" t="str">
            <v>370/300</v>
          </cell>
          <cell r="DR36">
            <v>0</v>
          </cell>
          <cell r="DS36">
            <v>0</v>
          </cell>
          <cell r="DT36">
            <v>3.57</v>
          </cell>
          <cell r="DU36">
            <v>0.752</v>
          </cell>
          <cell r="DV36">
            <v>0.915</v>
          </cell>
          <cell r="DW36">
            <v>0.983</v>
          </cell>
          <cell r="DX36">
            <v>0.998</v>
          </cell>
          <cell r="DY36">
            <v>0.999</v>
          </cell>
          <cell r="DZ36">
            <v>0.999</v>
          </cell>
          <cell r="EA36">
            <v>0.999</v>
          </cell>
          <cell r="EB36">
            <v>0.999</v>
          </cell>
          <cell r="EC36">
            <v>0.999</v>
          </cell>
          <cell r="ED36">
            <v>0.999</v>
          </cell>
          <cell r="EE36">
            <v>0.999</v>
          </cell>
          <cell r="EF36">
            <v>0.999</v>
          </cell>
          <cell r="EG36">
            <v>0.999</v>
          </cell>
          <cell r="EH36">
            <v>0.999</v>
          </cell>
          <cell r="EI36">
            <v>0.999</v>
          </cell>
          <cell r="EJ36">
            <v>0.999</v>
          </cell>
          <cell r="EK36">
            <v>0.999</v>
          </cell>
          <cell r="EL36">
            <v>0.999</v>
          </cell>
          <cell r="EM36">
            <v>0.999</v>
          </cell>
          <cell r="EN36">
            <v>0.999</v>
          </cell>
          <cell r="EO36">
            <v>0.999</v>
          </cell>
          <cell r="EP36">
            <v>0.999</v>
          </cell>
          <cell r="EQ36">
            <v>0.994</v>
          </cell>
          <cell r="ER36">
            <v>0.99</v>
          </cell>
          <cell r="ES36">
            <v>0.987</v>
          </cell>
          <cell r="ET36">
            <v>0.981</v>
          </cell>
          <cell r="EU36">
            <v>0.971</v>
          </cell>
          <cell r="EV36">
            <v>0.955</v>
          </cell>
          <cell r="EW36">
            <v>0.924</v>
          </cell>
          <cell r="EX36">
            <v>0.879</v>
          </cell>
          <cell r="EY36">
            <v>0.81</v>
          </cell>
          <cell r="EZ36">
            <v>0.707</v>
          </cell>
          <cell r="FA36">
            <v>0.551</v>
          </cell>
          <cell r="FB36">
            <v>0.301</v>
          </cell>
          <cell r="FC36">
            <v>0</v>
          </cell>
          <cell r="FD36">
            <v>0</v>
          </cell>
          <cell r="FE36">
            <v>0.566</v>
          </cell>
          <cell r="FF36">
            <v>0.837</v>
          </cell>
          <cell r="FG36">
            <v>0.966</v>
          </cell>
          <cell r="FH36">
            <v>0.996</v>
          </cell>
          <cell r="FI36">
            <v>0.998</v>
          </cell>
          <cell r="FJ36">
            <v>0.998</v>
          </cell>
          <cell r="FK36">
            <v>0.998</v>
          </cell>
          <cell r="FL36">
            <v>0.998</v>
          </cell>
          <cell r="FM36">
            <v>0.998</v>
          </cell>
          <cell r="FN36">
            <v>0.998</v>
          </cell>
          <cell r="FO36">
            <v>0.998</v>
          </cell>
          <cell r="FP36">
            <v>0.998</v>
          </cell>
          <cell r="FQ36">
            <v>0.998</v>
          </cell>
          <cell r="FR36">
            <v>0.998</v>
          </cell>
          <cell r="FS36">
            <v>0.998</v>
          </cell>
          <cell r="FT36">
            <v>0.998</v>
          </cell>
          <cell r="FU36">
            <v>0.998</v>
          </cell>
          <cell r="FV36">
            <v>0.998</v>
          </cell>
          <cell r="FW36">
            <v>0.998</v>
          </cell>
          <cell r="FX36">
            <v>0.998</v>
          </cell>
          <cell r="FY36">
            <v>0.998</v>
          </cell>
          <cell r="FZ36">
            <v>0.998</v>
          </cell>
          <cell r="GA36">
            <v>0.989</v>
          </cell>
          <cell r="GB36">
            <v>0.985</v>
          </cell>
          <cell r="GC36">
            <v>0.977</v>
          </cell>
          <cell r="GD36">
            <v>0.966</v>
          </cell>
          <cell r="GE36">
            <v>0.946</v>
          </cell>
          <cell r="GF36">
            <v>0.91</v>
          </cell>
          <cell r="GG36">
            <v>0.856</v>
          </cell>
          <cell r="GH36">
            <v>0.771</v>
          </cell>
          <cell r="GI36">
            <v>0.654</v>
          </cell>
          <cell r="GJ36">
            <v>0.499</v>
          </cell>
          <cell r="GK36">
            <v>0.3</v>
          </cell>
          <cell r="GL36">
            <v>0.089</v>
          </cell>
          <cell r="GM36">
            <v>0</v>
          </cell>
          <cell r="GN36">
            <v>0</v>
          </cell>
        </row>
        <row r="37">
          <cell r="B37" t="str">
            <v>H-LaK7</v>
          </cell>
          <cell r="C37">
            <v>713539</v>
          </cell>
          <cell r="D37">
            <v>53.94</v>
          </cell>
          <cell r="E37">
            <v>53.72</v>
          </cell>
          <cell r="F37">
            <v>0.013219</v>
          </cell>
          <cell r="G37">
            <v>0.013332</v>
          </cell>
          <cell r="H37">
            <v>1.6745</v>
          </cell>
          <cell r="I37">
            <v>1.68161</v>
          </cell>
          <cell r="J37">
            <v>1.68931</v>
          </cell>
          <cell r="K37">
            <v>1.69601</v>
          </cell>
          <cell r="L37">
            <v>1.69817</v>
          </cell>
          <cell r="M37">
            <v>1.70189</v>
          </cell>
          <cell r="N37">
            <v>1.70441</v>
          </cell>
          <cell r="O37">
            <v>1.70669</v>
          </cell>
          <cell r="P37">
            <v>1.70898</v>
          </cell>
          <cell r="Q37">
            <v>1.70962</v>
          </cell>
          <cell r="R37">
            <v>1.71022</v>
          </cell>
          <cell r="S37">
            <v>1.71288</v>
          </cell>
          <cell r="T37">
            <v>1.713</v>
          </cell>
          <cell r="U37">
            <v>1.71615</v>
          </cell>
          <cell r="V37">
            <v>1.7222</v>
          </cell>
          <cell r="W37">
            <v>1.72295</v>
          </cell>
          <cell r="X37">
            <v>1.72944</v>
          </cell>
          <cell r="Y37">
            <v>1.73546</v>
          </cell>
          <cell r="Z37">
            <v>1.74574</v>
          </cell>
          <cell r="AA37">
            <v>2.87994619</v>
          </cell>
          <cell r="AB37">
            <v>-0.0147018214</v>
          </cell>
          <cell r="AC37">
            <v>0.0189115151</v>
          </cell>
          <cell r="AD37">
            <v>0.000642514043</v>
          </cell>
          <cell r="AE37">
            <v>-3.44801288e-5</v>
          </cell>
          <cell r="AF37">
            <v>1.9114769e-6</v>
          </cell>
          <cell r="AG37">
            <v>0.304084720121039</v>
          </cell>
          <cell r="AH37">
            <v>0.238275340393342</v>
          </cell>
          <cell r="AI37">
            <v>0.547655068078678</v>
          </cell>
          <cell r="AJ37">
            <v>0.253563390847723</v>
          </cell>
          <cell r="AK37">
            <v>0.236309077269315</v>
          </cell>
          <cell r="AL37">
            <v>0.486871717929488</v>
          </cell>
          <cell r="AM37">
            <v>-0.00278518051438093</v>
          </cell>
          <cell r="AN37">
            <v>-0.00635059192132148</v>
          </cell>
          <cell r="AO37">
            <v>0.0162072138577896</v>
          </cell>
          <cell r="AP37">
            <v>0.006452623298036</v>
          </cell>
          <cell r="AQ37">
            <v>3.6</v>
          </cell>
          <cell r="AR37">
            <v>3.6</v>
          </cell>
          <cell r="AS37">
            <v>3.6</v>
          </cell>
          <cell r="AT37">
            <v>3.6</v>
          </cell>
          <cell r="AU37">
            <v>3.7</v>
          </cell>
          <cell r="AV37">
            <v>3.8</v>
          </cell>
          <cell r="AW37">
            <v>4.1</v>
          </cell>
          <cell r="AX37">
            <v>4.1</v>
          </cell>
          <cell r="AY37">
            <v>4.1</v>
          </cell>
          <cell r="AZ37">
            <v>4.1</v>
          </cell>
          <cell r="BA37">
            <v>4.2</v>
          </cell>
          <cell r="BB37">
            <v>4.4</v>
          </cell>
          <cell r="BC37">
            <v>4.1</v>
          </cell>
          <cell r="BD37">
            <v>4.1</v>
          </cell>
          <cell r="BE37">
            <v>4.1</v>
          </cell>
          <cell r="BF37">
            <v>4.2</v>
          </cell>
          <cell r="BG37">
            <v>4.2</v>
          </cell>
          <cell r="BH37">
            <v>4.4</v>
          </cell>
          <cell r="BI37">
            <v>4.3</v>
          </cell>
          <cell r="BJ37">
            <v>4.3</v>
          </cell>
          <cell r="BK37">
            <v>4.3</v>
          </cell>
          <cell r="BL37">
            <v>4.3</v>
          </cell>
          <cell r="BM37">
            <v>4.4</v>
          </cell>
          <cell r="BN37">
            <v>4.6</v>
          </cell>
          <cell r="BO37">
            <v>4.4</v>
          </cell>
          <cell r="BP37">
            <v>4.4</v>
          </cell>
          <cell r="BQ37">
            <v>4.5</v>
          </cell>
          <cell r="BR37">
            <v>4.5</v>
          </cell>
          <cell r="BS37">
            <v>4.6</v>
          </cell>
          <cell r="BT37">
            <v>4.8</v>
          </cell>
          <cell r="BU37">
            <v>4.8</v>
          </cell>
          <cell r="BV37">
            <v>4.9</v>
          </cell>
          <cell r="BW37">
            <v>4.9</v>
          </cell>
          <cell r="BX37">
            <v>5</v>
          </cell>
          <cell r="BY37">
            <v>5.1</v>
          </cell>
          <cell r="BZ37">
            <v>5.3</v>
          </cell>
          <cell r="CA37">
            <v>5.3</v>
          </cell>
          <cell r="CB37">
            <v>5.3</v>
          </cell>
          <cell r="CC37">
            <v>5.4</v>
          </cell>
          <cell r="CD37">
            <v>5.4</v>
          </cell>
          <cell r="CE37">
            <v>5.6</v>
          </cell>
          <cell r="CF37">
            <v>5.8</v>
          </cell>
          <cell r="CG37">
            <v>1.8</v>
          </cell>
          <cell r="CH37">
            <v>2.1</v>
          </cell>
          <cell r="CI37">
            <v>2.4</v>
          </cell>
          <cell r="CJ37">
            <v>2.7</v>
          </cell>
          <cell r="CK37">
            <v>2.9</v>
          </cell>
          <cell r="CL37">
            <v>3.2</v>
          </cell>
          <cell r="CM37">
            <v>3.1e-6</v>
          </cell>
          <cell r="CN37">
            <v>1.136e-8</v>
          </cell>
          <cell r="CO37">
            <v>3.68e-12</v>
          </cell>
          <cell r="CP37">
            <v>4.7e-7</v>
          </cell>
          <cell r="CQ37">
            <v>4.772e-10</v>
          </cell>
          <cell r="CR37">
            <v>0.226</v>
          </cell>
          <cell r="CS37">
            <v>1</v>
          </cell>
          <cell r="CT37">
            <v>2</v>
          </cell>
          <cell r="CU37">
            <v>1</v>
          </cell>
          <cell r="CV37">
            <v>3</v>
          </cell>
          <cell r="CW37">
            <v>1</v>
          </cell>
          <cell r="CX37">
            <v>2</v>
          </cell>
          <cell r="CY37">
            <v>0</v>
          </cell>
          <cell r="CZ37">
            <v>0</v>
          </cell>
          <cell r="DA37">
            <v>627</v>
          </cell>
          <cell r="DB37">
            <v>662</v>
          </cell>
          <cell r="DC37">
            <v>573</v>
          </cell>
          <cell r="DD37">
            <v>619</v>
          </cell>
          <cell r="DE37">
            <v>61</v>
          </cell>
          <cell r="DF37">
            <v>0</v>
          </cell>
          <cell r="DG37">
            <v>77</v>
          </cell>
          <cell r="DH37">
            <v>0</v>
          </cell>
          <cell r="DI37">
            <v>142</v>
          </cell>
          <cell r="DJ37">
            <v>0</v>
          </cell>
          <cell r="DK37">
            <v>626</v>
          </cell>
          <cell r="DL37">
            <v>76</v>
          </cell>
          <cell r="DM37">
            <v>11592</v>
          </cell>
          <cell r="DN37">
            <v>4490</v>
          </cell>
          <cell r="DO37">
            <v>0.291</v>
          </cell>
          <cell r="DP37">
            <v>0</v>
          </cell>
          <cell r="DQ37" t="str">
            <v>360/270</v>
          </cell>
          <cell r="DR37">
            <v>338</v>
          </cell>
          <cell r="DS37">
            <v>268</v>
          </cell>
          <cell r="DT37">
            <v>3.78</v>
          </cell>
          <cell r="DU37">
            <v>0.774</v>
          </cell>
          <cell r="DV37">
            <v>0.924</v>
          </cell>
          <cell r="DW37">
            <v>0.986</v>
          </cell>
          <cell r="DX37">
            <v>0.999</v>
          </cell>
          <cell r="DY37">
            <v>0.999</v>
          </cell>
          <cell r="DZ37">
            <v>0.999</v>
          </cell>
          <cell r="EA37">
            <v>0.999</v>
          </cell>
          <cell r="EB37">
            <v>0.999</v>
          </cell>
          <cell r="EC37">
            <v>0.999</v>
          </cell>
          <cell r="ED37">
            <v>0.999</v>
          </cell>
          <cell r="EE37">
            <v>0.999</v>
          </cell>
          <cell r="EF37">
            <v>0.999</v>
          </cell>
          <cell r="EG37">
            <v>0.999</v>
          </cell>
          <cell r="EH37">
            <v>0.999</v>
          </cell>
          <cell r="EI37">
            <v>0.999</v>
          </cell>
          <cell r="EJ37">
            <v>0.999</v>
          </cell>
          <cell r="EK37">
            <v>0.999</v>
          </cell>
          <cell r="EL37">
            <v>0.999</v>
          </cell>
          <cell r="EM37">
            <v>0.999</v>
          </cell>
          <cell r="EN37">
            <v>0.999</v>
          </cell>
          <cell r="EO37">
            <v>0.998</v>
          </cell>
          <cell r="EP37">
            <v>0.997</v>
          </cell>
          <cell r="EQ37">
            <v>0.995</v>
          </cell>
          <cell r="ER37">
            <v>0.993</v>
          </cell>
          <cell r="ES37">
            <v>0.99</v>
          </cell>
          <cell r="ET37">
            <v>0.987</v>
          </cell>
          <cell r="EU37">
            <v>0.975</v>
          </cell>
          <cell r="EV37">
            <v>0.95</v>
          </cell>
          <cell r="EW37">
            <v>0.914</v>
          </cell>
          <cell r="EX37">
            <v>0.86</v>
          </cell>
          <cell r="EY37">
            <v>0.785</v>
          </cell>
          <cell r="EZ37">
            <v>0.687</v>
          </cell>
          <cell r="FA37">
            <v>0.577</v>
          </cell>
          <cell r="FB37">
            <v>0.464</v>
          </cell>
          <cell r="FC37">
            <v>0.355</v>
          </cell>
          <cell r="FD37">
            <v>0.248</v>
          </cell>
          <cell r="FE37">
            <v>0.6</v>
          </cell>
          <cell r="FF37">
            <v>0.854</v>
          </cell>
          <cell r="FG37">
            <v>0.972</v>
          </cell>
          <cell r="FH37">
            <v>0.998</v>
          </cell>
          <cell r="FI37">
            <v>0.998</v>
          </cell>
          <cell r="FJ37">
            <v>0.998</v>
          </cell>
          <cell r="FK37">
            <v>0.998</v>
          </cell>
          <cell r="FL37">
            <v>0.998</v>
          </cell>
          <cell r="FM37">
            <v>0.998</v>
          </cell>
          <cell r="FN37">
            <v>0.998</v>
          </cell>
          <cell r="FO37">
            <v>0.998</v>
          </cell>
          <cell r="FP37">
            <v>0.998</v>
          </cell>
          <cell r="FQ37">
            <v>0.998</v>
          </cell>
          <cell r="FR37">
            <v>0.998</v>
          </cell>
          <cell r="FS37">
            <v>0.998</v>
          </cell>
          <cell r="FT37">
            <v>0.998</v>
          </cell>
          <cell r="FU37">
            <v>0.998</v>
          </cell>
          <cell r="FV37">
            <v>0.998</v>
          </cell>
          <cell r="FW37">
            <v>0.998</v>
          </cell>
          <cell r="FX37">
            <v>0.998</v>
          </cell>
          <cell r="FY37">
            <v>0.996</v>
          </cell>
          <cell r="FZ37">
            <v>0.993</v>
          </cell>
          <cell r="GA37">
            <v>0.99</v>
          </cell>
          <cell r="GB37">
            <v>0.984</v>
          </cell>
          <cell r="GC37">
            <v>0.977</v>
          </cell>
          <cell r="GD37">
            <v>0.964</v>
          </cell>
          <cell r="GE37">
            <v>0.939</v>
          </cell>
          <cell r="GF37">
            <v>0.899</v>
          </cell>
          <cell r="GG37">
            <v>0.833</v>
          </cell>
          <cell r="GH37">
            <v>0.738</v>
          </cell>
          <cell r="GI37">
            <v>0.614</v>
          </cell>
          <cell r="GJ37">
            <v>0.473</v>
          </cell>
          <cell r="GK37">
            <v>0.334</v>
          </cell>
          <cell r="GL37">
            <v>0.217</v>
          </cell>
          <cell r="GM37">
            <v>0.128</v>
          </cell>
          <cell r="GN37">
            <v>0.063</v>
          </cell>
        </row>
        <row r="38">
          <cell r="B38" t="str">
            <v>H-LaK8A</v>
          </cell>
          <cell r="C38">
            <v>720503</v>
          </cell>
          <cell r="D38">
            <v>50.34</v>
          </cell>
          <cell r="E38">
            <v>50.1</v>
          </cell>
          <cell r="F38">
            <v>0.014302</v>
          </cell>
          <cell r="G38">
            <v>0.014439</v>
          </cell>
          <cell r="H38">
            <v>1.68225</v>
          </cell>
          <cell r="I38">
            <v>1.68879</v>
          </cell>
          <cell r="J38">
            <v>1.69593</v>
          </cell>
          <cell r="K38">
            <v>1.70232</v>
          </cell>
          <cell r="L38">
            <v>1.70446</v>
          </cell>
          <cell r="M38">
            <v>1.70822</v>
          </cell>
          <cell r="N38">
            <v>1.71083</v>
          </cell>
          <cell r="O38">
            <v>1.71324</v>
          </cell>
          <cell r="P38">
            <v>1.71568</v>
          </cell>
          <cell r="Q38">
            <v>1.71636</v>
          </cell>
          <cell r="R38">
            <v>1.717</v>
          </cell>
          <cell r="S38">
            <v>1.71987</v>
          </cell>
          <cell r="T38">
            <v>1.72</v>
          </cell>
          <cell r="U38">
            <v>1.72341</v>
          </cell>
          <cell r="V38">
            <v>1.72998</v>
          </cell>
          <cell r="W38">
            <v>1.7308</v>
          </cell>
          <cell r="X38">
            <v>1.73787</v>
          </cell>
          <cell r="Y38">
            <v>1.74444</v>
          </cell>
          <cell r="Z38">
            <v>1.75588</v>
          </cell>
          <cell r="AA38">
            <v>2.89934659</v>
          </cell>
          <cell r="AB38">
            <v>-0.0134883796</v>
          </cell>
          <cell r="AC38">
            <v>0.01906067</v>
          </cell>
          <cell r="AD38">
            <v>0.00136273269</v>
          </cell>
          <cell r="AE38">
            <v>-0.000147866373</v>
          </cell>
          <cell r="AF38">
            <v>8.90376125e-6</v>
          </cell>
          <cell r="AG38">
            <v>0.302097902097894</v>
          </cell>
          <cell r="AH38">
            <v>0.238461538461548</v>
          </cell>
          <cell r="AI38">
            <v>0.551748251748249</v>
          </cell>
          <cell r="AJ38">
            <v>0.252077562326864</v>
          </cell>
          <cell r="AK38">
            <v>0.236149584487547</v>
          </cell>
          <cell r="AL38">
            <v>0.489612188365667</v>
          </cell>
          <cell r="AM38">
            <v>-0.00297176055944241</v>
          </cell>
          <cell r="AN38">
            <v>-0.00823700825175068</v>
          </cell>
          <cell r="AO38">
            <v>0.000567744615386251</v>
          </cell>
          <cell r="AP38">
            <v>0.000462321678323982</v>
          </cell>
          <cell r="AQ38">
            <v>2</v>
          </cell>
          <cell r="AR38">
            <v>1.9</v>
          </cell>
          <cell r="AS38">
            <v>1.9</v>
          </cell>
          <cell r="AT38">
            <v>2</v>
          </cell>
          <cell r="AU38">
            <v>2</v>
          </cell>
          <cell r="AV38">
            <v>2.1</v>
          </cell>
          <cell r="AW38">
            <v>2.5</v>
          </cell>
          <cell r="AX38">
            <v>2.5</v>
          </cell>
          <cell r="AY38">
            <v>2.5</v>
          </cell>
          <cell r="AZ38">
            <v>2.5</v>
          </cell>
          <cell r="BA38">
            <v>2.5</v>
          </cell>
          <cell r="BB38">
            <v>2.7</v>
          </cell>
          <cell r="BC38">
            <v>2.6</v>
          </cell>
          <cell r="BD38">
            <v>2.5</v>
          </cell>
          <cell r="BE38">
            <v>2.5</v>
          </cell>
          <cell r="BF38">
            <v>2.5</v>
          </cell>
          <cell r="BG38">
            <v>2.6</v>
          </cell>
          <cell r="BH38">
            <v>2.7</v>
          </cell>
          <cell r="BI38">
            <v>2.7</v>
          </cell>
          <cell r="BJ38">
            <v>2.7</v>
          </cell>
          <cell r="BK38">
            <v>2.7</v>
          </cell>
          <cell r="BL38">
            <v>2.7</v>
          </cell>
          <cell r="BM38">
            <v>2.8</v>
          </cell>
          <cell r="BN38">
            <v>2.9</v>
          </cell>
          <cell r="BO38">
            <v>2.9</v>
          </cell>
          <cell r="BP38">
            <v>2.9</v>
          </cell>
          <cell r="BQ38">
            <v>2.9</v>
          </cell>
          <cell r="BR38">
            <v>2.9</v>
          </cell>
          <cell r="BS38">
            <v>3</v>
          </cell>
          <cell r="BT38">
            <v>3.2</v>
          </cell>
          <cell r="BU38">
            <v>3.4</v>
          </cell>
          <cell r="BV38">
            <v>3.4</v>
          </cell>
          <cell r="BW38">
            <v>3.4</v>
          </cell>
          <cell r="BX38">
            <v>3.4</v>
          </cell>
          <cell r="BY38">
            <v>3.5</v>
          </cell>
          <cell r="BZ38">
            <v>3.7</v>
          </cell>
          <cell r="CA38">
            <v>3.8</v>
          </cell>
          <cell r="CB38">
            <v>3.8</v>
          </cell>
          <cell r="CC38">
            <v>3.9</v>
          </cell>
          <cell r="CD38">
            <v>3.9</v>
          </cell>
          <cell r="CE38">
            <v>4.1</v>
          </cell>
          <cell r="CF38">
            <v>4.3</v>
          </cell>
          <cell r="CG38">
            <v>0.2</v>
          </cell>
          <cell r="CH38">
            <v>0.5</v>
          </cell>
          <cell r="CI38">
            <v>0.8</v>
          </cell>
          <cell r="CJ38">
            <v>1</v>
          </cell>
          <cell r="CK38">
            <v>1.3</v>
          </cell>
          <cell r="CL38">
            <v>1.6</v>
          </cell>
          <cell r="CM38">
            <v>-2e-7</v>
          </cell>
          <cell r="CN38">
            <v>8.81e-9</v>
          </cell>
          <cell r="CO38">
            <v>1.18e-12</v>
          </cell>
          <cell r="CP38">
            <v>6.62e-7</v>
          </cell>
          <cell r="CQ38">
            <v>9.355e-10</v>
          </cell>
          <cell r="CR38">
            <v>0.164</v>
          </cell>
          <cell r="CS38">
            <v>1</v>
          </cell>
          <cell r="CT38">
            <v>3</v>
          </cell>
          <cell r="CU38">
            <v>1</v>
          </cell>
          <cell r="CV38">
            <v>3</v>
          </cell>
          <cell r="CW38">
            <v>1</v>
          </cell>
          <cell r="CX38">
            <v>2</v>
          </cell>
          <cell r="CY38">
            <v>0</v>
          </cell>
          <cell r="CZ38">
            <v>0</v>
          </cell>
          <cell r="DA38">
            <v>634</v>
          </cell>
          <cell r="DB38">
            <v>669</v>
          </cell>
          <cell r="DC38">
            <v>588</v>
          </cell>
          <cell r="DD38">
            <v>616</v>
          </cell>
          <cell r="DE38">
            <v>71</v>
          </cell>
          <cell r="DF38">
            <v>0</v>
          </cell>
          <cell r="DG38">
            <v>88</v>
          </cell>
          <cell r="DH38">
            <v>0</v>
          </cell>
          <cell r="DI38">
            <v>125</v>
          </cell>
          <cell r="DJ38">
            <v>0</v>
          </cell>
          <cell r="DK38">
            <v>606</v>
          </cell>
          <cell r="DL38">
            <v>108</v>
          </cell>
          <cell r="DM38">
            <v>10827</v>
          </cell>
          <cell r="DN38">
            <v>4190</v>
          </cell>
          <cell r="DO38">
            <v>0.292</v>
          </cell>
          <cell r="DP38">
            <v>0</v>
          </cell>
          <cell r="DQ38" t="str">
            <v>370/305</v>
          </cell>
          <cell r="DR38">
            <v>0</v>
          </cell>
          <cell r="DS38">
            <v>0</v>
          </cell>
          <cell r="DT38">
            <v>3.87</v>
          </cell>
          <cell r="DU38">
            <v>0.828</v>
          </cell>
          <cell r="DV38">
            <v>0.946</v>
          </cell>
          <cell r="DW38">
            <v>0.991</v>
          </cell>
          <cell r="DX38">
            <v>0.999</v>
          </cell>
          <cell r="DY38">
            <v>0.999</v>
          </cell>
          <cell r="DZ38">
            <v>0.999</v>
          </cell>
          <cell r="EA38">
            <v>0.999</v>
          </cell>
          <cell r="EB38">
            <v>0.999</v>
          </cell>
          <cell r="EC38">
            <v>0.999</v>
          </cell>
          <cell r="ED38">
            <v>0.999</v>
          </cell>
          <cell r="EE38">
            <v>0.999</v>
          </cell>
          <cell r="EF38">
            <v>0.999</v>
          </cell>
          <cell r="EG38">
            <v>0.999</v>
          </cell>
          <cell r="EH38">
            <v>0.999</v>
          </cell>
          <cell r="EI38">
            <v>0.999</v>
          </cell>
          <cell r="EJ38">
            <v>0.999</v>
          </cell>
          <cell r="EK38">
            <v>0.999</v>
          </cell>
          <cell r="EL38">
            <v>0.999</v>
          </cell>
          <cell r="EM38">
            <v>0.999</v>
          </cell>
          <cell r="EN38">
            <v>0.999</v>
          </cell>
          <cell r="EO38">
            <v>0.998</v>
          </cell>
          <cell r="EP38">
            <v>0.997</v>
          </cell>
          <cell r="EQ38">
            <v>0.995</v>
          </cell>
          <cell r="ER38">
            <v>0.992</v>
          </cell>
          <cell r="ES38">
            <v>0.987</v>
          </cell>
          <cell r="ET38">
            <v>0.979</v>
          </cell>
          <cell r="EU38">
            <v>0.965</v>
          </cell>
          <cell r="EV38">
            <v>0.945</v>
          </cell>
          <cell r="EW38">
            <v>0.9</v>
          </cell>
          <cell r="EX38">
            <v>0.812</v>
          </cell>
          <cell r="EY38">
            <v>0.717</v>
          </cell>
          <cell r="EZ38">
            <v>0.581</v>
          </cell>
          <cell r="FA38">
            <v>0.326</v>
          </cell>
          <cell r="FB38">
            <v>0.088</v>
          </cell>
          <cell r="FC38">
            <v>0</v>
          </cell>
          <cell r="FD38">
            <v>0</v>
          </cell>
          <cell r="FE38">
            <v>0.686</v>
          </cell>
          <cell r="FF38">
            <v>0.895</v>
          </cell>
          <cell r="FG38">
            <v>0.982</v>
          </cell>
          <cell r="FH38">
            <v>0.998</v>
          </cell>
          <cell r="FI38">
            <v>0.998</v>
          </cell>
          <cell r="FJ38">
            <v>0.998</v>
          </cell>
          <cell r="FK38">
            <v>0.998</v>
          </cell>
          <cell r="FL38">
            <v>0.998</v>
          </cell>
          <cell r="FM38">
            <v>0.998</v>
          </cell>
          <cell r="FN38">
            <v>0.998</v>
          </cell>
          <cell r="FO38">
            <v>0.998</v>
          </cell>
          <cell r="FP38">
            <v>0.998</v>
          </cell>
          <cell r="FQ38">
            <v>0.998</v>
          </cell>
          <cell r="FR38">
            <v>0.998</v>
          </cell>
          <cell r="FS38">
            <v>0.998</v>
          </cell>
          <cell r="FT38">
            <v>0.998</v>
          </cell>
          <cell r="FU38">
            <v>0.998</v>
          </cell>
          <cell r="FV38">
            <v>0.998</v>
          </cell>
          <cell r="FW38">
            <v>0.998</v>
          </cell>
          <cell r="FX38">
            <v>0.998</v>
          </cell>
          <cell r="FY38">
            <v>0.996</v>
          </cell>
          <cell r="FZ38">
            <v>0.994</v>
          </cell>
          <cell r="GA38">
            <v>0.99</v>
          </cell>
          <cell r="GB38">
            <v>0.983</v>
          </cell>
          <cell r="GC38">
            <v>0.974</v>
          </cell>
          <cell r="GD38">
            <v>0.959</v>
          </cell>
          <cell r="GE38">
            <v>0.931</v>
          </cell>
          <cell r="GF38">
            <v>0.88</v>
          </cell>
          <cell r="GG38">
            <v>0.804</v>
          </cell>
          <cell r="GH38">
            <v>0.689</v>
          </cell>
          <cell r="GI38">
            <v>0.53</v>
          </cell>
          <cell r="GJ38">
            <v>0.33</v>
          </cell>
          <cell r="GK38">
            <v>0.11</v>
          </cell>
          <cell r="GL38">
            <v>0.008</v>
          </cell>
          <cell r="GM38">
            <v>0</v>
          </cell>
          <cell r="GN38">
            <v>0</v>
          </cell>
        </row>
        <row r="39">
          <cell r="B39" t="str">
            <v>H-LaK10</v>
          </cell>
          <cell r="C39">
            <v>651559</v>
          </cell>
          <cell r="D39">
            <v>55.89</v>
          </cell>
          <cell r="E39">
            <v>55.62</v>
          </cell>
          <cell r="F39">
            <v>0.01165</v>
          </cell>
          <cell r="G39">
            <v>0.011757</v>
          </cell>
          <cell r="H39">
            <v>1.61921</v>
          </cell>
          <cell r="I39">
            <v>1.62487</v>
          </cell>
          <cell r="J39">
            <v>1.63105</v>
          </cell>
          <cell r="K39">
            <v>1.6365</v>
          </cell>
          <cell r="L39">
            <v>1.6383</v>
          </cell>
          <cell r="M39">
            <v>1.64144</v>
          </cell>
          <cell r="N39">
            <v>1.64361</v>
          </cell>
          <cell r="O39">
            <v>1.6456</v>
          </cell>
          <cell r="P39">
            <v>1.6476</v>
          </cell>
          <cell r="Q39">
            <v>1.64816</v>
          </cell>
          <cell r="R39">
            <v>1.64869</v>
          </cell>
          <cell r="S39">
            <v>1.65103</v>
          </cell>
          <cell r="T39">
            <v>1.65113</v>
          </cell>
          <cell r="U39">
            <v>1.65391</v>
          </cell>
          <cell r="V39">
            <v>1.65925</v>
          </cell>
          <cell r="W39">
            <v>1.65992</v>
          </cell>
          <cell r="X39">
            <v>1.66558</v>
          </cell>
          <cell r="Y39">
            <v>1.67083</v>
          </cell>
          <cell r="Z39">
            <v>1.67985</v>
          </cell>
          <cell r="AA39">
            <v>2.68014719</v>
          </cell>
          <cell r="AB39">
            <v>-0.0113022222</v>
          </cell>
          <cell r="AC39">
            <v>0.0149971961</v>
          </cell>
          <cell r="AD39">
            <v>0.00108435</v>
          </cell>
          <cell r="AE39">
            <v>-0.000125822106</v>
          </cell>
          <cell r="AF39">
            <v>7.18648482e-6</v>
          </cell>
          <cell r="AG39">
            <v>0.303004291845498</v>
          </cell>
          <cell r="AH39">
            <v>0.238626609442062</v>
          </cell>
          <cell r="AI39">
            <v>0.543347639484996</v>
          </cell>
          <cell r="AJ39">
            <v>0.252551020408156</v>
          </cell>
          <cell r="AK39">
            <v>0.23639455782313</v>
          </cell>
          <cell r="AL39">
            <v>0.481292517006803</v>
          </cell>
          <cell r="AM39">
            <v>-0.000979621287559778</v>
          </cell>
          <cell r="AN39">
            <v>-0.00741907051500408</v>
          </cell>
          <cell r="AO39">
            <v>-0.0126596781974323</v>
          </cell>
          <cell r="AP39">
            <v>-0.00578063519313504</v>
          </cell>
          <cell r="AQ39">
            <v>2.6</v>
          </cell>
          <cell r="AR39">
            <v>2.5</v>
          </cell>
          <cell r="AS39">
            <v>2.5</v>
          </cell>
          <cell r="AT39">
            <v>2.5</v>
          </cell>
          <cell r="AU39">
            <v>2.5</v>
          </cell>
          <cell r="AV39">
            <v>2.6</v>
          </cell>
          <cell r="AW39">
            <v>3</v>
          </cell>
          <cell r="AX39">
            <v>2.9</v>
          </cell>
          <cell r="AY39">
            <v>2.9</v>
          </cell>
          <cell r="AZ39">
            <v>2.9</v>
          </cell>
          <cell r="BA39">
            <v>3</v>
          </cell>
          <cell r="BB39">
            <v>3.1</v>
          </cell>
          <cell r="BC39">
            <v>3</v>
          </cell>
          <cell r="BD39">
            <v>3</v>
          </cell>
          <cell r="BE39">
            <v>2.9</v>
          </cell>
          <cell r="BF39">
            <v>2.9</v>
          </cell>
          <cell r="BG39">
            <v>3</v>
          </cell>
          <cell r="BH39">
            <v>3.2</v>
          </cell>
          <cell r="BI39">
            <v>3.2</v>
          </cell>
          <cell r="BJ39">
            <v>3.1</v>
          </cell>
          <cell r="BK39">
            <v>3.1</v>
          </cell>
          <cell r="BL39">
            <v>3.1</v>
          </cell>
          <cell r="BM39">
            <v>3.2</v>
          </cell>
          <cell r="BN39">
            <v>3.3</v>
          </cell>
          <cell r="BO39">
            <v>3.3</v>
          </cell>
          <cell r="BP39">
            <v>3.3</v>
          </cell>
          <cell r="BQ39">
            <v>3.2</v>
          </cell>
          <cell r="BR39">
            <v>3.3</v>
          </cell>
          <cell r="BS39">
            <v>3.3</v>
          </cell>
          <cell r="BT39">
            <v>3.5</v>
          </cell>
          <cell r="BU39">
            <v>3.7</v>
          </cell>
          <cell r="BV39">
            <v>3.6</v>
          </cell>
          <cell r="BW39">
            <v>3.6</v>
          </cell>
          <cell r="BX39">
            <v>3.6</v>
          </cell>
          <cell r="BY39">
            <v>3.8</v>
          </cell>
          <cell r="BZ39">
            <v>3.9</v>
          </cell>
          <cell r="CA39">
            <v>4.1</v>
          </cell>
          <cell r="CB39">
            <v>4</v>
          </cell>
          <cell r="CC39">
            <v>4</v>
          </cell>
          <cell r="CD39">
            <v>4.1</v>
          </cell>
          <cell r="CE39">
            <v>4.2</v>
          </cell>
          <cell r="CF39">
            <v>4.4</v>
          </cell>
          <cell r="CG39">
            <v>0.8</v>
          </cell>
          <cell r="CH39">
            <v>1.1</v>
          </cell>
          <cell r="CI39">
            <v>1.3</v>
          </cell>
          <cell r="CJ39">
            <v>1.5</v>
          </cell>
          <cell r="CK39">
            <v>1.8</v>
          </cell>
          <cell r="CL39">
            <v>2</v>
          </cell>
          <cell r="CM39">
            <v>1.22e-6</v>
          </cell>
          <cell r="CN39">
            <v>1.098e-8</v>
          </cell>
          <cell r="CO39">
            <v>1.455e-11</v>
          </cell>
          <cell r="CP39">
            <v>5.11e-7</v>
          </cell>
          <cell r="CQ39">
            <v>3.414e-10</v>
          </cell>
          <cell r="CR39">
            <v>0.196</v>
          </cell>
          <cell r="CS39">
            <v>1</v>
          </cell>
          <cell r="CT39">
            <v>2</v>
          </cell>
          <cell r="CU39">
            <v>1</v>
          </cell>
          <cell r="CV39">
            <v>4</v>
          </cell>
          <cell r="CW39">
            <v>1</v>
          </cell>
          <cell r="CX39">
            <v>2</v>
          </cell>
          <cell r="CY39">
            <v>0</v>
          </cell>
          <cell r="CZ39">
            <v>0</v>
          </cell>
          <cell r="DA39">
            <v>639</v>
          </cell>
          <cell r="DB39">
            <v>686</v>
          </cell>
          <cell r="DC39">
            <v>589</v>
          </cell>
          <cell r="DD39">
            <v>629</v>
          </cell>
          <cell r="DE39">
            <v>67</v>
          </cell>
          <cell r="DF39">
            <v>0</v>
          </cell>
          <cell r="DG39">
            <v>82</v>
          </cell>
          <cell r="DH39">
            <v>0</v>
          </cell>
          <cell r="DI39">
            <v>127</v>
          </cell>
          <cell r="DJ39">
            <v>0</v>
          </cell>
          <cell r="DK39">
            <v>552</v>
          </cell>
          <cell r="DL39">
            <v>170</v>
          </cell>
          <cell r="DM39">
            <v>10016</v>
          </cell>
          <cell r="DN39">
            <v>3882</v>
          </cell>
          <cell r="DO39">
            <v>0.29</v>
          </cell>
          <cell r="DP39">
            <v>0</v>
          </cell>
          <cell r="DQ39" t="str">
            <v>350/275</v>
          </cell>
          <cell r="DR39">
            <v>0</v>
          </cell>
          <cell r="DS39">
            <v>0</v>
          </cell>
          <cell r="DT39">
            <v>3.72</v>
          </cell>
          <cell r="DU39">
            <v>0.891</v>
          </cell>
          <cell r="DV39">
            <v>0.966</v>
          </cell>
          <cell r="DW39">
            <v>0.99</v>
          </cell>
          <cell r="DX39">
            <v>0.995</v>
          </cell>
          <cell r="DY39">
            <v>0.999</v>
          </cell>
          <cell r="DZ39">
            <v>0.999</v>
          </cell>
          <cell r="EA39">
            <v>0.999</v>
          </cell>
          <cell r="EB39">
            <v>0.999</v>
          </cell>
          <cell r="EC39">
            <v>0.999</v>
          </cell>
          <cell r="ED39">
            <v>0.999</v>
          </cell>
          <cell r="EE39">
            <v>0.999</v>
          </cell>
          <cell r="EF39">
            <v>0.999</v>
          </cell>
          <cell r="EG39">
            <v>0.999</v>
          </cell>
          <cell r="EH39">
            <v>0.999</v>
          </cell>
          <cell r="EI39">
            <v>0.999</v>
          </cell>
          <cell r="EJ39">
            <v>0.999</v>
          </cell>
          <cell r="EK39">
            <v>0.999</v>
          </cell>
          <cell r="EL39">
            <v>0.999</v>
          </cell>
          <cell r="EM39">
            <v>0.999</v>
          </cell>
          <cell r="EN39">
            <v>0.999</v>
          </cell>
          <cell r="EO39">
            <v>0.999</v>
          </cell>
          <cell r="EP39">
            <v>0.998</v>
          </cell>
          <cell r="EQ39">
            <v>0.996</v>
          </cell>
          <cell r="ER39">
            <v>0.994</v>
          </cell>
          <cell r="ES39">
            <v>0.991</v>
          </cell>
          <cell r="ET39">
            <v>0.988</v>
          </cell>
          <cell r="EU39">
            <v>0.982</v>
          </cell>
          <cell r="EV39">
            <v>0.971</v>
          </cell>
          <cell r="EW39">
            <v>0.952</v>
          </cell>
          <cell r="EX39">
            <v>0.92</v>
          </cell>
          <cell r="EY39">
            <v>0.867</v>
          </cell>
          <cell r="EZ39">
            <v>0.79</v>
          </cell>
          <cell r="FA39">
            <v>0.684</v>
          </cell>
          <cell r="FB39">
            <v>0.551</v>
          </cell>
          <cell r="FC39">
            <v>0.401</v>
          </cell>
          <cell r="FD39">
            <v>0.249</v>
          </cell>
          <cell r="FE39">
            <v>0.794</v>
          </cell>
          <cell r="FF39">
            <v>0.933</v>
          </cell>
          <cell r="FG39">
            <v>0.98</v>
          </cell>
          <cell r="FH39">
            <v>0.99</v>
          </cell>
          <cell r="FI39">
            <v>0.998</v>
          </cell>
          <cell r="FJ39">
            <v>0.998</v>
          </cell>
          <cell r="FK39">
            <v>0.998</v>
          </cell>
          <cell r="FL39">
            <v>0.998</v>
          </cell>
          <cell r="FM39">
            <v>0.998</v>
          </cell>
          <cell r="FN39">
            <v>0.998</v>
          </cell>
          <cell r="FO39">
            <v>0.998</v>
          </cell>
          <cell r="FP39">
            <v>0.998</v>
          </cell>
          <cell r="FQ39">
            <v>0.998</v>
          </cell>
          <cell r="FR39">
            <v>0.998</v>
          </cell>
          <cell r="FS39">
            <v>0.998</v>
          </cell>
          <cell r="FT39">
            <v>0.998</v>
          </cell>
          <cell r="FU39">
            <v>0.998</v>
          </cell>
          <cell r="FV39">
            <v>0.998</v>
          </cell>
          <cell r="FW39">
            <v>0.998</v>
          </cell>
          <cell r="FX39">
            <v>0.998</v>
          </cell>
          <cell r="FY39">
            <v>0.998</v>
          </cell>
          <cell r="FZ39">
            <v>0.995</v>
          </cell>
          <cell r="GA39">
            <v>0.992</v>
          </cell>
          <cell r="GB39">
            <v>0.989</v>
          </cell>
          <cell r="GC39">
            <v>0.985</v>
          </cell>
          <cell r="GD39">
            <v>0.979</v>
          </cell>
          <cell r="GE39">
            <v>0.968</v>
          </cell>
          <cell r="GF39">
            <v>0.945</v>
          </cell>
          <cell r="GG39">
            <v>0.91</v>
          </cell>
          <cell r="GH39">
            <v>0.849</v>
          </cell>
          <cell r="GI39">
            <v>0.756</v>
          </cell>
          <cell r="GJ39">
            <v>0.628</v>
          </cell>
          <cell r="GK39">
            <v>0.469</v>
          </cell>
          <cell r="GL39">
            <v>0.305</v>
          </cell>
          <cell r="GM39">
            <v>0.163</v>
          </cell>
          <cell r="GN39">
            <v>0.064</v>
          </cell>
        </row>
        <row r="40">
          <cell r="B40" t="str">
            <v>H-LaK12</v>
          </cell>
          <cell r="C40">
            <v>697562</v>
          </cell>
          <cell r="D40">
            <v>56.19</v>
          </cell>
          <cell r="E40">
            <v>55.98</v>
          </cell>
          <cell r="F40">
            <v>0.0124</v>
          </cell>
          <cell r="G40">
            <v>0.0125</v>
          </cell>
          <cell r="H40">
            <v>1.65825</v>
          </cell>
          <cell r="I40">
            <v>1.66578</v>
          </cell>
          <cell r="J40">
            <v>1.67381</v>
          </cell>
          <cell r="K40">
            <v>1.68059</v>
          </cell>
          <cell r="L40">
            <v>1.68271</v>
          </cell>
          <cell r="M40">
            <v>1.68629</v>
          </cell>
          <cell r="N40">
            <v>1.68869</v>
          </cell>
          <cell r="O40">
            <v>1.69087</v>
          </cell>
          <cell r="P40">
            <v>1.69301</v>
          </cell>
          <cell r="Q40">
            <v>1.69361</v>
          </cell>
          <cell r="R40">
            <v>1.69418</v>
          </cell>
          <cell r="S40">
            <v>1.69668</v>
          </cell>
          <cell r="T40">
            <v>1.6968</v>
          </cell>
          <cell r="U40">
            <v>1.69975</v>
          </cell>
          <cell r="V40">
            <v>1.70541</v>
          </cell>
          <cell r="W40">
            <v>1.70611</v>
          </cell>
          <cell r="X40">
            <v>1.7121</v>
          </cell>
          <cell r="Y40">
            <v>1.71764</v>
          </cell>
          <cell r="Z40">
            <v>1.72713</v>
          </cell>
          <cell r="AA40">
            <v>2.83112539</v>
          </cell>
          <cell r="AB40">
            <v>-0.0155847682</v>
          </cell>
          <cell r="AC40">
            <v>0.0158070931</v>
          </cell>
          <cell r="AD40">
            <v>0.00124470183</v>
          </cell>
          <cell r="AE40">
            <v>-0.000141192909</v>
          </cell>
          <cell r="AF40">
            <v>7.83660883e-6</v>
          </cell>
          <cell r="AG40">
            <v>0.305645161290333</v>
          </cell>
          <cell r="AH40">
            <v>0.237903225806449</v>
          </cell>
          <cell r="AI40">
            <v>0.539516129032239</v>
          </cell>
          <cell r="AJ40">
            <v>0.255200000000003</v>
          </cell>
          <cell r="AK40">
            <v>0.236000000000001</v>
          </cell>
          <cell r="AL40">
            <v>0.479199999999997</v>
          </cell>
          <cell r="AM40">
            <v>-0.0027315070967813</v>
          </cell>
          <cell r="AN40">
            <v>-0.0107522809677612</v>
          </cell>
          <cell r="AO40">
            <v>0.018248421290308</v>
          </cell>
          <cell r="AP40">
            <v>0.00667948387094641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1</v>
          </cell>
          <cell r="CT40">
            <v>2</v>
          </cell>
          <cell r="CU40">
            <v>1</v>
          </cell>
          <cell r="CV40">
            <v>4</v>
          </cell>
          <cell r="CW40">
            <v>1</v>
          </cell>
          <cell r="CX40">
            <v>2</v>
          </cell>
          <cell r="CY40">
            <v>0</v>
          </cell>
          <cell r="CZ40">
            <v>0</v>
          </cell>
          <cell r="DA40">
            <v>659</v>
          </cell>
          <cell r="DB40">
            <v>691</v>
          </cell>
          <cell r="DC40">
            <v>611</v>
          </cell>
          <cell r="DD40">
            <v>638</v>
          </cell>
          <cell r="DE40">
            <v>56</v>
          </cell>
          <cell r="DF40">
            <v>0</v>
          </cell>
          <cell r="DG40">
            <v>72</v>
          </cell>
          <cell r="DH40">
            <v>0</v>
          </cell>
          <cell r="DI40">
            <v>140</v>
          </cell>
          <cell r="DJ40">
            <v>0</v>
          </cell>
          <cell r="DK40">
            <v>616</v>
          </cell>
          <cell r="DL40">
            <v>79</v>
          </cell>
          <cell r="DM40">
            <v>11571</v>
          </cell>
          <cell r="DN40">
            <v>4481</v>
          </cell>
          <cell r="DO40">
            <v>0.291</v>
          </cell>
          <cell r="DP40">
            <v>0</v>
          </cell>
          <cell r="DQ40" t="str">
            <v>360/270</v>
          </cell>
          <cell r="DR40">
            <v>334</v>
          </cell>
          <cell r="DS40">
            <v>279</v>
          </cell>
          <cell r="DT40">
            <v>3.71</v>
          </cell>
          <cell r="DU40">
            <v>0.795</v>
          </cell>
          <cell r="DV40">
            <v>0.953</v>
          </cell>
          <cell r="DW40">
            <v>0.988</v>
          </cell>
          <cell r="DX40">
            <v>0.999</v>
          </cell>
          <cell r="DY40">
            <v>0.999</v>
          </cell>
          <cell r="DZ40">
            <v>0.999</v>
          </cell>
          <cell r="EA40">
            <v>0.999</v>
          </cell>
          <cell r="EB40">
            <v>0.999</v>
          </cell>
          <cell r="EC40">
            <v>0.999</v>
          </cell>
          <cell r="ED40">
            <v>0.999</v>
          </cell>
          <cell r="EE40">
            <v>0.999</v>
          </cell>
          <cell r="EF40">
            <v>0.999</v>
          </cell>
          <cell r="EG40">
            <v>0.999</v>
          </cell>
          <cell r="EH40">
            <v>0.999</v>
          </cell>
          <cell r="EI40">
            <v>0.999</v>
          </cell>
          <cell r="EJ40">
            <v>0.999</v>
          </cell>
          <cell r="EK40">
            <v>0.999</v>
          </cell>
          <cell r="EL40">
            <v>0.999</v>
          </cell>
          <cell r="EM40">
            <v>0.999</v>
          </cell>
          <cell r="EN40">
            <v>0.999</v>
          </cell>
          <cell r="EO40">
            <v>0.999</v>
          </cell>
          <cell r="EP40">
            <v>0.999</v>
          </cell>
          <cell r="EQ40">
            <v>0.999</v>
          </cell>
          <cell r="ER40">
            <v>0.999</v>
          </cell>
          <cell r="ES40">
            <v>0.997</v>
          </cell>
          <cell r="ET40">
            <v>0.992</v>
          </cell>
          <cell r="EU40">
            <v>0.983</v>
          </cell>
          <cell r="EV40">
            <v>0.968</v>
          </cell>
          <cell r="EW40">
            <v>0.942</v>
          </cell>
          <cell r="EX40">
            <v>0.907</v>
          </cell>
          <cell r="EY40">
            <v>0.856</v>
          </cell>
          <cell r="EZ40">
            <v>0.785</v>
          </cell>
          <cell r="FA40">
            <v>0.688</v>
          </cell>
          <cell r="FB40">
            <v>0.564</v>
          </cell>
          <cell r="FC40">
            <v>0.401</v>
          </cell>
          <cell r="FD40">
            <v>0</v>
          </cell>
          <cell r="FE40">
            <v>0.614</v>
          </cell>
          <cell r="FF40">
            <v>0.898</v>
          </cell>
          <cell r="FG40">
            <v>0.969</v>
          </cell>
          <cell r="FH40">
            <v>0.998</v>
          </cell>
          <cell r="FI40">
            <v>0.998</v>
          </cell>
          <cell r="FJ40">
            <v>0.998</v>
          </cell>
          <cell r="FK40">
            <v>0.998</v>
          </cell>
          <cell r="FL40">
            <v>0.998</v>
          </cell>
          <cell r="FM40">
            <v>0.998</v>
          </cell>
          <cell r="FN40">
            <v>0.998</v>
          </cell>
          <cell r="FO40">
            <v>0.998</v>
          </cell>
          <cell r="FP40">
            <v>0.998</v>
          </cell>
          <cell r="FQ40">
            <v>0.998</v>
          </cell>
          <cell r="FR40">
            <v>0.998</v>
          </cell>
          <cell r="FS40">
            <v>0.998</v>
          </cell>
          <cell r="FT40">
            <v>0.998</v>
          </cell>
          <cell r="FU40">
            <v>0.998</v>
          </cell>
          <cell r="FV40">
            <v>0.998</v>
          </cell>
          <cell r="FW40">
            <v>0.998</v>
          </cell>
          <cell r="FX40">
            <v>0.998</v>
          </cell>
          <cell r="FY40">
            <v>0.998</v>
          </cell>
          <cell r="FZ40">
            <v>0.994</v>
          </cell>
          <cell r="GA40">
            <v>0.989</v>
          </cell>
          <cell r="GB40">
            <v>0.984</v>
          </cell>
          <cell r="GC40">
            <v>0.978</v>
          </cell>
          <cell r="GD40">
            <v>0.967</v>
          </cell>
          <cell r="GE40">
            <v>0.948</v>
          </cell>
          <cell r="GF40">
            <v>0.918</v>
          </cell>
          <cell r="GG40">
            <v>0.858</v>
          </cell>
          <cell r="GH40">
            <v>0.792</v>
          </cell>
          <cell r="GI40">
            <v>0.699</v>
          </cell>
          <cell r="GJ40">
            <v>0.581</v>
          </cell>
          <cell r="GK40">
            <v>0.442</v>
          </cell>
          <cell r="GL40">
            <v>0.289</v>
          </cell>
          <cell r="GM40">
            <v>0.144</v>
          </cell>
          <cell r="GN40">
            <v>0</v>
          </cell>
        </row>
        <row r="41">
          <cell r="B41" t="str">
            <v>H-LaK50</v>
          </cell>
          <cell r="C41">
            <v>652584</v>
          </cell>
          <cell r="D41">
            <v>58.4</v>
          </cell>
          <cell r="E41">
            <v>58.15</v>
          </cell>
          <cell r="F41">
            <v>0.011157</v>
          </cell>
          <cell r="G41">
            <v>0.011251</v>
          </cell>
          <cell r="H41">
            <v>1.61823</v>
          </cell>
          <cell r="I41">
            <v>1.62453</v>
          </cell>
          <cell r="J41">
            <v>1.63133</v>
          </cell>
          <cell r="K41">
            <v>1.63715</v>
          </cell>
          <cell r="L41">
            <v>1.63901</v>
          </cell>
          <cell r="M41">
            <v>1.64218</v>
          </cell>
          <cell r="N41">
            <v>1.64432</v>
          </cell>
          <cell r="O41">
            <v>1.64628</v>
          </cell>
          <cell r="P41">
            <v>1.64821</v>
          </cell>
          <cell r="Q41">
            <v>1.64875</v>
          </cell>
          <cell r="R41">
            <v>1.64925</v>
          </cell>
          <cell r="S41">
            <v>1.6515</v>
          </cell>
          <cell r="T41">
            <v>1.6516</v>
          </cell>
          <cell r="U41">
            <v>1.65426</v>
          </cell>
          <cell r="V41">
            <v>1.65936</v>
          </cell>
          <cell r="W41">
            <v>1.66</v>
          </cell>
          <cell r="X41">
            <v>1.66538</v>
          </cell>
          <cell r="Y41">
            <v>1.67035</v>
          </cell>
          <cell r="Z41">
            <v>1.67888</v>
          </cell>
          <cell r="AA41">
            <v>2.68453878</v>
          </cell>
          <cell r="AB41">
            <v>-0.0126814449</v>
          </cell>
          <cell r="AC41">
            <v>0.0144610782</v>
          </cell>
          <cell r="AD41">
            <v>0.000942717786</v>
          </cell>
          <cell r="AE41">
            <v>-0.000106540589</v>
          </cell>
          <cell r="AF41">
            <v>6.04608965e-6</v>
          </cell>
          <cell r="AG41">
            <v>0.304035874439462</v>
          </cell>
          <cell r="AH41">
            <v>0.238565022421534</v>
          </cell>
          <cell r="AI41">
            <v>0.539910313901358</v>
          </cell>
          <cell r="AJ41">
            <v>0.253333333333335</v>
          </cell>
          <cell r="AK41">
            <v>0.236444444444454</v>
          </cell>
          <cell r="AL41">
            <v>0.478222222222237</v>
          </cell>
          <cell r="AM41">
            <v>-0.000564096860996857</v>
          </cell>
          <cell r="AN41">
            <v>-0.00668728609864216</v>
          </cell>
          <cell r="AO41">
            <v>0.00200570762330765</v>
          </cell>
          <cell r="AP41">
            <v>0.000247174887890916</v>
          </cell>
          <cell r="AQ41">
            <v>1.2</v>
          </cell>
          <cell r="AR41">
            <v>1.1</v>
          </cell>
          <cell r="AS41">
            <v>1.1</v>
          </cell>
          <cell r="AT41">
            <v>1.1</v>
          </cell>
          <cell r="AU41">
            <v>1.2</v>
          </cell>
          <cell r="AV41">
            <v>1.3</v>
          </cell>
          <cell r="AW41">
            <v>1.6</v>
          </cell>
          <cell r="AX41">
            <v>1.5</v>
          </cell>
          <cell r="AY41">
            <v>1.5</v>
          </cell>
          <cell r="AZ41">
            <v>1.5</v>
          </cell>
          <cell r="BA41">
            <v>1.6</v>
          </cell>
          <cell r="BB41">
            <v>1.7</v>
          </cell>
          <cell r="BC41">
            <v>1.6</v>
          </cell>
          <cell r="BD41">
            <v>1.5</v>
          </cell>
          <cell r="BE41">
            <v>1.5</v>
          </cell>
          <cell r="BF41">
            <v>1.5</v>
          </cell>
          <cell r="BG41">
            <v>1.6</v>
          </cell>
          <cell r="BH41">
            <v>1.7</v>
          </cell>
          <cell r="BI41">
            <v>1.7</v>
          </cell>
          <cell r="BJ41">
            <v>1.6</v>
          </cell>
          <cell r="BK41">
            <v>1.6</v>
          </cell>
          <cell r="BL41">
            <v>1.7</v>
          </cell>
          <cell r="BM41">
            <v>1.7</v>
          </cell>
          <cell r="BN41">
            <v>1.9</v>
          </cell>
          <cell r="BO41">
            <v>1.8</v>
          </cell>
          <cell r="BP41">
            <v>1.8</v>
          </cell>
          <cell r="BQ41">
            <v>1.8</v>
          </cell>
          <cell r="BR41">
            <v>1.8</v>
          </cell>
          <cell r="BS41">
            <v>1.9</v>
          </cell>
          <cell r="BT41">
            <v>2</v>
          </cell>
          <cell r="BU41">
            <v>2.1</v>
          </cell>
          <cell r="BV41">
            <v>2.1</v>
          </cell>
          <cell r="BW41">
            <v>2.1</v>
          </cell>
          <cell r="BX41">
            <v>2.1</v>
          </cell>
          <cell r="BY41">
            <v>2.2</v>
          </cell>
          <cell r="BZ41">
            <v>2.4</v>
          </cell>
          <cell r="CA41">
            <v>2.4</v>
          </cell>
          <cell r="CB41">
            <v>2.4</v>
          </cell>
          <cell r="CC41">
            <v>2.4</v>
          </cell>
          <cell r="CD41">
            <v>2.5</v>
          </cell>
          <cell r="CE41">
            <v>2.6</v>
          </cell>
          <cell r="CF41">
            <v>2.7</v>
          </cell>
          <cell r="CG41">
            <v>-0.7</v>
          </cell>
          <cell r="CH41">
            <v>-0.4</v>
          </cell>
          <cell r="CI41">
            <v>-0.1</v>
          </cell>
          <cell r="CJ41">
            <v>0.1</v>
          </cell>
          <cell r="CK41">
            <v>0.3</v>
          </cell>
          <cell r="CL41">
            <v>0.6</v>
          </cell>
          <cell r="CM41">
            <v>-1.05e-6</v>
          </cell>
          <cell r="CN41">
            <v>1.124e-8</v>
          </cell>
          <cell r="CO41">
            <v>-5.18e-12</v>
          </cell>
          <cell r="CP41">
            <v>3.63e-7</v>
          </cell>
          <cell r="CQ41">
            <v>3.736e-10</v>
          </cell>
          <cell r="CR41">
            <v>0.233</v>
          </cell>
          <cell r="CS41">
            <v>3</v>
          </cell>
          <cell r="CT41">
            <v>1</v>
          </cell>
          <cell r="CU41">
            <v>3</v>
          </cell>
          <cell r="CV41">
            <v>4</v>
          </cell>
          <cell r="CW41">
            <v>2</v>
          </cell>
          <cell r="CX41">
            <v>4</v>
          </cell>
          <cell r="CY41">
            <v>0</v>
          </cell>
          <cell r="CZ41">
            <v>0</v>
          </cell>
          <cell r="DA41">
            <v>645</v>
          </cell>
          <cell r="DB41">
            <v>678</v>
          </cell>
          <cell r="DC41">
            <v>599</v>
          </cell>
          <cell r="DD41">
            <v>637</v>
          </cell>
          <cell r="DE41">
            <v>71</v>
          </cell>
          <cell r="DF41">
            <v>0</v>
          </cell>
          <cell r="DG41">
            <v>85</v>
          </cell>
          <cell r="DH41">
            <v>0</v>
          </cell>
          <cell r="DI41">
            <v>120</v>
          </cell>
          <cell r="DJ41">
            <v>0</v>
          </cell>
          <cell r="DK41">
            <v>562</v>
          </cell>
          <cell r="DL41">
            <v>138</v>
          </cell>
          <cell r="DM41">
            <v>10065</v>
          </cell>
          <cell r="DN41">
            <v>3947</v>
          </cell>
          <cell r="DO41">
            <v>0.275</v>
          </cell>
          <cell r="DP41">
            <v>0</v>
          </cell>
          <cell r="DQ41" t="str">
            <v>350/270</v>
          </cell>
          <cell r="DR41">
            <v>334</v>
          </cell>
          <cell r="DS41">
            <v>268</v>
          </cell>
          <cell r="DT41">
            <v>3.54</v>
          </cell>
          <cell r="DU41">
            <v>0.858</v>
          </cell>
          <cell r="DV41">
            <v>0.965</v>
          </cell>
          <cell r="DW41">
            <v>0.994</v>
          </cell>
          <cell r="DX41">
            <v>0.999</v>
          </cell>
          <cell r="DY41">
            <v>0.999</v>
          </cell>
          <cell r="DZ41">
            <v>0.999</v>
          </cell>
          <cell r="EA41">
            <v>0.999</v>
          </cell>
          <cell r="EB41">
            <v>0.999</v>
          </cell>
          <cell r="EC41">
            <v>0.999</v>
          </cell>
          <cell r="ED41">
            <v>0.999</v>
          </cell>
          <cell r="EE41">
            <v>0.999</v>
          </cell>
          <cell r="EF41">
            <v>0.999</v>
          </cell>
          <cell r="EG41">
            <v>0.999</v>
          </cell>
          <cell r="EH41">
            <v>0.999</v>
          </cell>
          <cell r="EI41">
            <v>0.999</v>
          </cell>
          <cell r="EJ41">
            <v>0.999</v>
          </cell>
          <cell r="EK41">
            <v>0.999</v>
          </cell>
          <cell r="EL41">
            <v>0.999</v>
          </cell>
          <cell r="EM41">
            <v>0.999</v>
          </cell>
          <cell r="EN41">
            <v>0.999</v>
          </cell>
          <cell r="EO41">
            <v>0.999</v>
          </cell>
          <cell r="EP41">
            <v>0.999</v>
          </cell>
          <cell r="EQ41">
            <v>0.999</v>
          </cell>
          <cell r="ER41">
            <v>0.999</v>
          </cell>
          <cell r="ES41">
            <v>0.997</v>
          </cell>
          <cell r="ET41">
            <v>0.994</v>
          </cell>
          <cell r="EU41">
            <v>0.99</v>
          </cell>
          <cell r="EV41">
            <v>0.979</v>
          </cell>
          <cell r="EW41">
            <v>0.954</v>
          </cell>
          <cell r="EX41">
            <v>0.925</v>
          </cell>
          <cell r="EY41">
            <v>0.879</v>
          </cell>
          <cell r="EZ41">
            <v>0.813</v>
          </cell>
          <cell r="FA41">
            <v>0.726</v>
          </cell>
          <cell r="FB41">
            <v>0.621</v>
          </cell>
          <cell r="FC41">
            <v>0.508</v>
          </cell>
          <cell r="FD41">
            <v>0.391</v>
          </cell>
          <cell r="FE41">
            <v>0.738</v>
          </cell>
          <cell r="FF41">
            <v>0.933</v>
          </cell>
          <cell r="FG41">
            <v>0.989</v>
          </cell>
          <cell r="FH41">
            <v>0.998</v>
          </cell>
          <cell r="FI41">
            <v>0.998</v>
          </cell>
          <cell r="FJ41">
            <v>0.998</v>
          </cell>
          <cell r="FK41">
            <v>0.998</v>
          </cell>
          <cell r="FL41">
            <v>0.998</v>
          </cell>
          <cell r="FM41">
            <v>0.998</v>
          </cell>
          <cell r="FN41">
            <v>0.998</v>
          </cell>
          <cell r="FO41">
            <v>0.998</v>
          </cell>
          <cell r="FP41">
            <v>0.998</v>
          </cell>
          <cell r="FQ41">
            <v>0.998</v>
          </cell>
          <cell r="FR41">
            <v>0.998</v>
          </cell>
          <cell r="FS41">
            <v>0.998</v>
          </cell>
          <cell r="FT41">
            <v>0.998</v>
          </cell>
          <cell r="FU41">
            <v>0.998</v>
          </cell>
          <cell r="FV41">
            <v>0.998</v>
          </cell>
          <cell r="FW41">
            <v>0.998</v>
          </cell>
          <cell r="FX41">
            <v>0.998</v>
          </cell>
          <cell r="FY41">
            <v>0.998</v>
          </cell>
          <cell r="FZ41">
            <v>0.998</v>
          </cell>
          <cell r="GA41">
            <v>0.995</v>
          </cell>
          <cell r="GB41">
            <v>0.99</v>
          </cell>
          <cell r="GC41">
            <v>0.984</v>
          </cell>
          <cell r="GD41">
            <v>0.977</v>
          </cell>
          <cell r="GE41">
            <v>0.965</v>
          </cell>
          <cell r="GF41">
            <v>0.942</v>
          </cell>
          <cell r="GG41">
            <v>0.895</v>
          </cell>
          <cell r="GH41">
            <v>0.84</v>
          </cell>
          <cell r="GI41">
            <v>0.757</v>
          </cell>
          <cell r="GJ41">
            <v>0.646</v>
          </cell>
          <cell r="GK41">
            <v>0.516</v>
          </cell>
          <cell r="GL41">
            <v>0.379</v>
          </cell>
          <cell r="GM41">
            <v>0.254</v>
          </cell>
          <cell r="GN41">
            <v>0.152</v>
          </cell>
        </row>
        <row r="42">
          <cell r="B42" t="str">
            <v>H-LaK51</v>
          </cell>
          <cell r="C42">
            <v>697555</v>
          </cell>
          <cell r="D42">
            <v>55.46</v>
          </cell>
          <cell r="E42">
            <v>55.25</v>
          </cell>
          <cell r="F42">
            <v>0.012564</v>
          </cell>
          <cell r="G42">
            <v>0.012667</v>
          </cell>
          <cell r="H42">
            <v>1.6584</v>
          </cell>
          <cell r="I42">
            <v>1.66575</v>
          </cell>
          <cell r="J42">
            <v>1.67368</v>
          </cell>
          <cell r="K42">
            <v>1.68042</v>
          </cell>
          <cell r="L42">
            <v>1.68254</v>
          </cell>
          <cell r="M42">
            <v>1.68616</v>
          </cell>
          <cell r="N42">
            <v>1.68859</v>
          </cell>
          <cell r="O42">
            <v>1.69079</v>
          </cell>
          <cell r="P42">
            <v>1.69297</v>
          </cell>
          <cell r="Q42">
            <v>1.69358</v>
          </cell>
          <cell r="R42">
            <v>1.69415</v>
          </cell>
          <cell r="S42">
            <v>1.69669</v>
          </cell>
          <cell r="T42">
            <v>1.6968</v>
          </cell>
          <cell r="U42">
            <v>1.6998</v>
          </cell>
          <cell r="V42">
            <v>1.70553</v>
          </cell>
          <cell r="W42">
            <v>1.70625</v>
          </cell>
          <cell r="X42">
            <v>1.71234</v>
          </cell>
          <cell r="Y42">
            <v>1.718</v>
          </cell>
          <cell r="Z42">
            <v>1.72765</v>
          </cell>
          <cell r="AA42">
            <v>2.82930828</v>
          </cell>
          <cell r="AB42">
            <v>-0.0151991877</v>
          </cell>
          <cell r="AC42">
            <v>0.0169710302</v>
          </cell>
          <cell r="AD42">
            <v>0.000914047795</v>
          </cell>
          <cell r="AE42">
            <v>-8.69746514e-5</v>
          </cell>
          <cell r="AF42">
            <v>4.85293775e-6</v>
          </cell>
          <cell r="AG42">
            <v>0.304936305732486</v>
          </cell>
          <cell r="AH42">
            <v>0.238853503184707</v>
          </cell>
          <cell r="AI42">
            <v>0.542197452229302</v>
          </cell>
          <cell r="AJ42">
            <v>0.254143646408841</v>
          </cell>
          <cell r="AK42">
            <v>0.236779794790837</v>
          </cell>
          <cell r="AL42">
            <v>0.48066298342541</v>
          </cell>
          <cell r="AM42">
            <v>-0.003375888917193</v>
          </cell>
          <cell r="AN42">
            <v>-0.00928348777069779</v>
          </cell>
          <cell r="AO42">
            <v>0.0215548527388726</v>
          </cell>
          <cell r="AP42">
            <v>0.00869345222930218</v>
          </cell>
          <cell r="AQ42">
            <v>3.9</v>
          </cell>
          <cell r="AR42">
            <v>3.9</v>
          </cell>
          <cell r="AS42">
            <v>3.9</v>
          </cell>
          <cell r="AT42">
            <v>3.9</v>
          </cell>
          <cell r="AU42">
            <v>4</v>
          </cell>
          <cell r="AV42">
            <v>4.1</v>
          </cell>
          <cell r="AW42">
            <v>4.4</v>
          </cell>
          <cell r="AX42">
            <v>4.3</v>
          </cell>
          <cell r="AY42">
            <v>4.3</v>
          </cell>
          <cell r="AZ42">
            <v>4.4</v>
          </cell>
          <cell r="BA42">
            <v>4.5</v>
          </cell>
          <cell r="BB42">
            <v>4.7</v>
          </cell>
          <cell r="BC42">
            <v>4.4</v>
          </cell>
          <cell r="BD42">
            <v>4.4</v>
          </cell>
          <cell r="BE42">
            <v>4.4</v>
          </cell>
          <cell r="BF42">
            <v>4.4</v>
          </cell>
          <cell r="BG42">
            <v>4.5</v>
          </cell>
          <cell r="BH42">
            <v>4.7</v>
          </cell>
          <cell r="BI42">
            <v>4.5</v>
          </cell>
          <cell r="BJ42">
            <v>4.5</v>
          </cell>
          <cell r="BK42">
            <v>4.5</v>
          </cell>
          <cell r="BL42">
            <v>4.6</v>
          </cell>
          <cell r="BM42">
            <v>4.7</v>
          </cell>
          <cell r="BN42">
            <v>4.8</v>
          </cell>
          <cell r="BO42">
            <v>4.7</v>
          </cell>
          <cell r="BP42">
            <v>4.7</v>
          </cell>
          <cell r="BQ42">
            <v>4.7</v>
          </cell>
          <cell r="BR42">
            <v>4.7</v>
          </cell>
          <cell r="BS42">
            <v>4.9</v>
          </cell>
          <cell r="BT42">
            <v>5</v>
          </cell>
          <cell r="BU42">
            <v>5</v>
          </cell>
          <cell r="BV42">
            <v>5</v>
          </cell>
          <cell r="BW42">
            <v>5.1</v>
          </cell>
          <cell r="BX42">
            <v>5.1</v>
          </cell>
          <cell r="BY42">
            <v>5.3</v>
          </cell>
          <cell r="BZ42">
            <v>5.5</v>
          </cell>
          <cell r="CA42">
            <v>5.4</v>
          </cell>
          <cell r="CB42">
            <v>5.4</v>
          </cell>
          <cell r="CC42">
            <v>5.5</v>
          </cell>
          <cell r="CD42">
            <v>5.5</v>
          </cell>
          <cell r="CE42">
            <v>5.7</v>
          </cell>
          <cell r="CF42">
            <v>5.9</v>
          </cell>
          <cell r="CG42">
            <v>2.1</v>
          </cell>
          <cell r="CH42">
            <v>2.4</v>
          </cell>
          <cell r="CI42">
            <v>2.7</v>
          </cell>
          <cell r="CJ42">
            <v>2.9</v>
          </cell>
          <cell r="CK42">
            <v>3.2</v>
          </cell>
          <cell r="CL42">
            <v>3.5</v>
          </cell>
          <cell r="CM42">
            <v>3.88e-6</v>
          </cell>
          <cell r="CN42">
            <v>1.229e-8</v>
          </cell>
          <cell r="CO42">
            <v>6.21e-12</v>
          </cell>
          <cell r="CP42">
            <v>4.37e-7</v>
          </cell>
          <cell r="CQ42">
            <v>2.844e-10</v>
          </cell>
          <cell r="CR42">
            <v>0.207</v>
          </cell>
          <cell r="CS42">
            <v>1</v>
          </cell>
          <cell r="CT42">
            <v>3</v>
          </cell>
          <cell r="CU42">
            <v>1</v>
          </cell>
          <cell r="CV42">
            <v>3</v>
          </cell>
          <cell r="CW42">
            <v>1</v>
          </cell>
          <cell r="CX42">
            <v>2</v>
          </cell>
          <cell r="CY42">
            <v>0</v>
          </cell>
          <cell r="CZ42">
            <v>0</v>
          </cell>
          <cell r="DA42">
            <v>637</v>
          </cell>
          <cell r="DB42">
            <v>672</v>
          </cell>
          <cell r="DC42">
            <v>591</v>
          </cell>
          <cell r="DD42">
            <v>625</v>
          </cell>
          <cell r="DE42">
            <v>55</v>
          </cell>
          <cell r="DF42">
            <v>0</v>
          </cell>
          <cell r="DG42">
            <v>71</v>
          </cell>
          <cell r="DH42">
            <v>0</v>
          </cell>
          <cell r="DI42">
            <v>145</v>
          </cell>
          <cell r="DJ42">
            <v>0</v>
          </cell>
          <cell r="DK42">
            <v>680</v>
          </cell>
          <cell r="DL42">
            <v>85</v>
          </cell>
          <cell r="DM42">
            <v>10113</v>
          </cell>
          <cell r="DN42">
            <v>3923</v>
          </cell>
          <cell r="DO42">
            <v>0.289</v>
          </cell>
          <cell r="DP42">
            <v>1.81</v>
          </cell>
          <cell r="DQ42" t="str">
            <v>360/280</v>
          </cell>
          <cell r="DR42">
            <v>346</v>
          </cell>
          <cell r="DS42">
            <v>277</v>
          </cell>
          <cell r="DT42">
            <v>3.69</v>
          </cell>
          <cell r="DU42">
            <v>0.757</v>
          </cell>
          <cell r="DV42">
            <v>0.923</v>
          </cell>
          <cell r="DW42">
            <v>0.986</v>
          </cell>
          <cell r="DX42">
            <v>0.999</v>
          </cell>
          <cell r="DY42">
            <v>0.999</v>
          </cell>
          <cell r="DZ42">
            <v>0.999</v>
          </cell>
          <cell r="EA42">
            <v>0.999</v>
          </cell>
          <cell r="EB42">
            <v>0.999</v>
          </cell>
          <cell r="EC42">
            <v>0.999</v>
          </cell>
          <cell r="ED42">
            <v>0.999</v>
          </cell>
          <cell r="EE42">
            <v>0.999</v>
          </cell>
          <cell r="EF42">
            <v>0.999</v>
          </cell>
          <cell r="EG42">
            <v>0.999</v>
          </cell>
          <cell r="EH42">
            <v>0.999</v>
          </cell>
          <cell r="EI42">
            <v>0.999</v>
          </cell>
          <cell r="EJ42">
            <v>0.999</v>
          </cell>
          <cell r="EK42">
            <v>0.999</v>
          </cell>
          <cell r="EL42">
            <v>0.999</v>
          </cell>
          <cell r="EM42">
            <v>0.999</v>
          </cell>
          <cell r="EN42">
            <v>0.999</v>
          </cell>
          <cell r="EO42">
            <v>0.999</v>
          </cell>
          <cell r="EP42">
            <v>0.999</v>
          </cell>
          <cell r="EQ42">
            <v>0.997</v>
          </cell>
          <cell r="ER42">
            <v>0.992</v>
          </cell>
          <cell r="ES42">
            <v>0.99</v>
          </cell>
          <cell r="ET42">
            <v>0.985</v>
          </cell>
          <cell r="EU42">
            <v>0.975</v>
          </cell>
          <cell r="EV42">
            <v>0.957</v>
          </cell>
          <cell r="EW42">
            <v>0.928</v>
          </cell>
          <cell r="EX42">
            <v>0.885</v>
          </cell>
          <cell r="EY42">
            <v>0.827</v>
          </cell>
          <cell r="EZ42">
            <v>0.748</v>
          </cell>
          <cell r="FA42">
            <v>0.643</v>
          </cell>
          <cell r="FB42">
            <v>0.553</v>
          </cell>
          <cell r="FC42">
            <v>0.451</v>
          </cell>
          <cell r="FD42">
            <v>0.328</v>
          </cell>
          <cell r="FE42">
            <v>0.575</v>
          </cell>
          <cell r="FF42">
            <v>0.846</v>
          </cell>
          <cell r="FG42">
            <v>0.96</v>
          </cell>
          <cell r="FH42">
            <v>0.993</v>
          </cell>
          <cell r="FI42">
            <v>0.998</v>
          </cell>
          <cell r="FJ42">
            <v>0.998</v>
          </cell>
          <cell r="FK42">
            <v>0.998</v>
          </cell>
          <cell r="FL42">
            <v>0.998</v>
          </cell>
          <cell r="FM42">
            <v>0.998</v>
          </cell>
          <cell r="FN42">
            <v>0.998</v>
          </cell>
          <cell r="FO42">
            <v>0.998</v>
          </cell>
          <cell r="FP42">
            <v>0.998</v>
          </cell>
          <cell r="FQ42">
            <v>0.998</v>
          </cell>
          <cell r="FR42">
            <v>0.998</v>
          </cell>
          <cell r="FS42">
            <v>0.998</v>
          </cell>
          <cell r="FT42">
            <v>0.998</v>
          </cell>
          <cell r="FU42">
            <v>0.998</v>
          </cell>
          <cell r="FV42">
            <v>0.998</v>
          </cell>
          <cell r="FW42">
            <v>0.998</v>
          </cell>
          <cell r="FX42">
            <v>0.998</v>
          </cell>
          <cell r="FY42">
            <v>0.998</v>
          </cell>
          <cell r="FZ42">
            <v>0.998</v>
          </cell>
          <cell r="GA42">
            <v>0.993</v>
          </cell>
          <cell r="GB42">
            <v>0.987</v>
          </cell>
          <cell r="GC42">
            <v>0.98</v>
          </cell>
          <cell r="GD42">
            <v>0.971</v>
          </cell>
          <cell r="GE42">
            <v>0.951</v>
          </cell>
          <cell r="GF42">
            <v>0.918</v>
          </cell>
          <cell r="GG42">
            <v>0.862</v>
          </cell>
          <cell r="GH42">
            <v>0.787</v>
          </cell>
          <cell r="GI42">
            <v>0.683</v>
          </cell>
          <cell r="GJ42">
            <v>0.561</v>
          </cell>
          <cell r="GK42">
            <v>0.417</v>
          </cell>
          <cell r="GL42">
            <v>0.308</v>
          </cell>
          <cell r="GM42">
            <v>0.206</v>
          </cell>
          <cell r="GN42">
            <v>0.11</v>
          </cell>
        </row>
        <row r="43">
          <cell r="B43" t="str">
            <v>H-LaK52</v>
          </cell>
          <cell r="C43">
            <v>729547</v>
          </cell>
          <cell r="D43">
            <v>54.67</v>
          </cell>
          <cell r="E43">
            <v>54.44</v>
          </cell>
          <cell r="F43">
            <v>0.013337</v>
          </cell>
          <cell r="G43">
            <v>0.013451</v>
          </cell>
          <cell r="H43">
            <v>1.68934</v>
          </cell>
          <cell r="I43">
            <v>1.69681</v>
          </cell>
          <cell r="J43">
            <v>1.7049</v>
          </cell>
          <cell r="K43">
            <v>1.71188</v>
          </cell>
          <cell r="L43">
            <v>1.71409</v>
          </cell>
          <cell r="M43">
            <v>1.7179</v>
          </cell>
          <cell r="N43">
            <v>1.72047</v>
          </cell>
          <cell r="O43">
            <v>1.72279</v>
          </cell>
          <cell r="P43">
            <v>1.7251</v>
          </cell>
          <cell r="Q43">
            <v>1.72575</v>
          </cell>
          <cell r="R43">
            <v>1.72635</v>
          </cell>
          <cell r="S43">
            <v>1.72904</v>
          </cell>
          <cell r="T43">
            <v>1.72916</v>
          </cell>
          <cell r="U43">
            <v>1.73234</v>
          </cell>
          <cell r="V43">
            <v>1.73844</v>
          </cell>
          <cell r="W43">
            <v>1.7392</v>
          </cell>
          <cell r="X43">
            <v>1.74571</v>
          </cell>
          <cell r="Y43">
            <v>1.75176</v>
          </cell>
          <cell r="Z43">
            <v>1.76205</v>
          </cell>
          <cell r="AA43">
            <v>2.93497096</v>
          </cell>
          <cell r="AB43">
            <v>-0.0156596537</v>
          </cell>
          <cell r="AC43">
            <v>0.0192100308</v>
          </cell>
          <cell r="AD43">
            <v>0.000655992008</v>
          </cell>
          <cell r="AE43">
            <v>-3.57893356e-5</v>
          </cell>
          <cell r="AF43">
            <v>1.86989357e-6</v>
          </cell>
          <cell r="AG43">
            <v>0.304347826086955</v>
          </cell>
          <cell r="AH43">
            <v>0.238380809595201</v>
          </cell>
          <cell r="AI43">
            <v>0.54497751124439</v>
          </cell>
          <cell r="AJ43">
            <v>0.253531598513018</v>
          </cell>
          <cell r="AK43">
            <v>0.236431226765793</v>
          </cell>
          <cell r="AL43">
            <v>0.48401486988847</v>
          </cell>
          <cell r="AM43">
            <v>-0.0027507956821562</v>
          </cell>
          <cell r="AN43">
            <v>-0.00781561875561008</v>
          </cell>
          <cell r="AO43">
            <v>0.0203065113343525</v>
          </cell>
          <cell r="AP43">
            <v>0.00812213493254466</v>
          </cell>
          <cell r="AQ43">
            <v>2.7</v>
          </cell>
          <cell r="AR43">
            <v>2.7</v>
          </cell>
          <cell r="AS43">
            <v>2.8</v>
          </cell>
          <cell r="AT43">
            <v>2.7</v>
          </cell>
          <cell r="AU43">
            <v>2.8</v>
          </cell>
          <cell r="AV43">
            <v>2.8</v>
          </cell>
          <cell r="AW43">
            <v>3.2</v>
          </cell>
          <cell r="AX43">
            <v>3.2</v>
          </cell>
          <cell r="AY43">
            <v>3.2</v>
          </cell>
          <cell r="AZ43">
            <v>3.2</v>
          </cell>
          <cell r="BA43">
            <v>3.3</v>
          </cell>
          <cell r="BB43">
            <v>3.4</v>
          </cell>
          <cell r="BC43">
            <v>3.2</v>
          </cell>
          <cell r="BD43">
            <v>3.2</v>
          </cell>
          <cell r="BE43">
            <v>3.2</v>
          </cell>
          <cell r="BF43">
            <v>3.2</v>
          </cell>
          <cell r="BG43">
            <v>3.3</v>
          </cell>
          <cell r="BH43">
            <v>3.5</v>
          </cell>
          <cell r="BI43">
            <v>3.3</v>
          </cell>
          <cell r="BJ43">
            <v>3.3</v>
          </cell>
          <cell r="BK43">
            <v>3.4</v>
          </cell>
          <cell r="BL43">
            <v>3.4</v>
          </cell>
          <cell r="BM43">
            <v>3.4</v>
          </cell>
          <cell r="BN43">
            <v>3.6</v>
          </cell>
          <cell r="BO43">
            <v>3.5</v>
          </cell>
          <cell r="BP43">
            <v>3.5</v>
          </cell>
          <cell r="BQ43">
            <v>3.5</v>
          </cell>
          <cell r="BR43">
            <v>3.5</v>
          </cell>
          <cell r="BS43">
            <v>3.6</v>
          </cell>
          <cell r="BT43">
            <v>3.8</v>
          </cell>
          <cell r="BU43">
            <v>3.8</v>
          </cell>
          <cell r="BV43">
            <v>3.9</v>
          </cell>
          <cell r="BW43">
            <v>3.9</v>
          </cell>
          <cell r="BX43">
            <v>4</v>
          </cell>
          <cell r="BY43">
            <v>4.1</v>
          </cell>
          <cell r="BZ43">
            <v>4.2</v>
          </cell>
          <cell r="CA43">
            <v>4.2</v>
          </cell>
          <cell r="CB43">
            <v>4.3</v>
          </cell>
          <cell r="CC43">
            <v>4.3</v>
          </cell>
          <cell r="CD43">
            <v>4.4</v>
          </cell>
          <cell r="CE43">
            <v>4.5</v>
          </cell>
          <cell r="CF43">
            <v>4.7</v>
          </cell>
          <cell r="CG43">
            <v>0.8</v>
          </cell>
          <cell r="CH43">
            <v>1.2</v>
          </cell>
          <cell r="CI43">
            <v>1.5</v>
          </cell>
          <cell r="CJ43">
            <v>1.7</v>
          </cell>
          <cell r="CK43">
            <v>2</v>
          </cell>
          <cell r="CL43">
            <v>2.3</v>
          </cell>
          <cell r="CM43">
            <v>1.75e-6</v>
          </cell>
          <cell r="CN43">
            <v>1.153e-8</v>
          </cell>
          <cell r="CO43">
            <v>-2.44e-12</v>
          </cell>
          <cell r="CP43">
            <v>3.43e-7</v>
          </cell>
          <cell r="CQ43">
            <v>3.507e-10</v>
          </cell>
          <cell r="CR43">
            <v>0.257</v>
          </cell>
          <cell r="CS43">
            <v>1</v>
          </cell>
          <cell r="CT43">
            <v>3</v>
          </cell>
          <cell r="CU43">
            <v>1</v>
          </cell>
          <cell r="CV43">
            <v>3</v>
          </cell>
          <cell r="CW43">
            <v>1</v>
          </cell>
          <cell r="CX43">
            <v>2</v>
          </cell>
          <cell r="CY43">
            <v>0</v>
          </cell>
          <cell r="CZ43">
            <v>0</v>
          </cell>
          <cell r="DA43">
            <v>670</v>
          </cell>
          <cell r="DB43">
            <v>695</v>
          </cell>
          <cell r="DC43">
            <v>620</v>
          </cell>
          <cell r="DD43">
            <v>645</v>
          </cell>
          <cell r="DE43">
            <v>61</v>
          </cell>
          <cell r="DF43">
            <v>0</v>
          </cell>
          <cell r="DG43">
            <v>74</v>
          </cell>
          <cell r="DH43">
            <v>0</v>
          </cell>
          <cell r="DI43">
            <v>125</v>
          </cell>
          <cell r="DJ43">
            <v>0</v>
          </cell>
          <cell r="DK43">
            <v>720</v>
          </cell>
          <cell r="DL43">
            <v>63</v>
          </cell>
          <cell r="DM43">
            <v>11844</v>
          </cell>
          <cell r="DN43">
            <v>4584</v>
          </cell>
          <cell r="DO43">
            <v>0.292</v>
          </cell>
          <cell r="DP43">
            <v>0</v>
          </cell>
          <cell r="DQ43" t="str">
            <v>370/280</v>
          </cell>
          <cell r="DR43">
            <v>335</v>
          </cell>
          <cell r="DS43">
            <v>275</v>
          </cell>
          <cell r="DT43">
            <v>3.98</v>
          </cell>
          <cell r="DU43">
            <v>0.769</v>
          </cell>
          <cell r="DV43">
            <v>0.926</v>
          </cell>
          <cell r="DW43">
            <v>0.978</v>
          </cell>
          <cell r="DX43">
            <v>0.994</v>
          </cell>
          <cell r="DY43">
            <v>0.999</v>
          </cell>
          <cell r="DZ43">
            <v>0.999</v>
          </cell>
          <cell r="EA43">
            <v>0.999</v>
          </cell>
          <cell r="EB43">
            <v>0.999</v>
          </cell>
          <cell r="EC43">
            <v>0.999</v>
          </cell>
          <cell r="ED43">
            <v>0.999</v>
          </cell>
          <cell r="EE43">
            <v>0.999</v>
          </cell>
          <cell r="EF43">
            <v>0.999</v>
          </cell>
          <cell r="EG43">
            <v>0.999</v>
          </cell>
          <cell r="EH43">
            <v>0.999</v>
          </cell>
          <cell r="EI43">
            <v>0.999</v>
          </cell>
          <cell r="EJ43">
            <v>0.999</v>
          </cell>
          <cell r="EK43">
            <v>0.999</v>
          </cell>
          <cell r="EL43">
            <v>0.999</v>
          </cell>
          <cell r="EM43">
            <v>0.999</v>
          </cell>
          <cell r="EN43">
            <v>0.999</v>
          </cell>
          <cell r="EO43">
            <v>0.999</v>
          </cell>
          <cell r="EP43">
            <v>0.999</v>
          </cell>
          <cell r="EQ43">
            <v>0.995</v>
          </cell>
          <cell r="ER43">
            <v>0.99</v>
          </cell>
          <cell r="ES43">
            <v>0.985</v>
          </cell>
          <cell r="ET43">
            <v>0.98</v>
          </cell>
          <cell r="EU43">
            <v>0.97</v>
          </cell>
          <cell r="EV43">
            <v>0.964</v>
          </cell>
          <cell r="EW43">
            <v>0.939</v>
          </cell>
          <cell r="EX43">
            <v>0.898</v>
          </cell>
          <cell r="EY43">
            <v>0.841</v>
          </cell>
          <cell r="EZ43">
            <v>0.769</v>
          </cell>
          <cell r="FA43">
            <v>0.667</v>
          </cell>
          <cell r="FB43">
            <v>0.587</v>
          </cell>
          <cell r="FC43">
            <v>0.488</v>
          </cell>
          <cell r="FD43">
            <v>0.342</v>
          </cell>
          <cell r="FE43">
            <v>0.591</v>
          </cell>
          <cell r="FF43">
            <v>0.857</v>
          </cell>
          <cell r="FG43">
            <v>0.956</v>
          </cell>
          <cell r="FH43">
            <v>0.988</v>
          </cell>
          <cell r="FI43">
            <v>0.998</v>
          </cell>
          <cell r="FJ43">
            <v>0.998</v>
          </cell>
          <cell r="FK43">
            <v>0.998</v>
          </cell>
          <cell r="FL43">
            <v>0.998</v>
          </cell>
          <cell r="FM43">
            <v>0.998</v>
          </cell>
          <cell r="FN43">
            <v>0.998</v>
          </cell>
          <cell r="FO43">
            <v>0.998</v>
          </cell>
          <cell r="FP43">
            <v>0.998</v>
          </cell>
          <cell r="FQ43">
            <v>0.998</v>
          </cell>
          <cell r="FR43">
            <v>0.998</v>
          </cell>
          <cell r="FS43">
            <v>0.998</v>
          </cell>
          <cell r="FT43">
            <v>0.998</v>
          </cell>
          <cell r="FU43">
            <v>0.998</v>
          </cell>
          <cell r="FV43">
            <v>0.998</v>
          </cell>
          <cell r="FW43">
            <v>0.998</v>
          </cell>
          <cell r="FX43">
            <v>0.998</v>
          </cell>
          <cell r="FY43">
            <v>0.998</v>
          </cell>
          <cell r="FZ43">
            <v>0.998</v>
          </cell>
          <cell r="GA43">
            <v>0.99</v>
          </cell>
          <cell r="GB43">
            <v>0.98</v>
          </cell>
          <cell r="GC43">
            <v>0.97</v>
          </cell>
          <cell r="GD43">
            <v>0.96</v>
          </cell>
          <cell r="GE43">
            <v>0.941</v>
          </cell>
          <cell r="GF43">
            <v>0.929</v>
          </cell>
          <cell r="GG43">
            <v>0.882</v>
          </cell>
          <cell r="GH43">
            <v>0.806</v>
          </cell>
          <cell r="GI43">
            <v>0.707</v>
          </cell>
          <cell r="GJ43">
            <v>0.591</v>
          </cell>
          <cell r="GK43">
            <v>0.445</v>
          </cell>
          <cell r="GL43">
            <v>0.345</v>
          </cell>
          <cell r="GM43">
            <v>0.238</v>
          </cell>
          <cell r="GN43">
            <v>0.117</v>
          </cell>
        </row>
        <row r="44">
          <cell r="B44" t="str">
            <v>H-LaK53A</v>
          </cell>
          <cell r="C44">
            <v>755523</v>
          </cell>
          <cell r="D44">
            <v>52.32</v>
          </cell>
          <cell r="E44">
            <v>52.09</v>
          </cell>
          <cell r="F44">
            <v>0.01443</v>
          </cell>
          <cell r="G44">
            <v>0.014561</v>
          </cell>
          <cell r="H44">
            <v>1.71389</v>
          </cell>
          <cell r="I44">
            <v>1.72137</v>
          </cell>
          <cell r="J44">
            <v>1.7295</v>
          </cell>
          <cell r="K44">
            <v>1.73661</v>
          </cell>
          <cell r="L44">
            <v>1.73893</v>
          </cell>
          <cell r="M44">
            <v>1.74293</v>
          </cell>
          <cell r="N44">
            <v>1.74566</v>
          </cell>
          <cell r="O44">
            <v>1.74815</v>
          </cell>
          <cell r="P44">
            <v>1.75063</v>
          </cell>
          <cell r="Q44">
            <v>1.75132</v>
          </cell>
          <cell r="R44">
            <v>1.75197</v>
          </cell>
          <cell r="S44">
            <v>1.75487</v>
          </cell>
          <cell r="T44">
            <v>1.755</v>
          </cell>
          <cell r="U44">
            <v>1.75844</v>
          </cell>
          <cell r="V44">
            <v>1.76506</v>
          </cell>
          <cell r="W44">
            <v>1.76588</v>
          </cell>
          <cell r="X44">
            <v>1.77295</v>
          </cell>
          <cell r="Y44">
            <v>1.77953</v>
          </cell>
          <cell r="Z44">
            <v>1.79081</v>
          </cell>
          <cell r="AA44">
            <v>3.01906956</v>
          </cell>
          <cell r="AB44">
            <v>-0.015818462</v>
          </cell>
          <cell r="AC44">
            <v>0.0209047144</v>
          </cell>
          <cell r="AD44">
            <v>0.000846561491</v>
          </cell>
          <cell r="AE44">
            <v>-6.18209745e-5</v>
          </cell>
          <cell r="AF44">
            <v>3.65072914e-6</v>
          </cell>
          <cell r="AG44">
            <v>0.302841302841298</v>
          </cell>
          <cell r="AH44">
            <v>0.238392238392243</v>
          </cell>
          <cell r="AI44">
            <v>0.546777546777537</v>
          </cell>
          <cell r="AJ44">
            <v>0.252747252747248</v>
          </cell>
          <cell r="AK44">
            <v>0.236263736263745</v>
          </cell>
          <cell r="AL44">
            <v>0.485576923076935</v>
          </cell>
          <cell r="AM44">
            <v>-0.00255290123354164</v>
          </cell>
          <cell r="AN44">
            <v>-0.00991893322246275</v>
          </cell>
          <cell r="AO44">
            <v>0.0171680908107892</v>
          </cell>
          <cell r="AP44">
            <v>0.00764253361051495</v>
          </cell>
          <cell r="AQ44">
            <v>3.4</v>
          </cell>
          <cell r="AR44">
            <v>3.3</v>
          </cell>
          <cell r="AS44">
            <v>3.3</v>
          </cell>
          <cell r="AT44">
            <v>3.3</v>
          </cell>
          <cell r="AU44">
            <v>3.4</v>
          </cell>
          <cell r="AV44">
            <v>3.5</v>
          </cell>
          <cell r="AW44">
            <v>3.8</v>
          </cell>
          <cell r="AX44">
            <v>3.8</v>
          </cell>
          <cell r="AY44">
            <v>3.8</v>
          </cell>
          <cell r="AZ44">
            <v>3.9</v>
          </cell>
          <cell r="BA44">
            <v>4</v>
          </cell>
          <cell r="BB44">
            <v>4.1</v>
          </cell>
          <cell r="BC44">
            <v>3.8</v>
          </cell>
          <cell r="BD44">
            <v>3.9</v>
          </cell>
          <cell r="BE44">
            <v>3.9</v>
          </cell>
          <cell r="BF44">
            <v>3.9</v>
          </cell>
          <cell r="BG44">
            <v>4</v>
          </cell>
          <cell r="BH44">
            <v>4.2</v>
          </cell>
          <cell r="BI44">
            <v>4</v>
          </cell>
          <cell r="BJ44">
            <v>4</v>
          </cell>
          <cell r="BK44">
            <v>4</v>
          </cell>
          <cell r="BL44">
            <v>4.1</v>
          </cell>
          <cell r="BM44">
            <v>4.2</v>
          </cell>
          <cell r="BN44">
            <v>4.3</v>
          </cell>
          <cell r="BO44">
            <v>4.2</v>
          </cell>
          <cell r="BP44">
            <v>4.2</v>
          </cell>
          <cell r="BQ44">
            <v>4.2</v>
          </cell>
          <cell r="BR44">
            <v>4.3</v>
          </cell>
          <cell r="BS44">
            <v>4.4</v>
          </cell>
          <cell r="BT44">
            <v>4.5</v>
          </cell>
          <cell r="BU44">
            <v>4.6</v>
          </cell>
          <cell r="BV44">
            <v>4.6</v>
          </cell>
          <cell r="BW44">
            <v>4.7</v>
          </cell>
          <cell r="BX44">
            <v>4.7</v>
          </cell>
          <cell r="BY44">
            <v>4.8</v>
          </cell>
          <cell r="BZ44">
            <v>5</v>
          </cell>
          <cell r="CA44">
            <v>5</v>
          </cell>
          <cell r="CB44">
            <v>5</v>
          </cell>
          <cell r="CC44">
            <v>5.1</v>
          </cell>
          <cell r="CD44">
            <v>5.2</v>
          </cell>
          <cell r="CE44">
            <v>5.3</v>
          </cell>
          <cell r="CF44">
            <v>5.5</v>
          </cell>
          <cell r="CG44">
            <v>1.5</v>
          </cell>
          <cell r="CH44">
            <v>1.8</v>
          </cell>
          <cell r="CI44">
            <v>2.1</v>
          </cell>
          <cell r="CJ44">
            <v>2.4</v>
          </cell>
          <cell r="CK44">
            <v>2.7</v>
          </cell>
          <cell r="CL44">
            <v>3</v>
          </cell>
          <cell r="CM44">
            <v>2.14e-6</v>
          </cell>
          <cell r="CN44">
            <v>1.048e-8</v>
          </cell>
          <cell r="CO44">
            <v>-1.15e-12</v>
          </cell>
          <cell r="CP44">
            <v>6.02e-7</v>
          </cell>
          <cell r="CQ44">
            <v>7.316e-10</v>
          </cell>
          <cell r="CR44">
            <v>0.135</v>
          </cell>
          <cell r="CS44">
            <v>1</v>
          </cell>
          <cell r="CT44">
            <v>2</v>
          </cell>
          <cell r="CU44">
            <v>1</v>
          </cell>
          <cell r="CV44">
            <v>3</v>
          </cell>
          <cell r="CW44">
            <v>1</v>
          </cell>
          <cell r="CX44">
            <v>1</v>
          </cell>
          <cell r="CY44">
            <v>0</v>
          </cell>
          <cell r="CZ44">
            <v>0</v>
          </cell>
          <cell r="DA44">
            <v>681</v>
          </cell>
          <cell r="DB44">
            <v>708</v>
          </cell>
          <cell r="DC44">
            <v>631</v>
          </cell>
          <cell r="DD44">
            <v>652</v>
          </cell>
          <cell r="DE44">
            <v>57</v>
          </cell>
          <cell r="DF44">
            <v>0</v>
          </cell>
          <cell r="DG44">
            <v>72</v>
          </cell>
          <cell r="DH44">
            <v>0</v>
          </cell>
          <cell r="DI44">
            <v>130</v>
          </cell>
          <cell r="DJ44">
            <v>0</v>
          </cell>
          <cell r="DK44">
            <v>718</v>
          </cell>
          <cell r="DL44">
            <v>58</v>
          </cell>
          <cell r="DM44">
            <v>10998</v>
          </cell>
          <cell r="DN44">
            <v>4253</v>
          </cell>
          <cell r="DO44">
            <v>0.293</v>
          </cell>
          <cell r="DP44">
            <v>0</v>
          </cell>
          <cell r="DQ44" t="str">
            <v>370/280</v>
          </cell>
          <cell r="DR44">
            <v>340</v>
          </cell>
          <cell r="DS44">
            <v>276</v>
          </cell>
          <cell r="DT44">
            <v>4.24</v>
          </cell>
          <cell r="DU44">
            <v>0.778</v>
          </cell>
          <cell r="DV44">
            <v>0.934</v>
          </cell>
          <cell r="DW44">
            <v>0.99</v>
          </cell>
          <cell r="DX44">
            <v>0.999</v>
          </cell>
          <cell r="DY44">
            <v>0.999</v>
          </cell>
          <cell r="DZ44">
            <v>0.999</v>
          </cell>
          <cell r="EA44">
            <v>0.999</v>
          </cell>
          <cell r="EB44">
            <v>0.999</v>
          </cell>
          <cell r="EC44">
            <v>0.999</v>
          </cell>
          <cell r="ED44">
            <v>0.999</v>
          </cell>
          <cell r="EE44">
            <v>0.999</v>
          </cell>
          <cell r="EF44">
            <v>0.999</v>
          </cell>
          <cell r="EG44">
            <v>0.999</v>
          </cell>
          <cell r="EH44">
            <v>0.999</v>
          </cell>
          <cell r="EI44">
            <v>0.999</v>
          </cell>
          <cell r="EJ44">
            <v>0.999</v>
          </cell>
          <cell r="EK44">
            <v>0.999</v>
          </cell>
          <cell r="EL44">
            <v>0.999</v>
          </cell>
          <cell r="EM44">
            <v>0.999</v>
          </cell>
          <cell r="EN44">
            <v>0.999</v>
          </cell>
          <cell r="EO44">
            <v>0.999</v>
          </cell>
          <cell r="EP44">
            <v>0.997</v>
          </cell>
          <cell r="EQ44">
            <v>0.995</v>
          </cell>
          <cell r="ER44">
            <v>0.992</v>
          </cell>
          <cell r="ES44">
            <v>0.989</v>
          </cell>
          <cell r="ET44">
            <v>0.984</v>
          </cell>
          <cell r="EU44">
            <v>0.975</v>
          </cell>
          <cell r="EV44">
            <v>0.957</v>
          </cell>
          <cell r="EW44">
            <v>0.934</v>
          </cell>
          <cell r="EX44">
            <v>0.897</v>
          </cell>
          <cell r="EY44">
            <v>0.846</v>
          </cell>
          <cell r="EZ44">
            <v>0.779</v>
          </cell>
          <cell r="FA44">
            <v>0.672</v>
          </cell>
          <cell r="FB44">
            <v>0.606</v>
          </cell>
          <cell r="FC44">
            <v>0.515</v>
          </cell>
          <cell r="FD44">
            <v>0.354</v>
          </cell>
          <cell r="FE44">
            <v>0.605</v>
          </cell>
          <cell r="FF44">
            <v>0.872</v>
          </cell>
          <cell r="FG44">
            <v>0.98</v>
          </cell>
          <cell r="FH44">
            <v>0.998</v>
          </cell>
          <cell r="FI44">
            <v>0.998</v>
          </cell>
          <cell r="FJ44">
            <v>0.998</v>
          </cell>
          <cell r="FK44">
            <v>0.998</v>
          </cell>
          <cell r="FL44">
            <v>0.998</v>
          </cell>
          <cell r="FM44">
            <v>0.998</v>
          </cell>
          <cell r="FN44">
            <v>0.998</v>
          </cell>
          <cell r="FO44">
            <v>0.998</v>
          </cell>
          <cell r="FP44">
            <v>0.998</v>
          </cell>
          <cell r="FQ44">
            <v>0.998</v>
          </cell>
          <cell r="FR44">
            <v>0.998</v>
          </cell>
          <cell r="FS44">
            <v>0.998</v>
          </cell>
          <cell r="FT44">
            <v>0.998</v>
          </cell>
          <cell r="FU44">
            <v>0.998</v>
          </cell>
          <cell r="FV44">
            <v>0.998</v>
          </cell>
          <cell r="FW44">
            <v>0.998</v>
          </cell>
          <cell r="FX44">
            <v>0.998</v>
          </cell>
          <cell r="FY44">
            <v>0.998</v>
          </cell>
          <cell r="FZ44">
            <v>0.994</v>
          </cell>
          <cell r="GA44">
            <v>0.989</v>
          </cell>
          <cell r="GB44">
            <v>0.984</v>
          </cell>
          <cell r="GC44">
            <v>0.978</v>
          </cell>
          <cell r="GD44">
            <v>0.968</v>
          </cell>
          <cell r="GE44">
            <v>0.95</v>
          </cell>
          <cell r="GF44">
            <v>0.918</v>
          </cell>
          <cell r="GG44">
            <v>0.873</v>
          </cell>
          <cell r="GH44">
            <v>0.805</v>
          </cell>
          <cell r="GI44">
            <v>0.715</v>
          </cell>
          <cell r="GJ44">
            <v>0.607</v>
          </cell>
          <cell r="GK44">
            <v>0.45</v>
          </cell>
          <cell r="GL44">
            <v>0.367</v>
          </cell>
          <cell r="GM44">
            <v>0.266</v>
          </cell>
          <cell r="GN44">
            <v>0.129</v>
          </cell>
        </row>
        <row r="45">
          <cell r="B45" t="str">
            <v>H-LaK54</v>
          </cell>
          <cell r="C45">
            <v>734511</v>
          </cell>
          <cell r="D45">
            <v>51.05</v>
          </cell>
          <cell r="E45">
            <v>50.82</v>
          </cell>
          <cell r="F45">
            <v>0.014377</v>
          </cell>
          <cell r="G45">
            <v>0.014511</v>
          </cell>
          <cell r="H45">
            <v>1.69388</v>
          </cell>
          <cell r="I45">
            <v>1.70113</v>
          </cell>
          <cell r="J45">
            <v>1.70899</v>
          </cell>
          <cell r="K45">
            <v>1.71588</v>
          </cell>
          <cell r="L45">
            <v>1.71813</v>
          </cell>
          <cell r="M45">
            <v>1.72204</v>
          </cell>
          <cell r="N45">
            <v>1.72471</v>
          </cell>
          <cell r="O45">
            <v>1.72718</v>
          </cell>
          <cell r="P45">
            <v>1.72965</v>
          </cell>
          <cell r="Q45">
            <v>1.73034</v>
          </cell>
          <cell r="R45">
            <v>1.73099</v>
          </cell>
          <cell r="S45">
            <v>1.73387</v>
          </cell>
          <cell r="T45">
            <v>1.734</v>
          </cell>
          <cell r="U45">
            <v>1.73742</v>
          </cell>
          <cell r="V45">
            <v>1.74403</v>
          </cell>
          <cell r="W45">
            <v>1.74485</v>
          </cell>
          <cell r="X45">
            <v>1.75189</v>
          </cell>
          <cell r="Y45">
            <v>1.75842</v>
          </cell>
          <cell r="Z45">
            <v>1.76975</v>
          </cell>
          <cell r="AA45">
            <v>2.94765208</v>
          </cell>
          <cell r="AB45">
            <v>-0.0151684002</v>
          </cell>
          <cell r="AC45">
            <v>0.0192673146</v>
          </cell>
          <cell r="AD45">
            <v>0.00138888212</v>
          </cell>
          <cell r="AE45">
            <v>-0.000155407755</v>
          </cell>
          <cell r="AF45">
            <v>9.21281201e-6</v>
          </cell>
          <cell r="AG45">
            <v>0.302503477051464</v>
          </cell>
          <cell r="AH45">
            <v>0.237830319888732</v>
          </cell>
          <cell r="AI45">
            <v>0.546592489568842</v>
          </cell>
          <cell r="AJ45">
            <v>0.252239834596829</v>
          </cell>
          <cell r="AK45">
            <v>0.235699517574085</v>
          </cell>
          <cell r="AL45">
            <v>0.485182632667121</v>
          </cell>
          <cell r="AM45">
            <v>-0.00235419694019632</v>
          </cell>
          <cell r="AN45">
            <v>-0.0122134604311581</v>
          </cell>
          <cell r="AO45">
            <v>0.0136243564673107</v>
          </cell>
          <cell r="AP45">
            <v>0.00628723226702808</v>
          </cell>
          <cell r="AQ45">
            <v>6.1</v>
          </cell>
          <cell r="AR45">
            <v>6.1</v>
          </cell>
          <cell r="AS45">
            <v>6.1</v>
          </cell>
          <cell r="AT45">
            <v>6.2</v>
          </cell>
          <cell r="AU45">
            <v>6.2</v>
          </cell>
          <cell r="AV45">
            <v>6.4</v>
          </cell>
          <cell r="AW45">
            <v>6.7</v>
          </cell>
          <cell r="AX45">
            <v>6.7</v>
          </cell>
          <cell r="AY45">
            <v>6.7</v>
          </cell>
          <cell r="AZ45">
            <v>6.8</v>
          </cell>
          <cell r="BA45">
            <v>6.9</v>
          </cell>
          <cell r="BB45">
            <v>7.1</v>
          </cell>
          <cell r="BC45">
            <v>6.7</v>
          </cell>
          <cell r="BD45">
            <v>6.7</v>
          </cell>
          <cell r="BE45">
            <v>6.8</v>
          </cell>
          <cell r="BF45">
            <v>6.8</v>
          </cell>
          <cell r="BG45">
            <v>6.9</v>
          </cell>
          <cell r="BH45">
            <v>7.1</v>
          </cell>
          <cell r="BI45">
            <v>6.9</v>
          </cell>
          <cell r="BJ45">
            <v>6.9</v>
          </cell>
          <cell r="BK45">
            <v>7</v>
          </cell>
          <cell r="BL45">
            <v>7</v>
          </cell>
          <cell r="BM45">
            <v>7.1</v>
          </cell>
          <cell r="BN45">
            <v>7.3</v>
          </cell>
          <cell r="BO45">
            <v>7.1</v>
          </cell>
          <cell r="BP45">
            <v>7.1</v>
          </cell>
          <cell r="BQ45">
            <v>7.2</v>
          </cell>
          <cell r="BR45">
            <v>7.2</v>
          </cell>
          <cell r="BS45">
            <v>7.4</v>
          </cell>
          <cell r="BT45">
            <v>7.5</v>
          </cell>
          <cell r="BU45">
            <v>7.6</v>
          </cell>
          <cell r="BV45">
            <v>7.6</v>
          </cell>
          <cell r="BW45">
            <v>7.7</v>
          </cell>
          <cell r="BX45">
            <v>7.8</v>
          </cell>
          <cell r="BY45">
            <v>7.9</v>
          </cell>
          <cell r="BZ45">
            <v>8.1</v>
          </cell>
          <cell r="CA45">
            <v>8</v>
          </cell>
          <cell r="CB45">
            <v>8.1</v>
          </cell>
          <cell r="CC45">
            <v>8.2</v>
          </cell>
          <cell r="CD45">
            <v>8.3</v>
          </cell>
          <cell r="CE45">
            <v>8.5</v>
          </cell>
          <cell r="CF45">
            <v>8.7</v>
          </cell>
          <cell r="CG45">
            <v>4.4</v>
          </cell>
          <cell r="CH45">
            <v>4.7</v>
          </cell>
          <cell r="CI45">
            <v>5.1</v>
          </cell>
          <cell r="CJ45">
            <v>5.3</v>
          </cell>
          <cell r="CK45">
            <v>5.6</v>
          </cell>
          <cell r="CL45">
            <v>5.9</v>
          </cell>
          <cell r="CM45">
            <v>7.46e-6</v>
          </cell>
          <cell r="CN45">
            <v>1.225e-8</v>
          </cell>
          <cell r="CO45">
            <v>-7.14e-12</v>
          </cell>
          <cell r="CP45">
            <v>5.32e-7</v>
          </cell>
          <cell r="CQ45">
            <v>5.563e-10</v>
          </cell>
          <cell r="CR45">
            <v>0.215</v>
          </cell>
          <cell r="CS45">
            <v>1</v>
          </cell>
          <cell r="CT45">
            <v>2</v>
          </cell>
          <cell r="CU45">
            <v>1</v>
          </cell>
          <cell r="CV45">
            <v>3</v>
          </cell>
          <cell r="CW45">
            <v>1</v>
          </cell>
          <cell r="CX45">
            <v>2</v>
          </cell>
          <cell r="CY45">
            <v>0</v>
          </cell>
          <cell r="CZ45">
            <v>0</v>
          </cell>
          <cell r="DA45">
            <v>626</v>
          </cell>
          <cell r="DB45">
            <v>663</v>
          </cell>
          <cell r="DC45">
            <v>575</v>
          </cell>
          <cell r="DD45">
            <v>618</v>
          </cell>
          <cell r="DE45">
            <v>51</v>
          </cell>
          <cell r="DF45">
            <v>0</v>
          </cell>
          <cell r="DG45">
            <v>67</v>
          </cell>
          <cell r="DH45">
            <v>0</v>
          </cell>
          <cell r="DI45">
            <v>155</v>
          </cell>
          <cell r="DJ45">
            <v>0</v>
          </cell>
          <cell r="DK45">
            <v>698</v>
          </cell>
          <cell r="DL45">
            <v>80</v>
          </cell>
          <cell r="DM45">
            <v>11494</v>
          </cell>
          <cell r="DN45">
            <v>4445</v>
          </cell>
          <cell r="DO45">
            <v>0.295</v>
          </cell>
          <cell r="DP45">
            <v>2.06</v>
          </cell>
          <cell r="DQ45" t="str">
            <v>370/290</v>
          </cell>
          <cell r="DR45">
            <v>0</v>
          </cell>
          <cell r="DS45">
            <v>0</v>
          </cell>
          <cell r="DT45">
            <v>4.07</v>
          </cell>
          <cell r="DU45">
            <v>0.786</v>
          </cell>
          <cell r="DV45">
            <v>0.922</v>
          </cell>
          <cell r="DW45">
            <v>0.987</v>
          </cell>
          <cell r="DX45">
            <v>0.999</v>
          </cell>
          <cell r="DY45">
            <v>0.999</v>
          </cell>
          <cell r="DZ45">
            <v>0.999</v>
          </cell>
          <cell r="EA45">
            <v>0.999</v>
          </cell>
          <cell r="EB45">
            <v>0.999</v>
          </cell>
          <cell r="EC45">
            <v>0.999</v>
          </cell>
          <cell r="ED45">
            <v>0.999</v>
          </cell>
          <cell r="EE45">
            <v>0.999</v>
          </cell>
          <cell r="EF45">
            <v>0.999</v>
          </cell>
          <cell r="EG45">
            <v>0.999</v>
          </cell>
          <cell r="EH45">
            <v>0.999</v>
          </cell>
          <cell r="EI45">
            <v>0.999</v>
          </cell>
          <cell r="EJ45">
            <v>0.999</v>
          </cell>
          <cell r="EK45">
            <v>0.999</v>
          </cell>
          <cell r="EL45">
            <v>0.999</v>
          </cell>
          <cell r="EM45">
            <v>0.999</v>
          </cell>
          <cell r="EN45">
            <v>0.999</v>
          </cell>
          <cell r="EO45">
            <v>0.998</v>
          </cell>
          <cell r="EP45">
            <v>0.997</v>
          </cell>
          <cell r="EQ45">
            <v>0.995</v>
          </cell>
          <cell r="ER45">
            <v>0.992</v>
          </cell>
          <cell r="ES45">
            <v>0.989</v>
          </cell>
          <cell r="ET45">
            <v>0.983</v>
          </cell>
          <cell r="EU45">
            <v>0.973</v>
          </cell>
          <cell r="EV45">
            <v>0.954</v>
          </cell>
          <cell r="EW45">
            <v>0.926</v>
          </cell>
          <cell r="EX45">
            <v>0.885</v>
          </cell>
          <cell r="EY45">
            <v>0.823</v>
          </cell>
          <cell r="EZ45">
            <v>0.735</v>
          </cell>
          <cell r="FA45">
            <v>0.595</v>
          </cell>
          <cell r="FB45">
            <v>0.385</v>
          </cell>
          <cell r="FC45">
            <v>0</v>
          </cell>
          <cell r="FD45">
            <v>0</v>
          </cell>
          <cell r="FE45">
            <v>0.618</v>
          </cell>
          <cell r="FF45">
            <v>0.85</v>
          </cell>
          <cell r="FG45">
            <v>0.974</v>
          </cell>
          <cell r="FH45">
            <v>0.998</v>
          </cell>
          <cell r="FI45">
            <v>0.998</v>
          </cell>
          <cell r="FJ45">
            <v>0.998</v>
          </cell>
          <cell r="FK45">
            <v>0.998</v>
          </cell>
          <cell r="FL45">
            <v>0.998</v>
          </cell>
          <cell r="FM45">
            <v>0.998</v>
          </cell>
          <cell r="FN45">
            <v>0.998</v>
          </cell>
          <cell r="FO45">
            <v>0.998</v>
          </cell>
          <cell r="FP45">
            <v>0.998</v>
          </cell>
          <cell r="FQ45">
            <v>0.998</v>
          </cell>
          <cell r="FR45">
            <v>0.998</v>
          </cell>
          <cell r="FS45">
            <v>0.998</v>
          </cell>
          <cell r="FT45">
            <v>0.998</v>
          </cell>
          <cell r="FU45">
            <v>0.998</v>
          </cell>
          <cell r="FV45">
            <v>0.998</v>
          </cell>
          <cell r="FW45">
            <v>0.998</v>
          </cell>
          <cell r="FX45">
            <v>0.998</v>
          </cell>
          <cell r="FY45">
            <v>0.996</v>
          </cell>
          <cell r="FZ45">
            <v>0.994</v>
          </cell>
          <cell r="GA45">
            <v>0.989</v>
          </cell>
          <cell r="GB45">
            <v>0.984</v>
          </cell>
          <cell r="GC45">
            <v>0.977</v>
          </cell>
          <cell r="GD45">
            <v>0.966</v>
          </cell>
          <cell r="GE45">
            <v>0.947</v>
          </cell>
          <cell r="GF45">
            <v>0.912</v>
          </cell>
          <cell r="GG45">
            <v>0.859</v>
          </cell>
          <cell r="GH45">
            <v>0.782</v>
          </cell>
          <cell r="GI45">
            <v>0.677</v>
          </cell>
          <cell r="GJ45">
            <v>0.54</v>
          </cell>
          <cell r="GK45">
            <v>0.352</v>
          </cell>
          <cell r="GL45">
            <v>0.148</v>
          </cell>
          <cell r="GM45">
            <v>0</v>
          </cell>
          <cell r="GN45">
            <v>0</v>
          </cell>
        </row>
        <row r="46">
          <cell r="B46" t="str">
            <v>H-LaK61</v>
          </cell>
          <cell r="C46">
            <v>741527</v>
          </cell>
          <cell r="D46">
            <v>52.7</v>
          </cell>
          <cell r="E46">
            <v>52.41</v>
          </cell>
          <cell r="F46">
            <v>0.01406</v>
          </cell>
          <cell r="G46">
            <v>0.014203</v>
          </cell>
          <cell r="H46">
            <v>1.70121</v>
          </cell>
          <cell r="I46">
            <v>1.70846</v>
          </cell>
          <cell r="J46">
            <v>1.7163</v>
          </cell>
          <cell r="K46">
            <v>1.72316</v>
          </cell>
          <cell r="L46">
            <v>1.72539</v>
          </cell>
          <cell r="M46">
            <v>1.72926</v>
          </cell>
          <cell r="N46">
            <v>1.7319</v>
          </cell>
          <cell r="O46">
            <v>1.73431</v>
          </cell>
          <cell r="P46">
            <v>1.73673</v>
          </cell>
          <cell r="Q46">
            <v>1.73741</v>
          </cell>
          <cell r="R46">
            <v>1.73804</v>
          </cell>
          <cell r="S46">
            <v>1.74087</v>
          </cell>
          <cell r="T46">
            <v>1.741</v>
          </cell>
          <cell r="U46">
            <v>1.74435</v>
          </cell>
          <cell r="V46">
            <v>1.75079</v>
          </cell>
          <cell r="W46">
            <v>1.75161</v>
          </cell>
          <cell r="X46">
            <v>1.75848</v>
          </cell>
          <cell r="Y46">
            <v>1.76487</v>
          </cell>
          <cell r="Z46">
            <v>1.77589</v>
          </cell>
          <cell r="AA46">
            <v>2.97284514</v>
          </cell>
          <cell r="AB46">
            <v>-0.0152227247</v>
          </cell>
          <cell r="AC46">
            <v>0.0192805429</v>
          </cell>
          <cell r="AD46">
            <v>0.00121514405</v>
          </cell>
          <cell r="AE46">
            <v>-0.000127892754</v>
          </cell>
          <cell r="AF46">
            <v>7.52453178e-6</v>
          </cell>
          <cell r="AG46">
            <v>0.303698435277383</v>
          </cell>
          <cell r="AH46">
            <v>0.238264580369842</v>
          </cell>
          <cell r="AI46">
            <v>0.546941678520626</v>
          </cell>
          <cell r="AJ46">
            <v>0.252816901408465</v>
          </cell>
          <cell r="AK46">
            <v>0.235915492957744</v>
          </cell>
          <cell r="AL46">
            <v>0.48380281690142</v>
          </cell>
          <cell r="AM46">
            <v>-0.00307261564722485</v>
          </cell>
          <cell r="AN46">
            <v>-0.00912362147937436</v>
          </cell>
          <cell r="AO46">
            <v>0.0110591854907652</v>
          </cell>
          <cell r="AP46">
            <v>0.00441445234709162</v>
          </cell>
          <cell r="AQ46">
            <v>4.5</v>
          </cell>
          <cell r="AR46">
            <v>4.4</v>
          </cell>
          <cell r="AS46">
            <v>4.4</v>
          </cell>
          <cell r="AT46">
            <v>4.5</v>
          </cell>
          <cell r="AU46">
            <v>4.5</v>
          </cell>
          <cell r="AV46">
            <v>4.7</v>
          </cell>
          <cell r="AW46">
            <v>5</v>
          </cell>
          <cell r="AX46">
            <v>4.9</v>
          </cell>
          <cell r="AY46">
            <v>5</v>
          </cell>
          <cell r="AZ46">
            <v>5</v>
          </cell>
          <cell r="BA46">
            <v>5.1</v>
          </cell>
          <cell r="BB46">
            <v>5.3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5.1</v>
          </cell>
          <cell r="BH46">
            <v>5.3</v>
          </cell>
          <cell r="BI46">
            <v>5.1</v>
          </cell>
          <cell r="BJ46">
            <v>5.1</v>
          </cell>
          <cell r="BK46">
            <v>5.2</v>
          </cell>
          <cell r="BL46">
            <v>5.2</v>
          </cell>
          <cell r="BM46">
            <v>5.3</v>
          </cell>
          <cell r="BN46">
            <v>5.5</v>
          </cell>
          <cell r="BO46">
            <v>5.3</v>
          </cell>
          <cell r="BP46">
            <v>5.3</v>
          </cell>
          <cell r="BQ46">
            <v>5.4</v>
          </cell>
          <cell r="BR46">
            <v>5.4</v>
          </cell>
          <cell r="BS46">
            <v>5.5</v>
          </cell>
          <cell r="BT46">
            <v>5.7</v>
          </cell>
          <cell r="BU46">
            <v>5.7</v>
          </cell>
          <cell r="BV46">
            <v>5.8</v>
          </cell>
          <cell r="BW46">
            <v>5.8</v>
          </cell>
          <cell r="BX46">
            <v>5.9</v>
          </cell>
          <cell r="BY46">
            <v>6</v>
          </cell>
          <cell r="BZ46">
            <v>6.2</v>
          </cell>
          <cell r="CA46">
            <v>6.2</v>
          </cell>
          <cell r="CB46">
            <v>6.2</v>
          </cell>
          <cell r="CC46">
            <v>6.3</v>
          </cell>
          <cell r="CD46">
            <v>6.4</v>
          </cell>
          <cell r="CE46">
            <v>6.5</v>
          </cell>
          <cell r="CF46">
            <v>6.8</v>
          </cell>
          <cell r="CG46">
            <v>2.6</v>
          </cell>
          <cell r="CH46">
            <v>3</v>
          </cell>
          <cell r="CI46">
            <v>3.3</v>
          </cell>
          <cell r="CJ46">
            <v>3.5</v>
          </cell>
          <cell r="CK46">
            <v>3.8</v>
          </cell>
          <cell r="CL46">
            <v>4.1</v>
          </cell>
          <cell r="CM46">
            <v>4.54e-6</v>
          </cell>
          <cell r="CN46">
            <v>1.128e-8</v>
          </cell>
          <cell r="CO46">
            <v>-3.54e-12</v>
          </cell>
          <cell r="CP46">
            <v>4.61e-7</v>
          </cell>
          <cell r="CQ46">
            <v>5.546e-10</v>
          </cell>
          <cell r="CR46">
            <v>0.216</v>
          </cell>
          <cell r="CS46">
            <v>1</v>
          </cell>
          <cell r="CT46">
            <v>2</v>
          </cell>
          <cell r="CU46">
            <v>1</v>
          </cell>
          <cell r="CV46">
            <v>3</v>
          </cell>
          <cell r="CW46">
            <v>1</v>
          </cell>
          <cell r="CX46">
            <v>2</v>
          </cell>
          <cell r="CY46">
            <v>0</v>
          </cell>
          <cell r="CZ46">
            <v>0</v>
          </cell>
          <cell r="DA46">
            <v>654</v>
          </cell>
          <cell r="DB46">
            <v>687</v>
          </cell>
          <cell r="DC46">
            <v>601</v>
          </cell>
          <cell r="DD46">
            <v>635</v>
          </cell>
          <cell r="DE46">
            <v>56</v>
          </cell>
          <cell r="DF46">
            <v>0</v>
          </cell>
          <cell r="DG46">
            <v>71</v>
          </cell>
          <cell r="DH46">
            <v>0</v>
          </cell>
          <cell r="DI46">
            <v>145</v>
          </cell>
          <cell r="DJ46">
            <v>0</v>
          </cell>
          <cell r="DK46">
            <v>706</v>
          </cell>
          <cell r="DL46">
            <v>67</v>
          </cell>
          <cell r="DM46">
            <v>11356</v>
          </cell>
          <cell r="DN46">
            <v>4391</v>
          </cell>
          <cell r="DO46">
            <v>0.291</v>
          </cell>
          <cell r="DP46">
            <v>0</v>
          </cell>
          <cell r="DQ46" t="str">
            <v>360/275</v>
          </cell>
          <cell r="DR46">
            <v>0</v>
          </cell>
          <cell r="DS46">
            <v>0</v>
          </cell>
          <cell r="DT46">
            <v>4.1</v>
          </cell>
          <cell r="DU46">
            <v>0.783</v>
          </cell>
          <cell r="DV46">
            <v>0.93</v>
          </cell>
          <cell r="DW46">
            <v>0.986</v>
          </cell>
          <cell r="DX46">
            <v>0.999</v>
          </cell>
          <cell r="DY46">
            <v>0.999</v>
          </cell>
          <cell r="DZ46">
            <v>0.999</v>
          </cell>
          <cell r="EA46">
            <v>0.999</v>
          </cell>
          <cell r="EB46">
            <v>0.999</v>
          </cell>
          <cell r="EC46">
            <v>0.999</v>
          </cell>
          <cell r="ED46">
            <v>0.999</v>
          </cell>
          <cell r="EE46">
            <v>0.999</v>
          </cell>
          <cell r="EF46">
            <v>0.999</v>
          </cell>
          <cell r="EG46">
            <v>0.999</v>
          </cell>
          <cell r="EH46">
            <v>0.999</v>
          </cell>
          <cell r="EI46">
            <v>0.999</v>
          </cell>
          <cell r="EJ46">
            <v>0.999</v>
          </cell>
          <cell r="EK46">
            <v>0.999</v>
          </cell>
          <cell r="EL46">
            <v>0.999</v>
          </cell>
          <cell r="EM46">
            <v>0.999</v>
          </cell>
          <cell r="EN46">
            <v>0.999</v>
          </cell>
          <cell r="EO46">
            <v>0.999</v>
          </cell>
          <cell r="EP46">
            <v>0.999</v>
          </cell>
          <cell r="EQ46">
            <v>0.999</v>
          </cell>
          <cell r="ER46">
            <v>0.997</v>
          </cell>
          <cell r="ES46">
            <v>0.995</v>
          </cell>
          <cell r="ET46">
            <v>0.99</v>
          </cell>
          <cell r="EU46">
            <v>0.983</v>
          </cell>
          <cell r="EV46">
            <v>0.969</v>
          </cell>
          <cell r="EW46">
            <v>0.948</v>
          </cell>
          <cell r="EX46">
            <v>0.914</v>
          </cell>
          <cell r="EY46">
            <v>0.866</v>
          </cell>
          <cell r="EZ46">
            <v>0.804</v>
          </cell>
          <cell r="FA46">
            <v>0.728</v>
          </cell>
          <cell r="FB46">
            <v>0.644</v>
          </cell>
          <cell r="FC46">
            <v>0.551</v>
          </cell>
          <cell r="FD46">
            <v>0.444</v>
          </cell>
          <cell r="FE46">
            <v>0.613</v>
          </cell>
          <cell r="FF46">
            <v>0.865</v>
          </cell>
          <cell r="FG46">
            <v>0.972</v>
          </cell>
          <cell r="FH46">
            <v>0.998</v>
          </cell>
          <cell r="FI46">
            <v>0.998</v>
          </cell>
          <cell r="FJ46">
            <v>0.998</v>
          </cell>
          <cell r="FK46">
            <v>0.998</v>
          </cell>
          <cell r="FL46">
            <v>0.998</v>
          </cell>
          <cell r="FM46">
            <v>0.998</v>
          </cell>
          <cell r="FN46">
            <v>0.998</v>
          </cell>
          <cell r="FO46">
            <v>0.998</v>
          </cell>
          <cell r="FP46">
            <v>0.998</v>
          </cell>
          <cell r="FQ46">
            <v>0.998</v>
          </cell>
          <cell r="FR46">
            <v>0.998</v>
          </cell>
          <cell r="FS46">
            <v>0.998</v>
          </cell>
          <cell r="FT46">
            <v>0.998</v>
          </cell>
          <cell r="FU46">
            <v>0.998</v>
          </cell>
          <cell r="FV46">
            <v>0.998</v>
          </cell>
          <cell r="FW46">
            <v>0.998</v>
          </cell>
          <cell r="FX46">
            <v>0.998</v>
          </cell>
          <cell r="FY46">
            <v>0.998</v>
          </cell>
          <cell r="FZ46">
            <v>0.998</v>
          </cell>
          <cell r="GA46">
            <v>0.998</v>
          </cell>
          <cell r="GB46">
            <v>0.993</v>
          </cell>
          <cell r="GC46">
            <v>0.988</v>
          </cell>
          <cell r="GD46">
            <v>0.979</v>
          </cell>
          <cell r="GE46">
            <v>0.964</v>
          </cell>
          <cell r="GF46">
            <v>0.935</v>
          </cell>
          <cell r="GG46">
            <v>0.893</v>
          </cell>
          <cell r="GH46">
            <v>0.831</v>
          </cell>
          <cell r="GI46">
            <v>0.746</v>
          </cell>
          <cell r="GJ46">
            <v>0.641</v>
          </cell>
          <cell r="GK46">
            <v>0.526</v>
          </cell>
          <cell r="GL46">
            <v>0.411</v>
          </cell>
          <cell r="GM46">
            <v>0.3</v>
          </cell>
          <cell r="GN46">
            <v>0.193</v>
          </cell>
        </row>
        <row r="47">
          <cell r="B47" t="str">
            <v>H-LaK68</v>
          </cell>
          <cell r="C47">
            <v>678507</v>
          </cell>
          <cell r="D47">
            <v>50.72</v>
          </cell>
          <cell r="E47">
            <v>50.44</v>
          </cell>
          <cell r="F47">
            <v>0.013365</v>
          </cell>
          <cell r="G47">
            <v>0.013502</v>
          </cell>
          <cell r="H47">
            <v>1.64478</v>
          </cell>
          <cell r="I47">
            <v>1.65017</v>
          </cell>
          <cell r="J47">
            <v>1.65615</v>
          </cell>
          <cell r="K47">
            <v>1.66167</v>
          </cell>
          <cell r="L47">
            <v>1.66357</v>
          </cell>
          <cell r="M47">
            <v>1.66699</v>
          </cell>
          <cell r="N47">
            <v>1.6694</v>
          </cell>
          <cell r="O47">
            <v>1.67162</v>
          </cell>
          <cell r="P47">
            <v>1.67388</v>
          </cell>
          <cell r="Q47">
            <v>1.67452</v>
          </cell>
          <cell r="R47">
            <v>1.67511</v>
          </cell>
          <cell r="S47">
            <v>1.67778</v>
          </cell>
          <cell r="T47">
            <v>1.6779</v>
          </cell>
          <cell r="U47">
            <v>1.68108</v>
          </cell>
          <cell r="V47">
            <v>1.68724</v>
          </cell>
          <cell r="W47">
            <v>1.68802</v>
          </cell>
          <cell r="X47">
            <v>1.69467</v>
          </cell>
          <cell r="Y47">
            <v>1.7009</v>
          </cell>
          <cell r="Z47">
            <v>1.71174</v>
          </cell>
          <cell r="AA47">
            <v>2.75995716</v>
          </cell>
          <cell r="AB47">
            <v>-0.010735382</v>
          </cell>
          <cell r="AC47">
            <v>0.0182532687</v>
          </cell>
          <cell r="AD47">
            <v>0.000937020441</v>
          </cell>
          <cell r="AE47">
            <v>-8.40203685e-5</v>
          </cell>
          <cell r="AF47">
            <v>5.44074316e-6</v>
          </cell>
          <cell r="AG47">
            <v>0.300898203592807</v>
          </cell>
          <cell r="AH47">
            <v>0.238023952095805</v>
          </cell>
          <cell r="AI47">
            <v>0.556137724550884</v>
          </cell>
          <cell r="AJ47">
            <v>0.250370370370365</v>
          </cell>
          <cell r="AK47">
            <v>0.235555555555551</v>
          </cell>
          <cell r="AL47">
            <v>0.492592592592577</v>
          </cell>
          <cell r="AM47">
            <v>-0.00112471568861171</v>
          </cell>
          <cell r="AN47">
            <v>-0.00321635544911646</v>
          </cell>
          <cell r="AO47">
            <v>-0.0141825331736518</v>
          </cell>
          <cell r="AP47">
            <v>-0.00640943712574531</v>
          </cell>
          <cell r="AQ47">
            <v>1.5</v>
          </cell>
          <cell r="AR47">
            <v>1.5</v>
          </cell>
          <cell r="AS47">
            <v>1.5</v>
          </cell>
          <cell r="AT47">
            <v>1.5</v>
          </cell>
          <cell r="AU47">
            <v>1.6</v>
          </cell>
          <cell r="AV47">
            <v>1.7</v>
          </cell>
          <cell r="AW47">
            <v>2</v>
          </cell>
          <cell r="AX47">
            <v>2</v>
          </cell>
          <cell r="AY47">
            <v>2</v>
          </cell>
          <cell r="AZ47">
            <v>2</v>
          </cell>
          <cell r="BA47">
            <v>2.1</v>
          </cell>
          <cell r="BB47">
            <v>2.2</v>
          </cell>
          <cell r="BC47">
            <v>2.1</v>
          </cell>
          <cell r="BD47">
            <v>2</v>
          </cell>
          <cell r="BE47">
            <v>2</v>
          </cell>
          <cell r="BF47">
            <v>2.1</v>
          </cell>
          <cell r="BG47">
            <v>2.2</v>
          </cell>
          <cell r="BH47">
            <v>2.3</v>
          </cell>
          <cell r="BI47">
            <v>2.2</v>
          </cell>
          <cell r="BJ47">
            <v>2.2</v>
          </cell>
          <cell r="BK47">
            <v>2.2</v>
          </cell>
          <cell r="BL47">
            <v>2.2</v>
          </cell>
          <cell r="BM47">
            <v>2.3</v>
          </cell>
          <cell r="BN47">
            <v>2.5</v>
          </cell>
          <cell r="BO47">
            <v>2.4</v>
          </cell>
          <cell r="BP47">
            <v>2.4</v>
          </cell>
          <cell r="BQ47">
            <v>2.4</v>
          </cell>
          <cell r="BR47">
            <v>2.5</v>
          </cell>
          <cell r="BS47">
            <v>2.6</v>
          </cell>
          <cell r="BT47">
            <v>2.7</v>
          </cell>
          <cell r="BU47">
            <v>2.8</v>
          </cell>
          <cell r="BV47">
            <v>2.9</v>
          </cell>
          <cell r="BW47">
            <v>2.9</v>
          </cell>
          <cell r="BX47">
            <v>3</v>
          </cell>
          <cell r="BY47">
            <v>3.1</v>
          </cell>
          <cell r="BZ47">
            <v>3.2</v>
          </cell>
          <cell r="CA47">
            <v>3.3</v>
          </cell>
          <cell r="CB47">
            <v>3.3</v>
          </cell>
          <cell r="CC47">
            <v>3.4</v>
          </cell>
          <cell r="CD47">
            <v>3.5</v>
          </cell>
          <cell r="CE47">
            <v>3.6</v>
          </cell>
          <cell r="CF47">
            <v>3.8</v>
          </cell>
          <cell r="CG47">
            <v>-0.2</v>
          </cell>
          <cell r="CH47">
            <v>0.1</v>
          </cell>
          <cell r="CI47">
            <v>0.4</v>
          </cell>
          <cell r="CJ47">
            <v>0.6</v>
          </cell>
          <cell r="CK47">
            <v>0.9</v>
          </cell>
          <cell r="CL47">
            <v>1.1</v>
          </cell>
          <cell r="CM47">
            <v>-1.02294976201719e-6</v>
          </cell>
          <cell r="CN47">
            <v>1.1859074546584e-8</v>
          </cell>
          <cell r="CO47">
            <v>-1.02341115260282e-11</v>
          </cell>
          <cell r="CP47">
            <v>7.20796201290974e-7</v>
          </cell>
          <cell r="CQ47">
            <v>4.42248626872749e-10</v>
          </cell>
          <cell r="CR47">
            <v>0.156772388267824</v>
          </cell>
          <cell r="CS47">
            <v>1</v>
          </cell>
          <cell r="CT47">
            <v>3</v>
          </cell>
          <cell r="CU47">
            <v>1</v>
          </cell>
          <cell r="CV47">
            <v>3</v>
          </cell>
          <cell r="CW47">
            <v>2</v>
          </cell>
          <cell r="CX47">
            <v>2</v>
          </cell>
          <cell r="CY47">
            <v>0</v>
          </cell>
          <cell r="CZ47">
            <v>0</v>
          </cell>
          <cell r="DA47">
            <v>641</v>
          </cell>
          <cell r="DB47">
            <v>690</v>
          </cell>
          <cell r="DC47">
            <v>594</v>
          </cell>
          <cell r="DD47">
            <v>628</v>
          </cell>
          <cell r="DE47">
            <v>74</v>
          </cell>
          <cell r="DF47">
            <v>0</v>
          </cell>
          <cell r="DG47">
            <v>89</v>
          </cell>
          <cell r="DH47">
            <v>0</v>
          </cell>
          <cell r="DI47">
            <v>130</v>
          </cell>
          <cell r="DJ47">
            <v>0</v>
          </cell>
          <cell r="DK47">
            <v>528</v>
          </cell>
          <cell r="DL47">
            <v>175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 t="str">
            <v>375/335</v>
          </cell>
          <cell r="DR47">
            <v>0</v>
          </cell>
          <cell r="DS47">
            <v>0</v>
          </cell>
          <cell r="DT47">
            <v>3.86</v>
          </cell>
          <cell r="DU47">
            <v>0.91</v>
          </cell>
          <cell r="DV47">
            <v>0.968</v>
          </cell>
          <cell r="DW47">
            <v>0.994</v>
          </cell>
          <cell r="DX47">
            <v>0.999</v>
          </cell>
          <cell r="DY47">
            <v>0.999</v>
          </cell>
          <cell r="DZ47">
            <v>0.999</v>
          </cell>
          <cell r="EA47">
            <v>0.999</v>
          </cell>
          <cell r="EB47">
            <v>0.999</v>
          </cell>
          <cell r="EC47">
            <v>0.999</v>
          </cell>
          <cell r="ED47">
            <v>0.999</v>
          </cell>
          <cell r="EE47">
            <v>0.999</v>
          </cell>
          <cell r="EF47">
            <v>0.999</v>
          </cell>
          <cell r="EG47">
            <v>0.999</v>
          </cell>
          <cell r="EH47">
            <v>0.999</v>
          </cell>
          <cell r="EI47">
            <v>0.999</v>
          </cell>
          <cell r="EJ47">
            <v>0.999</v>
          </cell>
          <cell r="EK47">
            <v>0.998</v>
          </cell>
          <cell r="EL47">
            <v>0.997</v>
          </cell>
          <cell r="EM47">
            <v>0.996</v>
          </cell>
          <cell r="EN47">
            <v>0.995</v>
          </cell>
          <cell r="EO47">
            <v>0.993</v>
          </cell>
          <cell r="EP47">
            <v>0.991</v>
          </cell>
          <cell r="EQ47">
            <v>0.989</v>
          </cell>
          <cell r="ER47">
            <v>0.986</v>
          </cell>
          <cell r="ES47">
            <v>0.977</v>
          </cell>
          <cell r="ET47">
            <v>0.967</v>
          </cell>
          <cell r="EU47">
            <v>0.944</v>
          </cell>
          <cell r="EV47">
            <v>0.886</v>
          </cell>
          <cell r="EW47">
            <v>0.756</v>
          </cell>
          <cell r="EX47">
            <v>0.474</v>
          </cell>
          <cell r="EY47">
            <v>0.115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0.828</v>
          </cell>
          <cell r="FF47">
            <v>0.937</v>
          </cell>
          <cell r="FG47">
            <v>0.989</v>
          </cell>
          <cell r="FH47">
            <v>0.998</v>
          </cell>
          <cell r="FI47">
            <v>0.998</v>
          </cell>
          <cell r="FJ47">
            <v>0.998</v>
          </cell>
          <cell r="FK47">
            <v>0.998</v>
          </cell>
          <cell r="FL47">
            <v>0.998</v>
          </cell>
          <cell r="FM47">
            <v>0.998</v>
          </cell>
          <cell r="FN47">
            <v>0.998</v>
          </cell>
          <cell r="FO47">
            <v>0.998</v>
          </cell>
          <cell r="FP47">
            <v>0.998</v>
          </cell>
          <cell r="FQ47">
            <v>0.998</v>
          </cell>
          <cell r="FR47">
            <v>0.998</v>
          </cell>
          <cell r="FS47">
            <v>0.998</v>
          </cell>
          <cell r="FT47">
            <v>0.998</v>
          </cell>
          <cell r="FU47">
            <v>0.996</v>
          </cell>
          <cell r="FV47">
            <v>0.993</v>
          </cell>
          <cell r="FW47">
            <v>0.99</v>
          </cell>
          <cell r="FX47">
            <v>0.987</v>
          </cell>
          <cell r="FY47">
            <v>0.984</v>
          </cell>
          <cell r="FZ47">
            <v>0.981</v>
          </cell>
          <cell r="GA47">
            <v>0.976</v>
          </cell>
          <cell r="GB47">
            <v>0.966</v>
          </cell>
          <cell r="GC47">
            <v>0.954</v>
          </cell>
          <cell r="GD47">
            <v>0.931</v>
          </cell>
          <cell r="GE47">
            <v>0.884</v>
          </cell>
          <cell r="GF47">
            <v>0.781</v>
          </cell>
          <cell r="GG47">
            <v>0.566</v>
          </cell>
          <cell r="GH47">
            <v>0.22</v>
          </cell>
          <cell r="GI47">
            <v>0.016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</row>
        <row r="48">
          <cell r="B48" t="str">
            <v>H-LaK77</v>
          </cell>
          <cell r="C48">
            <v>775504</v>
          </cell>
          <cell r="D48">
            <v>50.35</v>
          </cell>
          <cell r="E48">
            <v>50.13</v>
          </cell>
          <cell r="F48">
            <v>0.0154</v>
          </cell>
          <cell r="G48">
            <v>0.01554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1.76808</v>
          </cell>
          <cell r="P48">
            <v>1.77067</v>
          </cell>
          <cell r="Q48">
            <v>1.77141</v>
          </cell>
          <cell r="R48">
            <v>1.77211</v>
          </cell>
          <cell r="S48">
            <v>1.77522</v>
          </cell>
          <cell r="T48">
            <v>1.77536</v>
          </cell>
          <cell r="U48">
            <v>1.77902</v>
          </cell>
          <cell r="V48">
            <v>1.78607</v>
          </cell>
          <cell r="W48">
            <v>1.78695</v>
          </cell>
          <cell r="X48">
            <v>1.79461</v>
          </cell>
          <cell r="Y48">
            <v>1.80145</v>
          </cell>
          <cell r="Z48">
            <v>1.80969</v>
          </cell>
          <cell r="AA48">
            <v>2.91647724</v>
          </cell>
          <cell r="AB48">
            <v>0.0941652315</v>
          </cell>
          <cell r="AC48">
            <v>0.122928132</v>
          </cell>
          <cell r="AD48">
            <v>-0.0278590614</v>
          </cell>
          <cell r="AE48">
            <v>0.00392355413</v>
          </cell>
          <cell r="AF48">
            <v>-0.000209937941</v>
          </cell>
          <cell r="AG48">
            <v>0.304545454545458</v>
          </cell>
          <cell r="AH48">
            <v>0.237662337662336</v>
          </cell>
          <cell r="AI48">
            <v>0.554545454545451</v>
          </cell>
          <cell r="AJ48">
            <v>0.25418275418276</v>
          </cell>
          <cell r="AK48">
            <v>0.235521235521234</v>
          </cell>
          <cell r="AL48">
            <v>0.492921492921489</v>
          </cell>
          <cell r="AM48">
            <v>-0.00461459220779455</v>
          </cell>
          <cell r="AN48">
            <v>-0.00542319545454883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1</v>
          </cell>
          <cell r="CT48">
            <v>1</v>
          </cell>
          <cell r="CU48">
            <v>2</v>
          </cell>
          <cell r="CV48">
            <v>3</v>
          </cell>
          <cell r="CW48">
            <v>1</v>
          </cell>
          <cell r="CX48">
            <v>1</v>
          </cell>
          <cell r="CY48">
            <v>0</v>
          </cell>
          <cell r="CZ48">
            <v>0</v>
          </cell>
          <cell r="DA48">
            <v>679</v>
          </cell>
          <cell r="DB48">
            <v>705</v>
          </cell>
          <cell r="DC48">
            <v>625</v>
          </cell>
          <cell r="DD48">
            <v>670</v>
          </cell>
          <cell r="DE48">
            <v>59</v>
          </cell>
          <cell r="DF48">
            <v>0</v>
          </cell>
          <cell r="DG48">
            <v>74</v>
          </cell>
          <cell r="DH48">
            <v>0</v>
          </cell>
          <cell r="DI48">
            <v>0</v>
          </cell>
          <cell r="DJ48">
            <v>0</v>
          </cell>
          <cell r="DK48">
            <v>738</v>
          </cell>
          <cell r="DL48">
            <v>115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 t="str">
            <v>365/280</v>
          </cell>
          <cell r="DR48">
            <v>0</v>
          </cell>
          <cell r="DS48">
            <v>0</v>
          </cell>
          <cell r="DT48">
            <v>4.35</v>
          </cell>
          <cell r="DU48">
            <v>0.815</v>
          </cell>
          <cell r="DV48">
            <v>0.948</v>
          </cell>
          <cell r="DW48">
            <v>0.984</v>
          </cell>
          <cell r="DX48">
            <v>0.999</v>
          </cell>
          <cell r="DY48">
            <v>0.999</v>
          </cell>
          <cell r="DZ48">
            <v>0.999</v>
          </cell>
          <cell r="EA48">
            <v>0.999</v>
          </cell>
          <cell r="EB48">
            <v>0.999</v>
          </cell>
          <cell r="EC48">
            <v>0.999</v>
          </cell>
          <cell r="ED48">
            <v>0.999</v>
          </cell>
          <cell r="EE48">
            <v>0.999</v>
          </cell>
          <cell r="EF48">
            <v>0.999</v>
          </cell>
          <cell r="EG48">
            <v>0.999</v>
          </cell>
          <cell r="EH48">
            <v>0.999</v>
          </cell>
          <cell r="EI48">
            <v>0.999</v>
          </cell>
          <cell r="EJ48">
            <v>0.999</v>
          </cell>
          <cell r="EK48">
            <v>0.999</v>
          </cell>
          <cell r="EL48">
            <v>0.999</v>
          </cell>
          <cell r="EM48">
            <v>0.999</v>
          </cell>
          <cell r="EN48">
            <v>0.997</v>
          </cell>
          <cell r="EO48">
            <v>0.996</v>
          </cell>
          <cell r="EP48">
            <v>0.996</v>
          </cell>
          <cell r="EQ48">
            <v>0.996</v>
          </cell>
          <cell r="ER48">
            <v>0.991</v>
          </cell>
          <cell r="ES48">
            <v>0.986</v>
          </cell>
          <cell r="ET48">
            <v>0.979</v>
          </cell>
          <cell r="EU48">
            <v>0.971</v>
          </cell>
          <cell r="EV48">
            <v>0.95</v>
          </cell>
          <cell r="EW48">
            <v>0.913</v>
          </cell>
          <cell r="EX48">
            <v>0.87</v>
          </cell>
          <cell r="EY48">
            <v>0.813</v>
          </cell>
          <cell r="EZ48">
            <v>0.736</v>
          </cell>
          <cell r="FA48">
            <v>0.633</v>
          </cell>
          <cell r="FB48">
            <v>0.55</v>
          </cell>
          <cell r="FC48">
            <v>0.45</v>
          </cell>
          <cell r="FD48">
            <v>0.305</v>
          </cell>
          <cell r="FE48">
            <v>0.664</v>
          </cell>
          <cell r="FF48">
            <v>0.899</v>
          </cell>
          <cell r="FG48">
            <v>0.968</v>
          </cell>
          <cell r="FH48">
            <v>0.998</v>
          </cell>
          <cell r="FI48">
            <v>0.998</v>
          </cell>
          <cell r="FJ48">
            <v>0.998</v>
          </cell>
          <cell r="FK48">
            <v>0.998</v>
          </cell>
          <cell r="FL48">
            <v>0.998</v>
          </cell>
          <cell r="FM48">
            <v>0.998</v>
          </cell>
          <cell r="FN48">
            <v>0.998</v>
          </cell>
          <cell r="FO48">
            <v>0.998</v>
          </cell>
          <cell r="FP48">
            <v>0.998</v>
          </cell>
          <cell r="FQ48">
            <v>0.998</v>
          </cell>
          <cell r="FR48">
            <v>0.998</v>
          </cell>
          <cell r="FS48">
            <v>0.998</v>
          </cell>
          <cell r="FT48">
            <v>0.998</v>
          </cell>
          <cell r="FU48">
            <v>0.998</v>
          </cell>
          <cell r="FV48">
            <v>0.998</v>
          </cell>
          <cell r="FW48">
            <v>0.998</v>
          </cell>
          <cell r="FX48">
            <v>0.994</v>
          </cell>
          <cell r="FY48">
            <v>0.992</v>
          </cell>
          <cell r="FZ48">
            <v>0.992</v>
          </cell>
          <cell r="GA48">
            <v>0.992</v>
          </cell>
          <cell r="GB48">
            <v>0.982</v>
          </cell>
          <cell r="GC48">
            <v>0.972</v>
          </cell>
          <cell r="GD48">
            <v>0.958</v>
          </cell>
          <cell r="GE48">
            <v>0.943</v>
          </cell>
          <cell r="GF48">
            <v>0.903</v>
          </cell>
          <cell r="GG48">
            <v>0.834</v>
          </cell>
          <cell r="GH48">
            <v>0.757</v>
          </cell>
          <cell r="GI48">
            <v>0.661</v>
          </cell>
          <cell r="GJ48">
            <v>0.542</v>
          </cell>
          <cell r="GK48">
            <v>0.401</v>
          </cell>
          <cell r="GL48">
            <v>0.303</v>
          </cell>
          <cell r="GM48">
            <v>0.203</v>
          </cell>
          <cell r="GN48">
            <v>0.093</v>
          </cell>
        </row>
        <row r="49">
          <cell r="B49" t="str">
            <v>H-KF6</v>
          </cell>
          <cell r="C49">
            <v>517522</v>
          </cell>
          <cell r="D49">
            <v>52.15</v>
          </cell>
          <cell r="E49">
            <v>51.85</v>
          </cell>
          <cell r="F49">
            <v>0.009922</v>
          </cell>
          <cell r="G49">
            <v>0.010024</v>
          </cell>
          <cell r="H49">
            <v>1.49021</v>
          </cell>
          <cell r="I49">
            <v>1.49506</v>
          </cell>
          <cell r="J49">
            <v>1.50035</v>
          </cell>
          <cell r="K49">
            <v>1.50502</v>
          </cell>
          <cell r="L49">
            <v>1.50656</v>
          </cell>
          <cell r="M49">
            <v>1.50923</v>
          </cell>
          <cell r="N49">
            <v>1.51107</v>
          </cell>
          <cell r="O49">
            <v>1.51274</v>
          </cell>
          <cell r="P49">
            <v>1.51444</v>
          </cell>
          <cell r="Q49">
            <v>1.51491</v>
          </cell>
          <cell r="R49">
            <v>1.51535</v>
          </cell>
          <cell r="S49">
            <v>1.51733</v>
          </cell>
          <cell r="T49">
            <v>1.51742</v>
          </cell>
          <cell r="U49">
            <v>1.51977</v>
          </cell>
          <cell r="V49">
            <v>1.52436</v>
          </cell>
          <cell r="W49">
            <v>1.52493</v>
          </cell>
          <cell r="X49">
            <v>1.52995</v>
          </cell>
          <cell r="Y49">
            <v>1.53469</v>
          </cell>
          <cell r="Z49">
            <v>1.54307</v>
          </cell>
          <cell r="AA49">
            <v>2.26643234</v>
          </cell>
          <cell r="AB49">
            <v>-0.00887542951</v>
          </cell>
          <cell r="AC49">
            <v>0.0123508425</v>
          </cell>
          <cell r="AD49">
            <v>0.000450094806</v>
          </cell>
          <cell r="AE49">
            <v>-2.23157471e-5</v>
          </cell>
          <cell r="AF49">
            <v>2.26790778e-6</v>
          </cell>
          <cell r="AG49">
            <v>0.300403225806452</v>
          </cell>
          <cell r="AH49">
            <v>0.236895161290332</v>
          </cell>
          <cell r="AI49">
            <v>0.563508064516131</v>
          </cell>
          <cell r="AJ49">
            <v>0.250499001996011</v>
          </cell>
          <cell r="AK49">
            <v>0.234530938123762</v>
          </cell>
          <cell r="AL49">
            <v>0.500998003992023</v>
          </cell>
          <cell r="AM49">
            <v>0.00128841290321618</v>
          </cell>
          <cell r="AN49">
            <v>0.00652921451613149</v>
          </cell>
          <cell r="AO49">
            <v>0.00153593870969415</v>
          </cell>
          <cell r="AP49">
            <v>-0.000358387096776769</v>
          </cell>
          <cell r="AQ49">
            <v>-1.1</v>
          </cell>
          <cell r="AR49">
            <v>-1.2</v>
          </cell>
          <cell r="AS49">
            <v>-1.1</v>
          </cell>
          <cell r="AT49">
            <v>-1</v>
          </cell>
          <cell r="AU49">
            <v>-0.9</v>
          </cell>
          <cell r="AV49">
            <v>-0.8</v>
          </cell>
          <cell r="AW49">
            <v>-0.7</v>
          </cell>
          <cell r="AX49">
            <v>-0.8</v>
          </cell>
          <cell r="AY49">
            <v>-0.7</v>
          </cell>
          <cell r="AZ49">
            <v>-0.6</v>
          </cell>
          <cell r="BA49">
            <v>-0.5</v>
          </cell>
          <cell r="BB49">
            <v>-0.3</v>
          </cell>
          <cell r="BC49">
            <v>-0.7</v>
          </cell>
          <cell r="BD49">
            <v>-0.7</v>
          </cell>
          <cell r="BE49">
            <v>-0.7</v>
          </cell>
          <cell r="BF49">
            <v>-0.6</v>
          </cell>
          <cell r="BG49">
            <v>-0.4</v>
          </cell>
          <cell r="BH49">
            <v>-0.3</v>
          </cell>
          <cell r="BI49">
            <v>-0.6</v>
          </cell>
          <cell r="BJ49">
            <v>-0.6</v>
          </cell>
          <cell r="BK49">
            <v>-0.5</v>
          </cell>
          <cell r="BL49">
            <v>-0.4</v>
          </cell>
          <cell r="BM49">
            <v>-0.3</v>
          </cell>
          <cell r="BN49">
            <v>-0.2</v>
          </cell>
          <cell r="BO49">
            <v>-0.5</v>
          </cell>
          <cell r="BP49">
            <v>-0.5</v>
          </cell>
          <cell r="BQ49">
            <v>-0.4</v>
          </cell>
          <cell r="BR49">
            <v>-0.3</v>
          </cell>
          <cell r="BS49">
            <v>-0.1</v>
          </cell>
          <cell r="BT49">
            <v>0</v>
          </cell>
          <cell r="BU49">
            <v>-0.1</v>
          </cell>
          <cell r="BV49">
            <v>-0.1</v>
          </cell>
          <cell r="BW49">
            <v>0</v>
          </cell>
          <cell r="BX49">
            <v>0.1</v>
          </cell>
          <cell r="BY49">
            <v>0.3</v>
          </cell>
          <cell r="BZ49">
            <v>0.4</v>
          </cell>
          <cell r="CA49">
            <v>0.2</v>
          </cell>
          <cell r="CB49">
            <v>0.3</v>
          </cell>
          <cell r="CC49">
            <v>0.4</v>
          </cell>
          <cell r="CD49">
            <v>0.5</v>
          </cell>
          <cell r="CE49">
            <v>0.7</v>
          </cell>
          <cell r="CF49">
            <v>0.9</v>
          </cell>
          <cell r="CG49">
            <v>-2.8</v>
          </cell>
          <cell r="CH49">
            <v>-2.5</v>
          </cell>
          <cell r="CI49">
            <v>-2.2</v>
          </cell>
          <cell r="CJ49">
            <v>-1.9</v>
          </cell>
          <cell r="CK49">
            <v>-1.6</v>
          </cell>
          <cell r="CL49">
            <v>-1.3</v>
          </cell>
          <cell r="CM49">
            <v>-6.71e-6</v>
          </cell>
          <cell r="CN49">
            <v>1.452e-8</v>
          </cell>
          <cell r="CO49">
            <v>-1.121e-11</v>
          </cell>
          <cell r="CP49">
            <v>7.32e-7</v>
          </cell>
          <cell r="CQ49">
            <v>8.188e-10</v>
          </cell>
          <cell r="CR49">
            <v>0.157</v>
          </cell>
          <cell r="CS49">
            <v>1</v>
          </cell>
          <cell r="CT49">
            <v>1</v>
          </cell>
          <cell r="CU49">
            <v>1</v>
          </cell>
          <cell r="CV49">
            <v>2</v>
          </cell>
          <cell r="CW49">
            <v>2</v>
          </cell>
          <cell r="CX49">
            <v>1</v>
          </cell>
          <cell r="CY49">
            <v>0</v>
          </cell>
          <cell r="CZ49">
            <v>0</v>
          </cell>
          <cell r="DA49">
            <v>446</v>
          </cell>
          <cell r="DB49">
            <v>537</v>
          </cell>
          <cell r="DC49">
            <v>407</v>
          </cell>
          <cell r="DD49">
            <v>430</v>
          </cell>
          <cell r="DE49">
            <v>91</v>
          </cell>
          <cell r="DF49">
            <v>0</v>
          </cell>
          <cell r="DG49">
            <v>102</v>
          </cell>
          <cell r="DH49">
            <v>0</v>
          </cell>
          <cell r="DI49">
            <v>130</v>
          </cell>
          <cell r="DJ49">
            <v>0</v>
          </cell>
          <cell r="DK49">
            <v>432</v>
          </cell>
          <cell r="DL49">
            <v>107</v>
          </cell>
          <cell r="DM49">
            <v>5736</v>
          </cell>
          <cell r="DN49">
            <v>2351</v>
          </cell>
          <cell r="DO49">
            <v>0.22</v>
          </cell>
          <cell r="DP49">
            <v>0</v>
          </cell>
          <cell r="DQ49" t="str">
            <v>360/340</v>
          </cell>
          <cell r="DR49">
            <v>0</v>
          </cell>
          <cell r="DS49">
            <v>0</v>
          </cell>
          <cell r="DT49">
            <v>2.52</v>
          </cell>
          <cell r="DU49">
            <v>0.929</v>
          </cell>
          <cell r="DV49">
            <v>0.956</v>
          </cell>
          <cell r="DW49">
            <v>0.994</v>
          </cell>
          <cell r="DX49">
            <v>0.997</v>
          </cell>
          <cell r="DY49">
            <v>0.999</v>
          </cell>
          <cell r="DZ49">
            <v>0.999</v>
          </cell>
          <cell r="EA49">
            <v>0.999</v>
          </cell>
          <cell r="EB49">
            <v>0.999</v>
          </cell>
          <cell r="EC49">
            <v>0.999</v>
          </cell>
          <cell r="ED49">
            <v>0.999</v>
          </cell>
          <cell r="EE49">
            <v>0.999</v>
          </cell>
          <cell r="EF49">
            <v>0.999</v>
          </cell>
          <cell r="EG49">
            <v>0.999</v>
          </cell>
          <cell r="EH49">
            <v>0.999</v>
          </cell>
          <cell r="EI49">
            <v>0.999</v>
          </cell>
          <cell r="EJ49">
            <v>0.999</v>
          </cell>
          <cell r="EK49">
            <v>0.999</v>
          </cell>
          <cell r="EL49">
            <v>0.999</v>
          </cell>
          <cell r="EM49">
            <v>0.999</v>
          </cell>
          <cell r="EN49">
            <v>0.999</v>
          </cell>
          <cell r="EO49">
            <v>0.999</v>
          </cell>
          <cell r="EP49">
            <v>0.998</v>
          </cell>
          <cell r="EQ49">
            <v>0.997</v>
          </cell>
          <cell r="ER49">
            <v>0.995</v>
          </cell>
          <cell r="ES49">
            <v>0.993</v>
          </cell>
          <cell r="ET49">
            <v>0.987</v>
          </cell>
          <cell r="EU49">
            <v>0.976</v>
          </cell>
          <cell r="EV49">
            <v>0.936</v>
          </cell>
          <cell r="EW49">
            <v>0.783</v>
          </cell>
          <cell r="EX49">
            <v>0.39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0.861</v>
          </cell>
          <cell r="FF49">
            <v>0.91</v>
          </cell>
          <cell r="FG49">
            <v>0.987</v>
          </cell>
          <cell r="FH49">
            <v>0.994</v>
          </cell>
          <cell r="FI49">
            <v>0.998</v>
          </cell>
          <cell r="FJ49">
            <v>0.998</v>
          </cell>
          <cell r="FK49">
            <v>0.998</v>
          </cell>
          <cell r="FL49">
            <v>0.998</v>
          </cell>
          <cell r="FM49">
            <v>0.998</v>
          </cell>
          <cell r="FN49">
            <v>0.998</v>
          </cell>
          <cell r="FO49">
            <v>0.998</v>
          </cell>
          <cell r="FP49">
            <v>0.998</v>
          </cell>
          <cell r="FQ49">
            <v>0.998</v>
          </cell>
          <cell r="FR49">
            <v>0.998</v>
          </cell>
          <cell r="FS49">
            <v>0.998</v>
          </cell>
          <cell r="FT49">
            <v>0.998</v>
          </cell>
          <cell r="FU49">
            <v>0.998</v>
          </cell>
          <cell r="FV49">
            <v>0.998</v>
          </cell>
          <cell r="FW49">
            <v>0.998</v>
          </cell>
          <cell r="FX49">
            <v>0.998</v>
          </cell>
          <cell r="FY49">
            <v>0.998</v>
          </cell>
          <cell r="FZ49">
            <v>0.996</v>
          </cell>
          <cell r="GA49">
            <v>0.993</v>
          </cell>
          <cell r="GB49">
            <v>0.991</v>
          </cell>
          <cell r="GC49">
            <v>0.989</v>
          </cell>
          <cell r="GD49">
            <v>0.979</v>
          </cell>
          <cell r="GE49">
            <v>0.957</v>
          </cell>
          <cell r="GF49">
            <v>0.879</v>
          </cell>
          <cell r="GG49">
            <v>0.618</v>
          </cell>
          <cell r="GH49">
            <v>0.154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</row>
        <row r="50">
          <cell r="B50" t="str">
            <v>H-QF6</v>
          </cell>
          <cell r="C50">
            <v>532488</v>
          </cell>
          <cell r="D50">
            <v>48.84</v>
          </cell>
          <cell r="E50">
            <v>48.53</v>
          </cell>
          <cell r="F50">
            <v>0.010887</v>
          </cell>
          <cell r="G50">
            <v>0.01101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1.52663</v>
          </cell>
          <cell r="P50">
            <v>1.52847</v>
          </cell>
          <cell r="Q50">
            <v>1.52898</v>
          </cell>
          <cell r="R50">
            <v>1.52946</v>
          </cell>
          <cell r="S50">
            <v>1.53162</v>
          </cell>
          <cell r="T50">
            <v>1.53172</v>
          </cell>
          <cell r="U50">
            <v>1.53431</v>
          </cell>
          <cell r="V50">
            <v>1.53935</v>
          </cell>
          <cell r="W50">
            <v>1.53999</v>
          </cell>
          <cell r="X50">
            <v>1.54551</v>
          </cell>
          <cell r="Y50">
            <v>1.55079</v>
          </cell>
          <cell r="Z50">
            <v>1.5602</v>
          </cell>
          <cell r="AA50">
            <v>2.30547001</v>
          </cell>
          <cell r="AB50">
            <v>-0.00897881287</v>
          </cell>
          <cell r="AC50">
            <v>0.0140442503</v>
          </cell>
          <cell r="AD50">
            <v>0.000375240216</v>
          </cell>
          <cell r="AE50">
            <v>-7.16733746e-6</v>
          </cell>
          <cell r="AF50">
            <v>2.02611869e-6</v>
          </cell>
          <cell r="AG50">
            <v>0.298713235294115</v>
          </cell>
          <cell r="AH50">
            <v>0.238051470588244</v>
          </cell>
          <cell r="AI50">
            <v>0.56617647058823</v>
          </cell>
          <cell r="AJ50">
            <v>0.248864668483195</v>
          </cell>
          <cell r="AK50">
            <v>0.235240690281571</v>
          </cell>
          <cell r="AL50">
            <v>0.501362397820162</v>
          </cell>
          <cell r="AM50">
            <v>-5.02588235910817e-6</v>
          </cell>
          <cell r="AN50">
            <v>0.00369971058823011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1</v>
          </cell>
          <cell r="CT50">
            <v>1</v>
          </cell>
          <cell r="CU50">
            <v>1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513</v>
          </cell>
          <cell r="DB50">
            <v>593</v>
          </cell>
          <cell r="DC50">
            <v>465</v>
          </cell>
          <cell r="DD50">
            <v>495</v>
          </cell>
          <cell r="DE50">
            <v>0</v>
          </cell>
          <cell r="DF50">
            <v>83</v>
          </cell>
          <cell r="DG50">
            <v>103</v>
          </cell>
          <cell r="DH50">
            <v>0</v>
          </cell>
          <cell r="DI50">
            <v>150</v>
          </cell>
          <cell r="DJ50">
            <v>0</v>
          </cell>
          <cell r="DK50">
            <v>461</v>
          </cell>
          <cell r="DL50">
            <v>117</v>
          </cell>
          <cell r="DM50">
            <v>6996</v>
          </cell>
          <cell r="DN50">
            <v>2865</v>
          </cell>
          <cell r="DO50">
            <v>0.221</v>
          </cell>
          <cell r="DP50">
            <v>0</v>
          </cell>
          <cell r="DQ50" t="str">
            <v>360/340</v>
          </cell>
          <cell r="DR50">
            <v>0</v>
          </cell>
          <cell r="DS50">
            <v>0</v>
          </cell>
          <cell r="DT50">
            <v>2.52</v>
          </cell>
          <cell r="DU50">
            <v>0.934</v>
          </cell>
          <cell r="DV50">
            <v>0.944</v>
          </cell>
          <cell r="DW50">
            <v>0.989</v>
          </cell>
          <cell r="DX50">
            <v>0.997</v>
          </cell>
          <cell r="DY50">
            <v>0.999</v>
          </cell>
          <cell r="DZ50">
            <v>0.999</v>
          </cell>
          <cell r="EA50">
            <v>0.999</v>
          </cell>
          <cell r="EB50">
            <v>0.999</v>
          </cell>
          <cell r="EC50">
            <v>0.999</v>
          </cell>
          <cell r="ED50">
            <v>0.999</v>
          </cell>
          <cell r="EE50">
            <v>0.999</v>
          </cell>
          <cell r="EF50">
            <v>0.999</v>
          </cell>
          <cell r="EG50">
            <v>0.999</v>
          </cell>
          <cell r="EH50">
            <v>0.999</v>
          </cell>
          <cell r="EI50">
            <v>0.999</v>
          </cell>
          <cell r="EJ50">
            <v>0.999</v>
          </cell>
          <cell r="EK50">
            <v>0.999</v>
          </cell>
          <cell r="EL50">
            <v>0.999</v>
          </cell>
          <cell r="EM50">
            <v>0.998</v>
          </cell>
          <cell r="EN50">
            <v>0.998</v>
          </cell>
          <cell r="EO50">
            <v>0.997</v>
          </cell>
          <cell r="EP50">
            <v>0.996</v>
          </cell>
          <cell r="EQ50">
            <v>0.995</v>
          </cell>
          <cell r="ER50">
            <v>0.994</v>
          </cell>
          <cell r="ES50">
            <v>0.992</v>
          </cell>
          <cell r="ET50">
            <v>0.989</v>
          </cell>
          <cell r="EU50">
            <v>0.973</v>
          </cell>
          <cell r="EV50">
            <v>0.918</v>
          </cell>
          <cell r="EW50">
            <v>0.727</v>
          </cell>
          <cell r="EX50">
            <v>0.279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0.861</v>
          </cell>
          <cell r="FF50">
            <v>0.882</v>
          </cell>
          <cell r="FG50">
            <v>0.973</v>
          </cell>
          <cell r="FH50">
            <v>0.994</v>
          </cell>
          <cell r="FI50">
            <v>0.998</v>
          </cell>
          <cell r="FJ50">
            <v>0.998</v>
          </cell>
          <cell r="FK50">
            <v>0.998</v>
          </cell>
          <cell r="FL50">
            <v>0.998</v>
          </cell>
          <cell r="FM50">
            <v>0.998</v>
          </cell>
          <cell r="FN50">
            <v>0.998</v>
          </cell>
          <cell r="FO50">
            <v>0.998</v>
          </cell>
          <cell r="FP50">
            <v>0.998</v>
          </cell>
          <cell r="FQ50">
            <v>0.998</v>
          </cell>
          <cell r="FR50">
            <v>0.998</v>
          </cell>
          <cell r="FS50">
            <v>0.998</v>
          </cell>
          <cell r="FT50">
            <v>0.998</v>
          </cell>
          <cell r="FU50">
            <v>0.998</v>
          </cell>
          <cell r="FV50">
            <v>0.997</v>
          </cell>
          <cell r="FW50">
            <v>0.996</v>
          </cell>
          <cell r="FX50">
            <v>0.995</v>
          </cell>
          <cell r="FY50">
            <v>0.994</v>
          </cell>
          <cell r="FZ50">
            <v>0.993</v>
          </cell>
          <cell r="GA50">
            <v>0.992</v>
          </cell>
          <cell r="GB50">
            <v>0.991</v>
          </cell>
          <cell r="GC50">
            <v>0.984</v>
          </cell>
          <cell r="GD50">
            <v>0.973</v>
          </cell>
          <cell r="GE50">
            <v>0.943</v>
          </cell>
          <cell r="GF50">
            <v>0.841</v>
          </cell>
          <cell r="GG50">
            <v>0.521</v>
          </cell>
          <cell r="GH50">
            <v>0.076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</row>
        <row r="51">
          <cell r="B51" t="str">
            <v>H-QF14</v>
          </cell>
          <cell r="C51">
            <v>596392</v>
          </cell>
          <cell r="D51">
            <v>39.22</v>
          </cell>
          <cell r="E51">
            <v>38.95</v>
          </cell>
          <cell r="F51">
            <v>0.015183</v>
          </cell>
          <cell r="G51">
            <v>0.015383</v>
          </cell>
          <cell r="H51">
            <v>1.56078</v>
          </cell>
          <cell r="I51">
            <v>1.56608</v>
          </cell>
          <cell r="J51">
            <v>1.57206</v>
          </cell>
          <cell r="K51">
            <v>1.57777</v>
          </cell>
          <cell r="L51">
            <v>1.57979</v>
          </cell>
          <cell r="M51">
            <v>1.58347</v>
          </cell>
          <cell r="N51">
            <v>1.58609</v>
          </cell>
          <cell r="O51">
            <v>1.58854</v>
          </cell>
          <cell r="P51">
            <v>1.59103</v>
          </cell>
          <cell r="Q51">
            <v>1.59173</v>
          </cell>
          <cell r="R51">
            <v>1.59239</v>
          </cell>
          <cell r="S51">
            <v>1.59538</v>
          </cell>
          <cell r="T51">
            <v>1.59551</v>
          </cell>
          <cell r="U51">
            <v>1.59911</v>
          </cell>
          <cell r="V51">
            <v>1.60621</v>
          </cell>
          <cell r="W51">
            <v>1.60712</v>
          </cell>
          <cell r="X51">
            <v>1.6151</v>
          </cell>
          <cell r="Y51">
            <v>1.62284</v>
          </cell>
          <cell r="Z51">
            <v>1.63695</v>
          </cell>
          <cell r="AA51">
            <v>2.48581463</v>
          </cell>
          <cell r="AB51">
            <v>-0.00989843465</v>
          </cell>
          <cell r="AC51">
            <v>0.0201401241</v>
          </cell>
          <cell r="AD51">
            <v>0.000518189976</v>
          </cell>
          <cell r="AE51">
            <v>1.46233344e-5</v>
          </cell>
          <cell r="AF51">
            <v>2.7009395e-6</v>
          </cell>
          <cell r="AG51">
            <v>0.295125164690385</v>
          </cell>
          <cell r="AH51">
            <v>0.237154150197632</v>
          </cell>
          <cell r="AI51">
            <v>0.585638998682482</v>
          </cell>
          <cell r="AJ51">
            <v>0.245614035087712</v>
          </cell>
          <cell r="AK51">
            <v>0.233918128654974</v>
          </cell>
          <cell r="AL51">
            <v>0.51851851851851</v>
          </cell>
          <cell r="AM51">
            <v>-0.0008298748880173</v>
          </cell>
          <cell r="AN51">
            <v>0.0071834186824823</v>
          </cell>
          <cell r="AO51">
            <v>0.0102878378392581</v>
          </cell>
          <cell r="AP51">
            <v>0.00349571541502147</v>
          </cell>
          <cell r="AQ51">
            <v>2.2</v>
          </cell>
          <cell r="AR51">
            <v>2.2</v>
          </cell>
          <cell r="AS51">
            <v>2.2</v>
          </cell>
          <cell r="AT51">
            <v>2.2</v>
          </cell>
          <cell r="AU51">
            <v>2.2</v>
          </cell>
          <cell r="AV51">
            <v>2.3</v>
          </cell>
          <cell r="AW51">
            <v>2.8</v>
          </cell>
          <cell r="AX51">
            <v>2.8</v>
          </cell>
          <cell r="AY51">
            <v>2.8</v>
          </cell>
          <cell r="AZ51">
            <v>2.8</v>
          </cell>
          <cell r="BA51">
            <v>2.9</v>
          </cell>
          <cell r="BB51">
            <v>3</v>
          </cell>
          <cell r="BC51">
            <v>2.8</v>
          </cell>
          <cell r="BD51">
            <v>2.8</v>
          </cell>
          <cell r="BE51">
            <v>2.9</v>
          </cell>
          <cell r="BF51">
            <v>2.9</v>
          </cell>
          <cell r="BG51">
            <v>2.9</v>
          </cell>
          <cell r="BH51">
            <v>3</v>
          </cell>
          <cell r="BI51">
            <v>3</v>
          </cell>
          <cell r="BJ51">
            <v>3</v>
          </cell>
          <cell r="BK51">
            <v>3.1</v>
          </cell>
          <cell r="BL51">
            <v>3.1</v>
          </cell>
          <cell r="BM51">
            <v>3.2</v>
          </cell>
          <cell r="BN51">
            <v>3.3</v>
          </cell>
          <cell r="BO51">
            <v>3.2</v>
          </cell>
          <cell r="BP51">
            <v>3.3</v>
          </cell>
          <cell r="BQ51">
            <v>3.4</v>
          </cell>
          <cell r="BR51">
            <v>3.4</v>
          </cell>
          <cell r="BS51">
            <v>3.5</v>
          </cell>
          <cell r="BT51">
            <v>3.6</v>
          </cell>
          <cell r="BU51">
            <v>3.8</v>
          </cell>
          <cell r="BV51">
            <v>3.9</v>
          </cell>
          <cell r="BW51">
            <v>4</v>
          </cell>
          <cell r="BX51">
            <v>4.1</v>
          </cell>
          <cell r="BY51">
            <v>4.2</v>
          </cell>
          <cell r="BZ51">
            <v>4.3</v>
          </cell>
          <cell r="CA51">
            <v>4.5</v>
          </cell>
          <cell r="CB51">
            <v>4.7</v>
          </cell>
          <cell r="CC51">
            <v>4.8</v>
          </cell>
          <cell r="CD51">
            <v>4.9</v>
          </cell>
          <cell r="CE51">
            <v>5</v>
          </cell>
          <cell r="CF51">
            <v>5.2</v>
          </cell>
          <cell r="CG51">
            <v>0.6</v>
          </cell>
          <cell r="CH51">
            <v>1</v>
          </cell>
          <cell r="CI51">
            <v>1.3</v>
          </cell>
          <cell r="CJ51">
            <v>1.5</v>
          </cell>
          <cell r="CK51">
            <v>1.7</v>
          </cell>
          <cell r="CL51">
            <v>2</v>
          </cell>
          <cell r="CM51">
            <v>9.6e-7</v>
          </cell>
          <cell r="CN51">
            <v>1.174e-8</v>
          </cell>
          <cell r="CO51">
            <v>-2.845e-11</v>
          </cell>
          <cell r="CP51">
            <v>6.19e-7</v>
          </cell>
          <cell r="CQ51">
            <v>7.046e-10</v>
          </cell>
          <cell r="CR51">
            <v>0.285</v>
          </cell>
          <cell r="CS51">
            <v>1</v>
          </cell>
          <cell r="CT51">
            <v>1</v>
          </cell>
          <cell r="CU51">
            <v>1</v>
          </cell>
          <cell r="CV51">
            <v>1</v>
          </cell>
          <cell r="CW51">
            <v>1</v>
          </cell>
          <cell r="CX51">
            <v>1</v>
          </cell>
          <cell r="CY51">
            <v>0</v>
          </cell>
          <cell r="CZ51">
            <v>0</v>
          </cell>
          <cell r="DA51">
            <v>533</v>
          </cell>
          <cell r="DB51">
            <v>605</v>
          </cell>
          <cell r="DC51">
            <v>483</v>
          </cell>
          <cell r="DD51">
            <v>515</v>
          </cell>
          <cell r="DE51">
            <v>80</v>
          </cell>
          <cell r="DF51">
            <v>0</v>
          </cell>
          <cell r="DG51">
            <v>98</v>
          </cell>
          <cell r="DH51">
            <v>0</v>
          </cell>
          <cell r="DI51">
            <v>190</v>
          </cell>
          <cell r="DJ51">
            <v>0</v>
          </cell>
          <cell r="DK51">
            <v>534</v>
          </cell>
          <cell r="DL51">
            <v>168</v>
          </cell>
          <cell r="DM51">
            <v>7879</v>
          </cell>
          <cell r="DN51">
            <v>3216</v>
          </cell>
          <cell r="DO51">
            <v>0.225</v>
          </cell>
          <cell r="DP51">
            <v>0</v>
          </cell>
          <cell r="DQ51" t="str">
            <v>370/350</v>
          </cell>
          <cell r="DR51">
            <v>0</v>
          </cell>
          <cell r="DS51">
            <v>0</v>
          </cell>
          <cell r="DT51">
            <v>2.71</v>
          </cell>
          <cell r="DU51">
            <v>0.958</v>
          </cell>
          <cell r="DV51">
            <v>0.964</v>
          </cell>
          <cell r="DW51">
            <v>0.99</v>
          </cell>
          <cell r="DX51">
            <v>0.994</v>
          </cell>
          <cell r="DY51">
            <v>0.999</v>
          </cell>
          <cell r="DZ51">
            <v>0.999</v>
          </cell>
          <cell r="EA51">
            <v>0.999</v>
          </cell>
          <cell r="EB51">
            <v>0.999</v>
          </cell>
          <cell r="EC51">
            <v>0.999</v>
          </cell>
          <cell r="ED51">
            <v>0.999</v>
          </cell>
          <cell r="EE51">
            <v>0.999</v>
          </cell>
          <cell r="EF51">
            <v>0.999</v>
          </cell>
          <cell r="EG51">
            <v>0.999</v>
          </cell>
          <cell r="EH51">
            <v>0.999</v>
          </cell>
          <cell r="EI51">
            <v>0.999</v>
          </cell>
          <cell r="EJ51">
            <v>0.999</v>
          </cell>
          <cell r="EK51">
            <v>0.999</v>
          </cell>
          <cell r="EL51">
            <v>0.999</v>
          </cell>
          <cell r="EM51">
            <v>0.999</v>
          </cell>
          <cell r="EN51">
            <v>0.999</v>
          </cell>
          <cell r="EO51">
            <v>0.997</v>
          </cell>
          <cell r="EP51">
            <v>0.995</v>
          </cell>
          <cell r="EQ51">
            <v>0.993</v>
          </cell>
          <cell r="ER51">
            <v>0.99</v>
          </cell>
          <cell r="ES51">
            <v>0.981</v>
          </cell>
          <cell r="ET51">
            <v>0.956</v>
          </cell>
          <cell r="EU51">
            <v>0.882</v>
          </cell>
          <cell r="EV51">
            <v>0.641</v>
          </cell>
          <cell r="EW51">
            <v>0.185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0.916</v>
          </cell>
          <cell r="FF51">
            <v>0.927</v>
          </cell>
          <cell r="FG51">
            <v>0.977</v>
          </cell>
          <cell r="FH51">
            <v>0.987</v>
          </cell>
          <cell r="FI51">
            <v>0.998</v>
          </cell>
          <cell r="FJ51">
            <v>0.998</v>
          </cell>
          <cell r="FK51">
            <v>0.998</v>
          </cell>
          <cell r="FL51">
            <v>0.998</v>
          </cell>
          <cell r="FM51">
            <v>0.998</v>
          </cell>
          <cell r="FN51">
            <v>0.998</v>
          </cell>
          <cell r="FO51">
            <v>0.998</v>
          </cell>
          <cell r="FP51">
            <v>0.998</v>
          </cell>
          <cell r="FQ51">
            <v>0.998</v>
          </cell>
          <cell r="FR51">
            <v>0.998</v>
          </cell>
          <cell r="FS51">
            <v>0.998</v>
          </cell>
          <cell r="FT51">
            <v>0.998</v>
          </cell>
          <cell r="FU51">
            <v>0.998</v>
          </cell>
          <cell r="FV51">
            <v>0.998</v>
          </cell>
          <cell r="FW51">
            <v>0.998</v>
          </cell>
          <cell r="FX51">
            <v>0.998</v>
          </cell>
          <cell r="FY51">
            <v>0.994</v>
          </cell>
          <cell r="FZ51">
            <v>0.99</v>
          </cell>
          <cell r="GA51">
            <v>0.986</v>
          </cell>
          <cell r="GB51">
            <v>0.98</v>
          </cell>
          <cell r="GC51">
            <v>0.961</v>
          </cell>
          <cell r="GD51">
            <v>0.914</v>
          </cell>
          <cell r="GE51">
            <v>0.776</v>
          </cell>
          <cell r="GF51">
            <v>0.413</v>
          </cell>
          <cell r="GG51">
            <v>0.038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</row>
        <row r="52">
          <cell r="B52" t="str">
            <v>H-QF50</v>
          </cell>
          <cell r="C52">
            <v>581409</v>
          </cell>
          <cell r="D52">
            <v>40.89</v>
          </cell>
          <cell r="E52">
            <v>40.61</v>
          </cell>
          <cell r="F52">
            <v>0.01422</v>
          </cell>
          <cell r="G52">
            <v>0.0144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1.57488</v>
          </cell>
          <cell r="P52">
            <v>1.57723</v>
          </cell>
          <cell r="Q52">
            <v>1.57789</v>
          </cell>
          <cell r="R52">
            <v>1.57852</v>
          </cell>
          <cell r="S52">
            <v>1.58132</v>
          </cell>
          <cell r="T52">
            <v>1.58144</v>
          </cell>
          <cell r="U52">
            <v>1.58481</v>
          </cell>
          <cell r="V52">
            <v>1.59145</v>
          </cell>
          <cell r="W52">
            <v>1.59229</v>
          </cell>
          <cell r="X52">
            <v>1.59962</v>
          </cell>
          <cell r="Y52">
            <v>1.60671</v>
          </cell>
          <cell r="Z52">
            <v>1.61953</v>
          </cell>
          <cell r="AA52">
            <v>2.44465065</v>
          </cell>
          <cell r="AB52">
            <v>-0.0090988311</v>
          </cell>
          <cell r="AC52">
            <v>0.0189721812</v>
          </cell>
          <cell r="AD52">
            <v>0.000544508963</v>
          </cell>
          <cell r="AE52">
            <v>-1.43583595e-5</v>
          </cell>
          <cell r="AF52">
            <v>3.91870338e-6</v>
          </cell>
          <cell r="AG52">
            <v>0.29606188466948</v>
          </cell>
          <cell r="AH52">
            <v>0.236990154711678</v>
          </cell>
          <cell r="AI52">
            <v>0.574542897327703</v>
          </cell>
          <cell r="AJ52">
            <v>0.246527777777774</v>
          </cell>
          <cell r="AK52">
            <v>0.234027777777785</v>
          </cell>
          <cell r="AL52">
            <v>0.509027777777783</v>
          </cell>
          <cell r="AM52">
            <v>-0.000680759381158774</v>
          </cell>
          <cell r="AN52">
            <v>-0.00113881267229671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1</v>
          </cell>
          <cell r="CT52">
            <v>1</v>
          </cell>
          <cell r="CU52">
            <v>1</v>
          </cell>
          <cell r="CV52">
            <v>1</v>
          </cell>
          <cell r="CW52">
            <v>1</v>
          </cell>
          <cell r="CX52">
            <v>1</v>
          </cell>
          <cell r="CY52">
            <v>0</v>
          </cell>
          <cell r="CZ52">
            <v>0</v>
          </cell>
          <cell r="DA52">
            <v>564</v>
          </cell>
          <cell r="DB52">
            <v>638</v>
          </cell>
          <cell r="DC52">
            <v>515</v>
          </cell>
          <cell r="DD52">
            <v>559</v>
          </cell>
          <cell r="DE52">
            <v>82</v>
          </cell>
          <cell r="DF52">
            <v>0</v>
          </cell>
          <cell r="DG52">
            <v>98</v>
          </cell>
          <cell r="DH52">
            <v>0</v>
          </cell>
          <cell r="DI52">
            <v>200</v>
          </cell>
          <cell r="DJ52">
            <v>0</v>
          </cell>
          <cell r="DK52">
            <v>499</v>
          </cell>
          <cell r="DL52">
            <v>128</v>
          </cell>
          <cell r="DM52">
            <v>8171</v>
          </cell>
          <cell r="DN52">
            <v>3287</v>
          </cell>
          <cell r="DO52">
            <v>0.243</v>
          </cell>
          <cell r="DP52">
            <v>0</v>
          </cell>
          <cell r="DQ52" t="str">
            <v>380/350</v>
          </cell>
          <cell r="DR52">
            <v>0</v>
          </cell>
          <cell r="DS52">
            <v>0</v>
          </cell>
          <cell r="DT52">
            <v>2.64</v>
          </cell>
          <cell r="DU52">
            <v>0.933</v>
          </cell>
          <cell r="DV52">
            <v>0.946</v>
          </cell>
          <cell r="DW52">
            <v>0.98</v>
          </cell>
          <cell r="DX52">
            <v>0.99</v>
          </cell>
          <cell r="DY52">
            <v>0.999</v>
          </cell>
          <cell r="DZ52">
            <v>0.999</v>
          </cell>
          <cell r="EA52">
            <v>0.999</v>
          </cell>
          <cell r="EB52">
            <v>0.999</v>
          </cell>
          <cell r="EC52">
            <v>0.999</v>
          </cell>
          <cell r="ED52">
            <v>0.999</v>
          </cell>
          <cell r="EE52">
            <v>0.999</v>
          </cell>
          <cell r="EF52">
            <v>0.999</v>
          </cell>
          <cell r="EG52">
            <v>0.999</v>
          </cell>
          <cell r="EH52">
            <v>0.999</v>
          </cell>
          <cell r="EI52">
            <v>0.999</v>
          </cell>
          <cell r="EJ52">
            <v>0.999</v>
          </cell>
          <cell r="EK52">
            <v>0.999</v>
          </cell>
          <cell r="EL52">
            <v>0.999</v>
          </cell>
          <cell r="EM52">
            <v>0.999</v>
          </cell>
          <cell r="EN52">
            <v>0.998</v>
          </cell>
          <cell r="EO52">
            <v>0.997</v>
          </cell>
          <cell r="EP52">
            <v>0.996</v>
          </cell>
          <cell r="EQ52">
            <v>0.994</v>
          </cell>
          <cell r="ER52">
            <v>0.992</v>
          </cell>
          <cell r="ES52">
            <v>0.986</v>
          </cell>
          <cell r="ET52">
            <v>0.966</v>
          </cell>
          <cell r="EU52">
            <v>0.903</v>
          </cell>
          <cell r="EV52">
            <v>0.701</v>
          </cell>
          <cell r="EW52">
            <v>0.268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0.81</v>
          </cell>
          <cell r="FF52">
            <v>0.859</v>
          </cell>
          <cell r="FG52">
            <v>0.96</v>
          </cell>
          <cell r="FH52">
            <v>0.98</v>
          </cell>
          <cell r="FI52">
            <v>0.998</v>
          </cell>
          <cell r="FJ52">
            <v>0.998</v>
          </cell>
          <cell r="FK52">
            <v>0.998</v>
          </cell>
          <cell r="FL52">
            <v>0.998</v>
          </cell>
          <cell r="FM52">
            <v>0.998</v>
          </cell>
          <cell r="FN52">
            <v>0.998</v>
          </cell>
          <cell r="FO52">
            <v>0.998</v>
          </cell>
          <cell r="FP52">
            <v>0.998</v>
          </cell>
          <cell r="FQ52">
            <v>0.998</v>
          </cell>
          <cell r="FR52">
            <v>0.998</v>
          </cell>
          <cell r="FS52">
            <v>0.998</v>
          </cell>
          <cell r="FT52">
            <v>0.998</v>
          </cell>
          <cell r="FU52">
            <v>0.998</v>
          </cell>
          <cell r="FV52">
            <v>0.998</v>
          </cell>
          <cell r="FW52">
            <v>0.998</v>
          </cell>
          <cell r="FX52">
            <v>0.996</v>
          </cell>
          <cell r="FY52">
            <v>0.994</v>
          </cell>
          <cell r="FZ52">
            <v>0.992</v>
          </cell>
          <cell r="GA52">
            <v>0.989</v>
          </cell>
          <cell r="GB52">
            <v>0.981</v>
          </cell>
          <cell r="GC52">
            <v>0.966</v>
          </cell>
          <cell r="GD52">
            <v>0.926</v>
          </cell>
          <cell r="GE52">
            <v>0.808</v>
          </cell>
          <cell r="GF52">
            <v>0.488</v>
          </cell>
          <cell r="GG52">
            <v>0.075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</row>
        <row r="53">
          <cell r="B53" t="str">
            <v>H-QF56</v>
          </cell>
          <cell r="C53">
            <v>567428</v>
          </cell>
          <cell r="D53">
            <v>42.82</v>
          </cell>
          <cell r="E53">
            <v>42.54</v>
          </cell>
          <cell r="F53">
            <v>0.01325</v>
          </cell>
          <cell r="G53">
            <v>0.013411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1.5612</v>
          </cell>
          <cell r="P53">
            <v>1.56339</v>
          </cell>
          <cell r="Q53">
            <v>1.56401</v>
          </cell>
          <cell r="R53">
            <v>1.56459</v>
          </cell>
          <cell r="S53">
            <v>1.56721</v>
          </cell>
          <cell r="T53">
            <v>1.56732</v>
          </cell>
          <cell r="U53">
            <v>1.57047</v>
          </cell>
          <cell r="V53">
            <v>1.57664</v>
          </cell>
          <cell r="W53">
            <v>1.57742</v>
          </cell>
          <cell r="X53">
            <v>1.58423</v>
          </cell>
          <cell r="Y53">
            <v>1.59078</v>
          </cell>
          <cell r="Z53">
            <v>1.60258</v>
          </cell>
          <cell r="AA53">
            <v>2.4032847</v>
          </cell>
          <cell r="AB53">
            <v>-0.0080472237</v>
          </cell>
          <cell r="AC53">
            <v>0.01843296</v>
          </cell>
          <cell r="AD53">
            <v>0.00022619393</v>
          </cell>
          <cell r="AE53">
            <v>2.5399455e-5</v>
          </cell>
          <cell r="AF53">
            <v>1.3251137e-6</v>
          </cell>
          <cell r="AG53">
            <v>0.296603773584905</v>
          </cell>
          <cell r="AH53">
            <v>0.237735849056603</v>
          </cell>
          <cell r="AI53">
            <v>0.572830188679245</v>
          </cell>
          <cell r="AJ53">
            <v>0.246830723340799</v>
          </cell>
          <cell r="AK53">
            <v>0.234899328859057</v>
          </cell>
          <cell r="AL53">
            <v>0.507829977628629</v>
          </cell>
          <cell r="AM53">
            <v>-0.000902982641508218</v>
          </cell>
          <cell r="AN53">
            <v>0.000354208679244891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1</v>
          </cell>
          <cell r="CV53">
            <v>1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537</v>
          </cell>
          <cell r="DB53">
            <v>606</v>
          </cell>
          <cell r="DC53">
            <v>482</v>
          </cell>
          <cell r="DD53">
            <v>520</v>
          </cell>
          <cell r="DE53">
            <v>0</v>
          </cell>
          <cell r="DF53">
            <v>90</v>
          </cell>
          <cell r="DG53">
            <v>100</v>
          </cell>
          <cell r="DH53">
            <v>0</v>
          </cell>
          <cell r="DI53">
            <v>215</v>
          </cell>
          <cell r="DJ53">
            <v>0</v>
          </cell>
          <cell r="DK53">
            <v>484</v>
          </cell>
          <cell r="DL53">
            <v>143</v>
          </cell>
          <cell r="DM53">
            <v>7346</v>
          </cell>
          <cell r="DN53">
            <v>3013</v>
          </cell>
          <cell r="DO53">
            <v>0.219</v>
          </cell>
          <cell r="DP53">
            <v>0</v>
          </cell>
          <cell r="DQ53" t="str">
            <v>380/350</v>
          </cell>
          <cell r="DR53">
            <v>0</v>
          </cell>
          <cell r="DS53">
            <v>0</v>
          </cell>
          <cell r="DT53">
            <v>2.57</v>
          </cell>
          <cell r="DU53">
            <v>0.917</v>
          </cell>
          <cell r="DV53">
            <v>0.944</v>
          </cell>
          <cell r="DW53">
            <v>0.98</v>
          </cell>
          <cell r="DX53">
            <v>0.993</v>
          </cell>
          <cell r="DY53">
            <v>0.996</v>
          </cell>
          <cell r="DZ53">
            <v>0.996</v>
          </cell>
          <cell r="EA53">
            <v>0.996</v>
          </cell>
          <cell r="EB53">
            <v>0.996</v>
          </cell>
          <cell r="EC53">
            <v>0.996</v>
          </cell>
          <cell r="ED53">
            <v>0.996</v>
          </cell>
          <cell r="EE53">
            <v>0.996</v>
          </cell>
          <cell r="EF53">
            <v>0.996</v>
          </cell>
          <cell r="EG53">
            <v>0.996</v>
          </cell>
          <cell r="EH53">
            <v>0.996</v>
          </cell>
          <cell r="EI53">
            <v>0.996</v>
          </cell>
          <cell r="EJ53">
            <v>0.996</v>
          </cell>
          <cell r="EK53">
            <v>0.996</v>
          </cell>
          <cell r="EL53">
            <v>0.996</v>
          </cell>
          <cell r="EM53">
            <v>0.996</v>
          </cell>
          <cell r="EN53">
            <v>0.996</v>
          </cell>
          <cell r="EO53">
            <v>0.996</v>
          </cell>
          <cell r="EP53">
            <v>0.996</v>
          </cell>
          <cell r="EQ53">
            <v>0.994</v>
          </cell>
          <cell r="ER53">
            <v>0.989</v>
          </cell>
          <cell r="ES53">
            <v>0.981</v>
          </cell>
          <cell r="ET53">
            <v>0.962</v>
          </cell>
          <cell r="EU53">
            <v>0.915</v>
          </cell>
          <cell r="EV53">
            <v>0.77</v>
          </cell>
          <cell r="EW53">
            <v>0.398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0.846</v>
          </cell>
          <cell r="FF53">
            <v>0.89</v>
          </cell>
          <cell r="FG53">
            <v>0.955</v>
          </cell>
          <cell r="FH53">
            <v>0.983</v>
          </cell>
          <cell r="FI53">
            <v>0.992</v>
          </cell>
          <cell r="FJ53">
            <v>0.992</v>
          </cell>
          <cell r="FK53">
            <v>0.992</v>
          </cell>
          <cell r="FL53">
            <v>0.992</v>
          </cell>
          <cell r="FM53">
            <v>0.992</v>
          </cell>
          <cell r="FN53">
            <v>0.992</v>
          </cell>
          <cell r="FO53">
            <v>0.992</v>
          </cell>
          <cell r="FP53">
            <v>0.992</v>
          </cell>
          <cell r="FQ53">
            <v>0.992</v>
          </cell>
          <cell r="FR53">
            <v>0.992</v>
          </cell>
          <cell r="FS53">
            <v>0.992</v>
          </cell>
          <cell r="FT53">
            <v>0.992</v>
          </cell>
          <cell r="FU53">
            <v>0.992</v>
          </cell>
          <cell r="FV53">
            <v>0.992</v>
          </cell>
          <cell r="FW53">
            <v>0.992</v>
          </cell>
          <cell r="FX53">
            <v>0.992</v>
          </cell>
          <cell r="FY53">
            <v>0.992</v>
          </cell>
          <cell r="FZ53">
            <v>0.992</v>
          </cell>
          <cell r="GA53">
            <v>0.987</v>
          </cell>
          <cell r="GB53">
            <v>0.979</v>
          </cell>
          <cell r="GC53">
            <v>0.965</v>
          </cell>
          <cell r="GD53">
            <v>0.927</v>
          </cell>
          <cell r="GE53">
            <v>0.835</v>
          </cell>
          <cell r="GF53">
            <v>0.593</v>
          </cell>
          <cell r="GG53">
            <v>0.159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</row>
        <row r="54">
          <cell r="B54" t="str">
            <v>H-F1</v>
          </cell>
          <cell r="C54">
            <v>603380</v>
          </cell>
          <cell r="D54">
            <v>38.01</v>
          </cell>
          <cell r="E54">
            <v>37.74</v>
          </cell>
          <cell r="F54">
            <v>0.015875</v>
          </cell>
          <cell r="G54">
            <v>0.016088</v>
          </cell>
          <cell r="H54">
            <v>1.5676</v>
          </cell>
          <cell r="I54">
            <v>1.57308</v>
          </cell>
          <cell r="J54">
            <v>1.57923</v>
          </cell>
          <cell r="K54">
            <v>1.58506</v>
          </cell>
          <cell r="L54">
            <v>1.58713</v>
          </cell>
          <cell r="M54">
            <v>1.59091</v>
          </cell>
          <cell r="N54">
            <v>1.59361</v>
          </cell>
          <cell r="O54">
            <v>1.59615</v>
          </cell>
          <cell r="P54">
            <v>1.59874</v>
          </cell>
          <cell r="Q54">
            <v>1.59948</v>
          </cell>
          <cell r="R54">
            <v>1.60017</v>
          </cell>
          <cell r="S54">
            <v>1.60328</v>
          </cell>
          <cell r="T54">
            <v>1.60342</v>
          </cell>
          <cell r="U54">
            <v>1.60718</v>
          </cell>
          <cell r="V54">
            <v>1.61462</v>
          </cell>
          <cell r="W54">
            <v>1.61557</v>
          </cell>
          <cell r="X54">
            <v>1.62386</v>
          </cell>
          <cell r="Y54">
            <v>1.6319</v>
          </cell>
          <cell r="Z54">
            <v>1.64667</v>
          </cell>
          <cell r="AA54">
            <v>2.50960367</v>
          </cell>
          <cell r="AB54">
            <v>-0.0103328069</v>
          </cell>
          <cell r="AC54">
            <v>0.0194468683</v>
          </cell>
          <cell r="AD54">
            <v>0.00123207636</v>
          </cell>
          <cell r="AE54">
            <v>-9.94382918e-5</v>
          </cell>
          <cell r="AF54">
            <v>9.44281258e-6</v>
          </cell>
          <cell r="AG54">
            <v>0.294710327455922</v>
          </cell>
          <cell r="AH54">
            <v>0.236775818639799</v>
          </cell>
          <cell r="AI54">
            <v>0.581863979848879</v>
          </cell>
          <cell r="AJ54">
            <v>0.24487259167185</v>
          </cell>
          <cell r="AK54">
            <v>0.233685518955873</v>
          </cell>
          <cell r="AL54">
            <v>0.515226848974528</v>
          </cell>
          <cell r="AM54">
            <v>-0.000704626095721618</v>
          </cell>
          <cell r="AN54">
            <v>0.0013985898488791</v>
          </cell>
          <cell r="AO54">
            <v>0.00681185234258166</v>
          </cell>
          <cell r="AP54">
            <v>0.0014490478589456</v>
          </cell>
          <cell r="AQ54">
            <v>1.8</v>
          </cell>
          <cell r="AR54">
            <v>1.7</v>
          </cell>
          <cell r="AS54">
            <v>1.7</v>
          </cell>
          <cell r="AT54">
            <v>1.7</v>
          </cell>
          <cell r="AU54">
            <v>1.8</v>
          </cell>
          <cell r="AV54">
            <v>1.8</v>
          </cell>
          <cell r="AW54">
            <v>2.4</v>
          </cell>
          <cell r="AX54">
            <v>2.3</v>
          </cell>
          <cell r="AY54">
            <v>2.4</v>
          </cell>
          <cell r="AZ54">
            <v>2.4</v>
          </cell>
          <cell r="BA54">
            <v>2.5</v>
          </cell>
          <cell r="BB54">
            <v>2.6</v>
          </cell>
          <cell r="BC54">
            <v>2.4</v>
          </cell>
          <cell r="BD54">
            <v>2.4</v>
          </cell>
          <cell r="BE54">
            <v>2.4</v>
          </cell>
          <cell r="BF54">
            <v>2.4</v>
          </cell>
          <cell r="BG54">
            <v>2.5</v>
          </cell>
          <cell r="BH54">
            <v>2.6</v>
          </cell>
          <cell r="BI54">
            <v>2.6</v>
          </cell>
          <cell r="BJ54">
            <v>2.6</v>
          </cell>
          <cell r="BK54">
            <v>2.6</v>
          </cell>
          <cell r="BL54">
            <v>2.7</v>
          </cell>
          <cell r="BM54">
            <v>2.7</v>
          </cell>
          <cell r="BN54">
            <v>2.8</v>
          </cell>
          <cell r="BO54">
            <v>2.8</v>
          </cell>
          <cell r="BP54">
            <v>2.9</v>
          </cell>
          <cell r="BQ54">
            <v>2.9</v>
          </cell>
          <cell r="BR54">
            <v>2.9</v>
          </cell>
          <cell r="BS54">
            <v>3</v>
          </cell>
          <cell r="BT54">
            <v>3.1</v>
          </cell>
          <cell r="BU54">
            <v>3.5</v>
          </cell>
          <cell r="BV54">
            <v>3.5</v>
          </cell>
          <cell r="BW54">
            <v>3.6</v>
          </cell>
          <cell r="BX54">
            <v>3.7</v>
          </cell>
          <cell r="BY54">
            <v>3.8</v>
          </cell>
          <cell r="BZ54">
            <v>3.9</v>
          </cell>
          <cell r="CA54">
            <v>4.2</v>
          </cell>
          <cell r="CB54">
            <v>4.3</v>
          </cell>
          <cell r="CC54">
            <v>4.4</v>
          </cell>
          <cell r="CD54">
            <v>4.5</v>
          </cell>
          <cell r="CE54">
            <v>4.7</v>
          </cell>
          <cell r="CF54">
            <v>4.9</v>
          </cell>
          <cell r="CG54">
            <v>0.2</v>
          </cell>
          <cell r="CH54">
            <v>0.5</v>
          </cell>
          <cell r="CI54">
            <v>0.8</v>
          </cell>
          <cell r="CJ54">
            <v>1</v>
          </cell>
          <cell r="CK54">
            <v>1.3</v>
          </cell>
          <cell r="CL54">
            <v>1.5</v>
          </cell>
          <cell r="CM54">
            <v>4e-8</v>
          </cell>
          <cell r="CN54">
            <v>1.063e-8</v>
          </cell>
          <cell r="CO54">
            <v>-1.407e-11</v>
          </cell>
          <cell r="CP54">
            <v>5.84e-7</v>
          </cell>
          <cell r="CQ54">
            <v>8.467e-10</v>
          </cell>
          <cell r="CR54">
            <v>0.297</v>
          </cell>
          <cell r="CS54">
            <v>1</v>
          </cell>
          <cell r="CT54">
            <v>1</v>
          </cell>
          <cell r="CU54">
            <v>1</v>
          </cell>
          <cell r="CV54">
            <v>1</v>
          </cell>
          <cell r="CW54">
            <v>1</v>
          </cell>
          <cell r="CX54">
            <v>1</v>
          </cell>
          <cell r="CY54">
            <v>0</v>
          </cell>
          <cell r="CZ54">
            <v>0</v>
          </cell>
          <cell r="DA54">
            <v>578</v>
          </cell>
          <cell r="DB54">
            <v>622</v>
          </cell>
          <cell r="DC54">
            <v>517</v>
          </cell>
          <cell r="DD54">
            <v>565</v>
          </cell>
          <cell r="DE54">
            <v>81</v>
          </cell>
          <cell r="DF54">
            <v>0</v>
          </cell>
          <cell r="DG54">
            <v>101</v>
          </cell>
          <cell r="DH54">
            <v>0</v>
          </cell>
          <cell r="DI54">
            <v>207</v>
          </cell>
          <cell r="DJ54">
            <v>0</v>
          </cell>
          <cell r="DK54">
            <v>491</v>
          </cell>
          <cell r="DL54">
            <v>141</v>
          </cell>
          <cell r="DM54">
            <v>7847</v>
          </cell>
          <cell r="DN54">
            <v>3197</v>
          </cell>
          <cell r="DO54">
            <v>0.227</v>
          </cell>
          <cell r="DP54">
            <v>0</v>
          </cell>
          <cell r="DQ54" t="str">
            <v>380/355</v>
          </cell>
          <cell r="DR54">
            <v>0</v>
          </cell>
          <cell r="DS54">
            <v>0</v>
          </cell>
          <cell r="DT54">
            <v>2.63</v>
          </cell>
          <cell r="DU54">
            <v>0.938</v>
          </cell>
          <cell r="DV54">
            <v>0.95</v>
          </cell>
          <cell r="DW54">
            <v>0.987</v>
          </cell>
          <cell r="DX54">
            <v>0.996</v>
          </cell>
          <cell r="DY54">
            <v>0.999</v>
          </cell>
          <cell r="DZ54">
            <v>0.999</v>
          </cell>
          <cell r="EA54">
            <v>0.999</v>
          </cell>
          <cell r="EB54">
            <v>0.999</v>
          </cell>
          <cell r="EC54">
            <v>0.999</v>
          </cell>
          <cell r="ED54">
            <v>0.999</v>
          </cell>
          <cell r="EE54">
            <v>0.999</v>
          </cell>
          <cell r="EF54">
            <v>0.999</v>
          </cell>
          <cell r="EG54">
            <v>0.999</v>
          </cell>
          <cell r="EH54">
            <v>0.999</v>
          </cell>
          <cell r="EI54">
            <v>0.999</v>
          </cell>
          <cell r="EJ54">
            <v>0.999</v>
          </cell>
          <cell r="EK54">
            <v>0.999</v>
          </cell>
          <cell r="EL54">
            <v>0.999</v>
          </cell>
          <cell r="EM54">
            <v>0.999</v>
          </cell>
          <cell r="EN54">
            <v>0.998</v>
          </cell>
          <cell r="EO54">
            <v>0.997</v>
          </cell>
          <cell r="EP54">
            <v>0.995</v>
          </cell>
          <cell r="EQ54">
            <v>0.991</v>
          </cell>
          <cell r="ER54">
            <v>0.985</v>
          </cell>
          <cell r="ES54">
            <v>0.975</v>
          </cell>
          <cell r="ET54">
            <v>0.94</v>
          </cell>
          <cell r="EU54">
            <v>0.841</v>
          </cell>
          <cell r="EV54">
            <v>0.54</v>
          </cell>
          <cell r="EW54">
            <v>0.112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0.867</v>
          </cell>
          <cell r="FF54">
            <v>0.892</v>
          </cell>
          <cell r="FG54">
            <v>0.961</v>
          </cell>
          <cell r="FH54">
            <v>0.982</v>
          </cell>
          <cell r="FI54">
            <v>0.998</v>
          </cell>
          <cell r="FJ54">
            <v>0.998</v>
          </cell>
          <cell r="FK54">
            <v>0.998</v>
          </cell>
          <cell r="FL54">
            <v>0.998</v>
          </cell>
          <cell r="FM54">
            <v>0.998</v>
          </cell>
          <cell r="FN54">
            <v>0.998</v>
          </cell>
          <cell r="FO54">
            <v>0.998</v>
          </cell>
          <cell r="FP54">
            <v>0.998</v>
          </cell>
          <cell r="FQ54">
            <v>0.998</v>
          </cell>
          <cell r="FR54">
            <v>0.998</v>
          </cell>
          <cell r="FS54">
            <v>0.998</v>
          </cell>
          <cell r="FT54">
            <v>0.998</v>
          </cell>
          <cell r="FU54">
            <v>0.998</v>
          </cell>
          <cell r="FV54">
            <v>0.998</v>
          </cell>
          <cell r="FW54">
            <v>0.998</v>
          </cell>
          <cell r="FX54">
            <v>0.996</v>
          </cell>
          <cell r="FY54">
            <v>0.993</v>
          </cell>
          <cell r="FZ54">
            <v>0.99</v>
          </cell>
          <cell r="GA54">
            <v>0.981</v>
          </cell>
          <cell r="GB54">
            <v>0.965</v>
          </cell>
          <cell r="GC54">
            <v>0.944</v>
          </cell>
          <cell r="GD54">
            <v>0.867</v>
          </cell>
          <cell r="GE54">
            <v>0.683</v>
          </cell>
          <cell r="GF54">
            <v>0.279</v>
          </cell>
          <cell r="GG54">
            <v>0.018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</row>
        <row r="55">
          <cell r="B55" t="str">
            <v>H-F4</v>
          </cell>
          <cell r="C55">
            <v>620364</v>
          </cell>
          <cell r="D55">
            <v>36.35</v>
          </cell>
          <cell r="E55">
            <v>36.09</v>
          </cell>
          <cell r="F55">
            <v>0.01706</v>
          </cell>
          <cell r="G55">
            <v>0.017291</v>
          </cell>
          <cell r="H55">
            <v>1.58141</v>
          </cell>
          <cell r="I55">
            <v>1.58736</v>
          </cell>
          <cell r="J55">
            <v>1.59402</v>
          </cell>
          <cell r="K55">
            <v>1.60033</v>
          </cell>
          <cell r="L55">
            <v>1.60256</v>
          </cell>
          <cell r="M55">
            <v>1.60663</v>
          </cell>
          <cell r="N55">
            <v>1.6095333</v>
          </cell>
          <cell r="O55">
            <v>1.61226</v>
          </cell>
          <cell r="P55">
            <v>1.61504</v>
          </cell>
          <cell r="Q55">
            <v>1.61582</v>
          </cell>
          <cell r="R55">
            <v>1.61656</v>
          </cell>
          <cell r="S55">
            <v>1.6199</v>
          </cell>
          <cell r="T55">
            <v>1.62005</v>
          </cell>
          <cell r="U55">
            <v>1.62408</v>
          </cell>
          <cell r="V55">
            <v>1.6321</v>
          </cell>
          <cell r="W55">
            <v>1.63312</v>
          </cell>
          <cell r="X55">
            <v>1.64216</v>
          </cell>
          <cell r="Y55">
            <v>1.65099</v>
          </cell>
          <cell r="Z55">
            <v>1.66737</v>
          </cell>
          <cell r="AA55">
            <v>2.55787917</v>
          </cell>
          <cell r="AB55">
            <v>-0.011286698</v>
          </cell>
          <cell r="AC55">
            <v>0.0215682378</v>
          </cell>
          <cell r="AD55">
            <v>0.00106093973</v>
          </cell>
          <cell r="AE55">
            <v>-5.80337025e-5</v>
          </cell>
          <cell r="AF55">
            <v>8.39258305e-6</v>
          </cell>
          <cell r="AG55">
            <v>0.293669402110196</v>
          </cell>
          <cell r="AH55">
            <v>0.236225087924968</v>
          </cell>
          <cell r="AI55">
            <v>0.589683470105505</v>
          </cell>
          <cell r="AJ55">
            <v>0.24450867052023</v>
          </cell>
          <cell r="AK55">
            <v>0.232947976878613</v>
          </cell>
          <cell r="AL55">
            <v>0.522543352601169</v>
          </cell>
          <cell r="AM55">
            <v>-2.92900351640049e-5</v>
          </cell>
          <cell r="AN55">
            <v>0.00646082010550498</v>
          </cell>
          <cell r="AO55">
            <v>0.0152836561547474</v>
          </cell>
          <cell r="AP55">
            <v>0.00532600234466539</v>
          </cell>
          <cell r="AQ55">
            <v>2.5</v>
          </cell>
          <cell r="AR55">
            <v>2.5</v>
          </cell>
          <cell r="AS55">
            <v>2.5</v>
          </cell>
          <cell r="AT55">
            <v>2.6</v>
          </cell>
          <cell r="AU55">
            <v>2.6</v>
          </cell>
          <cell r="AV55">
            <v>2.8</v>
          </cell>
          <cell r="AW55">
            <v>3.2</v>
          </cell>
          <cell r="AX55">
            <v>3.2</v>
          </cell>
          <cell r="AY55">
            <v>3.3</v>
          </cell>
          <cell r="AZ55">
            <v>3.3</v>
          </cell>
          <cell r="BA55">
            <v>3.4</v>
          </cell>
          <cell r="BB55">
            <v>3.6</v>
          </cell>
          <cell r="BC55">
            <v>3.2</v>
          </cell>
          <cell r="BD55">
            <v>3.3</v>
          </cell>
          <cell r="BE55">
            <v>3.3</v>
          </cell>
          <cell r="BF55">
            <v>3.4</v>
          </cell>
          <cell r="BG55">
            <v>3.5</v>
          </cell>
          <cell r="BH55">
            <v>3.7</v>
          </cell>
          <cell r="BI55">
            <v>3.4</v>
          </cell>
          <cell r="BJ55">
            <v>3.5</v>
          </cell>
          <cell r="BK55">
            <v>3.6</v>
          </cell>
          <cell r="BL55">
            <v>3.6</v>
          </cell>
          <cell r="BM55">
            <v>3.7</v>
          </cell>
          <cell r="BN55">
            <v>3.9</v>
          </cell>
          <cell r="BO55">
            <v>3.7</v>
          </cell>
          <cell r="BP55">
            <v>3.8</v>
          </cell>
          <cell r="BQ55">
            <v>3.9</v>
          </cell>
          <cell r="BR55">
            <v>3.9</v>
          </cell>
          <cell r="BS55">
            <v>4.1</v>
          </cell>
          <cell r="BT55">
            <v>4.3</v>
          </cell>
          <cell r="BU55">
            <v>4.4</v>
          </cell>
          <cell r="BV55">
            <v>4.5</v>
          </cell>
          <cell r="BW55">
            <v>4.6</v>
          </cell>
          <cell r="BX55">
            <v>4.7</v>
          </cell>
          <cell r="BY55">
            <v>4.9</v>
          </cell>
          <cell r="BZ55">
            <v>5.2</v>
          </cell>
          <cell r="CA55">
            <v>5.1</v>
          </cell>
          <cell r="CB55">
            <v>5.3</v>
          </cell>
          <cell r="CC55">
            <v>5.5</v>
          </cell>
          <cell r="CD55">
            <v>5.6</v>
          </cell>
          <cell r="CE55">
            <v>5.8</v>
          </cell>
          <cell r="CF55">
            <v>6.1</v>
          </cell>
          <cell r="CG55">
            <v>1</v>
          </cell>
          <cell r="CH55">
            <v>1.4</v>
          </cell>
          <cell r="CI55">
            <v>1.7</v>
          </cell>
          <cell r="CJ55">
            <v>2</v>
          </cell>
          <cell r="CK55">
            <v>2.2</v>
          </cell>
          <cell r="CL55">
            <v>2.6</v>
          </cell>
          <cell r="CM55">
            <v>1.28e-6</v>
          </cell>
          <cell r="CN55">
            <v>1.244e-8</v>
          </cell>
          <cell r="CO55">
            <v>-4.08e-12</v>
          </cell>
          <cell r="CP55">
            <v>7.74e-7</v>
          </cell>
          <cell r="CQ55">
            <v>9.627e-10</v>
          </cell>
          <cell r="CR55">
            <v>0.263</v>
          </cell>
          <cell r="CS55">
            <v>1</v>
          </cell>
          <cell r="CT55">
            <v>1</v>
          </cell>
          <cell r="CU55">
            <v>1</v>
          </cell>
          <cell r="CV55">
            <v>1</v>
          </cell>
          <cell r="CW55">
            <v>1</v>
          </cell>
          <cell r="CX55">
            <v>1</v>
          </cell>
          <cell r="CY55">
            <v>0</v>
          </cell>
          <cell r="CZ55">
            <v>0</v>
          </cell>
          <cell r="DA55">
            <v>579</v>
          </cell>
          <cell r="DB55">
            <v>634</v>
          </cell>
          <cell r="DC55">
            <v>524</v>
          </cell>
          <cell r="DD55">
            <v>563</v>
          </cell>
          <cell r="DE55">
            <v>73</v>
          </cell>
          <cell r="DF55">
            <v>0</v>
          </cell>
          <cell r="DG55">
            <v>90</v>
          </cell>
          <cell r="DH55">
            <v>0</v>
          </cell>
          <cell r="DI55">
            <v>235</v>
          </cell>
          <cell r="DJ55">
            <v>0</v>
          </cell>
          <cell r="DK55">
            <v>603</v>
          </cell>
          <cell r="DL55">
            <v>118</v>
          </cell>
          <cell r="DM55">
            <v>8159</v>
          </cell>
          <cell r="DN55">
            <v>3317</v>
          </cell>
          <cell r="DO55">
            <v>0.23</v>
          </cell>
          <cell r="DP55">
            <v>0</v>
          </cell>
          <cell r="DQ55" t="str">
            <v>390/360</v>
          </cell>
          <cell r="DR55">
            <v>377</v>
          </cell>
          <cell r="DS55">
            <v>356</v>
          </cell>
          <cell r="DT55">
            <v>2.66</v>
          </cell>
          <cell r="DU55">
            <v>0.934</v>
          </cell>
          <cell r="DV55">
            <v>0.945</v>
          </cell>
          <cell r="DW55">
            <v>0.994</v>
          </cell>
          <cell r="DX55">
            <v>0.999</v>
          </cell>
          <cell r="DY55">
            <v>0.999</v>
          </cell>
          <cell r="DZ55">
            <v>0.999</v>
          </cell>
          <cell r="EA55">
            <v>0.999</v>
          </cell>
          <cell r="EB55">
            <v>0.999</v>
          </cell>
          <cell r="EC55">
            <v>0.999</v>
          </cell>
          <cell r="ED55">
            <v>0.999</v>
          </cell>
          <cell r="EE55">
            <v>0.999</v>
          </cell>
          <cell r="EF55">
            <v>0.999</v>
          </cell>
          <cell r="EG55">
            <v>0.999</v>
          </cell>
          <cell r="EH55">
            <v>0.999</v>
          </cell>
          <cell r="EI55">
            <v>0.999</v>
          </cell>
          <cell r="EJ55">
            <v>0.999</v>
          </cell>
          <cell r="EK55">
            <v>0.999</v>
          </cell>
          <cell r="EL55">
            <v>0.999</v>
          </cell>
          <cell r="EM55">
            <v>0.999</v>
          </cell>
          <cell r="EN55">
            <v>0.999</v>
          </cell>
          <cell r="EO55">
            <v>0.997</v>
          </cell>
          <cell r="EP55">
            <v>0.995</v>
          </cell>
          <cell r="EQ55">
            <v>0.992</v>
          </cell>
          <cell r="ER55">
            <v>0.982</v>
          </cell>
          <cell r="ES55">
            <v>0.963</v>
          </cell>
          <cell r="ET55">
            <v>0.91</v>
          </cell>
          <cell r="EU55">
            <v>0.749</v>
          </cell>
          <cell r="EV55">
            <v>0.363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0.872</v>
          </cell>
          <cell r="FF55">
            <v>0.893</v>
          </cell>
          <cell r="FG55">
            <v>0.989</v>
          </cell>
          <cell r="FH55">
            <v>0.998</v>
          </cell>
          <cell r="FI55">
            <v>0.998</v>
          </cell>
          <cell r="FJ55">
            <v>0.998</v>
          </cell>
          <cell r="FK55">
            <v>0.998</v>
          </cell>
          <cell r="FL55">
            <v>0.998</v>
          </cell>
          <cell r="FM55">
            <v>0.998</v>
          </cell>
          <cell r="FN55">
            <v>0.998</v>
          </cell>
          <cell r="FO55">
            <v>0.998</v>
          </cell>
          <cell r="FP55">
            <v>0.998</v>
          </cell>
          <cell r="FQ55">
            <v>0.998</v>
          </cell>
          <cell r="FR55">
            <v>0.998</v>
          </cell>
          <cell r="FS55">
            <v>0.998</v>
          </cell>
          <cell r="FT55">
            <v>0.998</v>
          </cell>
          <cell r="FU55">
            <v>0.998</v>
          </cell>
          <cell r="FV55">
            <v>0.998</v>
          </cell>
          <cell r="FW55">
            <v>0.998</v>
          </cell>
          <cell r="FX55">
            <v>0.998</v>
          </cell>
          <cell r="FY55">
            <v>0.994</v>
          </cell>
          <cell r="FZ55">
            <v>0.99</v>
          </cell>
          <cell r="GA55">
            <v>0.981</v>
          </cell>
          <cell r="GB55">
            <v>0.961</v>
          </cell>
          <cell r="GC55">
            <v>0.925</v>
          </cell>
          <cell r="GD55">
            <v>0.828</v>
          </cell>
          <cell r="GE55">
            <v>0.568</v>
          </cell>
          <cell r="GF55">
            <v>0.14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</row>
        <row r="56">
          <cell r="B56" t="str">
            <v>H-F13</v>
          </cell>
          <cell r="C56">
            <v>626357</v>
          </cell>
          <cell r="D56">
            <v>35.7</v>
          </cell>
          <cell r="E56">
            <v>35.43</v>
          </cell>
          <cell r="F56">
            <v>0.017532</v>
          </cell>
          <cell r="G56">
            <v>0.01778</v>
          </cell>
          <cell r="H56">
            <v>1.58752</v>
          </cell>
          <cell r="I56">
            <v>1.59329</v>
          </cell>
          <cell r="J56">
            <v>1.59977</v>
          </cell>
          <cell r="K56">
            <v>1.60594</v>
          </cell>
          <cell r="L56">
            <v>1.60814</v>
          </cell>
          <cell r="M56">
            <v>1.6122</v>
          </cell>
          <cell r="N56">
            <v>1.61513</v>
          </cell>
          <cell r="O56">
            <v>1.6179</v>
          </cell>
          <cell r="P56">
            <v>1.62074</v>
          </cell>
          <cell r="Q56">
            <v>1.62155</v>
          </cell>
          <cell r="R56">
            <v>1.62231</v>
          </cell>
          <cell r="S56">
            <v>1.62573</v>
          </cell>
          <cell r="T56">
            <v>1.62588</v>
          </cell>
          <cell r="U56">
            <v>1.63003</v>
          </cell>
          <cell r="V56">
            <v>1.63828</v>
          </cell>
          <cell r="W56">
            <v>1.63933</v>
          </cell>
          <cell r="X56">
            <v>1.6486</v>
          </cell>
          <cell r="Y56">
            <v>1.65768</v>
          </cell>
          <cell r="Z56">
            <v>1.67466</v>
          </cell>
          <cell r="AA56">
            <v>2.57590334</v>
          </cell>
          <cell r="AB56">
            <v>-0.0110109986</v>
          </cell>
          <cell r="AC56">
            <v>0.0205548046</v>
          </cell>
          <cell r="AD56">
            <v>0.00179594369</v>
          </cell>
          <cell r="AE56">
            <v>-0.000178465029</v>
          </cell>
          <cell r="AF56">
            <v>1.57736814e-5</v>
          </cell>
          <cell r="AG56">
            <v>0.29304446978335</v>
          </cell>
          <cell r="AH56">
            <v>0.236602052451546</v>
          </cell>
          <cell r="AI56">
            <v>0.588369441277091</v>
          </cell>
          <cell r="AJ56">
            <v>0.243532058492687</v>
          </cell>
          <cell r="AK56">
            <v>0.233408323959512</v>
          </cell>
          <cell r="AL56">
            <v>0.521372328458952</v>
          </cell>
          <cell r="AM56">
            <v>-0.000140122234896192</v>
          </cell>
          <cell r="AN56">
            <v>0.00406714127709084</v>
          </cell>
          <cell r="AO56">
            <v>0.00525583876854308</v>
          </cell>
          <cell r="AP56">
            <v>0.000807115165339017</v>
          </cell>
          <cell r="AQ56">
            <v>2.8</v>
          </cell>
          <cell r="AR56">
            <v>2.8</v>
          </cell>
          <cell r="AS56">
            <v>2.7</v>
          </cell>
          <cell r="AT56">
            <v>2.7</v>
          </cell>
          <cell r="AU56">
            <v>2.8</v>
          </cell>
          <cell r="AV56">
            <v>3</v>
          </cell>
          <cell r="AW56">
            <v>3.4</v>
          </cell>
          <cell r="AX56">
            <v>3.5</v>
          </cell>
          <cell r="AY56">
            <v>3.5</v>
          </cell>
          <cell r="AZ56">
            <v>3.5</v>
          </cell>
          <cell r="BA56">
            <v>3.6</v>
          </cell>
          <cell r="BB56">
            <v>3.8</v>
          </cell>
          <cell r="BC56">
            <v>3.5</v>
          </cell>
          <cell r="BD56">
            <v>3.5</v>
          </cell>
          <cell r="BE56">
            <v>3.5</v>
          </cell>
          <cell r="BF56">
            <v>3.5</v>
          </cell>
          <cell r="BG56">
            <v>3.6</v>
          </cell>
          <cell r="BH56">
            <v>3.9</v>
          </cell>
          <cell r="BI56">
            <v>3.7</v>
          </cell>
          <cell r="BJ56">
            <v>3.8</v>
          </cell>
          <cell r="BK56">
            <v>3.8</v>
          </cell>
          <cell r="BL56">
            <v>3.8</v>
          </cell>
          <cell r="BM56">
            <v>3.9</v>
          </cell>
          <cell r="BN56">
            <v>4.1</v>
          </cell>
          <cell r="BO56">
            <v>4</v>
          </cell>
          <cell r="BP56">
            <v>4.1</v>
          </cell>
          <cell r="BQ56">
            <v>4.1</v>
          </cell>
          <cell r="BR56">
            <v>4.2</v>
          </cell>
          <cell r="BS56">
            <v>4.3</v>
          </cell>
          <cell r="BT56">
            <v>4.5</v>
          </cell>
          <cell r="BU56">
            <v>4.7</v>
          </cell>
          <cell r="BV56">
            <v>4.8</v>
          </cell>
          <cell r="BW56">
            <v>4.9</v>
          </cell>
          <cell r="BX56">
            <v>5</v>
          </cell>
          <cell r="BY56">
            <v>5.2</v>
          </cell>
          <cell r="BZ56">
            <v>5.4</v>
          </cell>
          <cell r="CA56">
            <v>5.5</v>
          </cell>
          <cell r="CB56">
            <v>5.7</v>
          </cell>
          <cell r="CC56">
            <v>5.8</v>
          </cell>
          <cell r="CD56">
            <v>5.9</v>
          </cell>
          <cell r="CE56">
            <v>6.1</v>
          </cell>
          <cell r="CF56">
            <v>6.4</v>
          </cell>
          <cell r="CG56">
            <v>1.3</v>
          </cell>
          <cell r="CH56">
            <v>1.6</v>
          </cell>
          <cell r="CI56">
            <v>1.9</v>
          </cell>
          <cell r="CJ56">
            <v>2.1</v>
          </cell>
          <cell r="CK56">
            <v>2.4</v>
          </cell>
          <cell r="CL56">
            <v>2.8</v>
          </cell>
          <cell r="CM56">
            <v>1.46e-6</v>
          </cell>
          <cell r="CN56">
            <v>1.135e-8</v>
          </cell>
          <cell r="CO56">
            <v>8.1e-12</v>
          </cell>
          <cell r="CP56">
            <v>8.38e-7</v>
          </cell>
          <cell r="CQ56">
            <v>1.0923e-9</v>
          </cell>
          <cell r="CR56">
            <v>0.252</v>
          </cell>
          <cell r="CS56">
            <v>1</v>
          </cell>
          <cell r="CT56">
            <v>1</v>
          </cell>
          <cell r="CU56">
            <v>1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576</v>
          </cell>
          <cell r="DB56">
            <v>634</v>
          </cell>
          <cell r="DC56">
            <v>522</v>
          </cell>
          <cell r="DD56">
            <v>566</v>
          </cell>
          <cell r="DE56">
            <v>70</v>
          </cell>
          <cell r="DF56">
            <v>0</v>
          </cell>
          <cell r="DG56">
            <v>91</v>
          </cell>
          <cell r="DH56">
            <v>0</v>
          </cell>
          <cell r="DI56">
            <v>200</v>
          </cell>
          <cell r="DJ56">
            <v>0</v>
          </cell>
          <cell r="DK56">
            <v>546</v>
          </cell>
          <cell r="DL56">
            <v>123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 t="str">
            <v>390/360</v>
          </cell>
          <cell r="DR56">
            <v>0</v>
          </cell>
          <cell r="DS56">
            <v>0</v>
          </cell>
          <cell r="DT56">
            <v>2.72</v>
          </cell>
          <cell r="DU56">
            <v>0.945</v>
          </cell>
          <cell r="DV56">
            <v>0.948</v>
          </cell>
          <cell r="DW56">
            <v>0.982</v>
          </cell>
          <cell r="DX56">
            <v>0.984</v>
          </cell>
          <cell r="DY56">
            <v>0.998</v>
          </cell>
          <cell r="DZ56">
            <v>0.998</v>
          </cell>
          <cell r="EA56">
            <v>0.998</v>
          </cell>
          <cell r="EB56">
            <v>0.998</v>
          </cell>
          <cell r="EC56">
            <v>0.998</v>
          </cell>
          <cell r="ED56">
            <v>0.998</v>
          </cell>
          <cell r="EE56">
            <v>0.998</v>
          </cell>
          <cell r="EF56">
            <v>0.998</v>
          </cell>
          <cell r="EG56">
            <v>0.998</v>
          </cell>
          <cell r="EH56">
            <v>0.998</v>
          </cell>
          <cell r="EI56">
            <v>0.998</v>
          </cell>
          <cell r="EJ56">
            <v>0.998</v>
          </cell>
          <cell r="EK56">
            <v>0.998</v>
          </cell>
          <cell r="EL56">
            <v>0.998</v>
          </cell>
          <cell r="EM56">
            <v>0.996</v>
          </cell>
          <cell r="EN56">
            <v>0.994</v>
          </cell>
          <cell r="EO56">
            <v>0.992</v>
          </cell>
          <cell r="EP56">
            <v>0.989</v>
          </cell>
          <cell r="EQ56">
            <v>0.982</v>
          </cell>
          <cell r="ER56">
            <v>0.967</v>
          </cell>
          <cell r="ES56">
            <v>0.941</v>
          </cell>
          <cell r="ET56">
            <v>0.877</v>
          </cell>
          <cell r="EU56">
            <v>0.699</v>
          </cell>
          <cell r="EV56">
            <v>0.308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0.893</v>
          </cell>
          <cell r="FF56">
            <v>0.899</v>
          </cell>
          <cell r="FG56">
            <v>0.964</v>
          </cell>
          <cell r="FH56">
            <v>0.968</v>
          </cell>
          <cell r="FI56">
            <v>0.996</v>
          </cell>
          <cell r="FJ56">
            <v>0.996</v>
          </cell>
          <cell r="FK56">
            <v>0.996</v>
          </cell>
          <cell r="FL56">
            <v>0.996</v>
          </cell>
          <cell r="FM56">
            <v>0.996</v>
          </cell>
          <cell r="FN56">
            <v>0.996</v>
          </cell>
          <cell r="FO56">
            <v>0.996</v>
          </cell>
          <cell r="FP56">
            <v>0.996</v>
          </cell>
          <cell r="FQ56">
            <v>0.996</v>
          </cell>
          <cell r="FR56">
            <v>0.996</v>
          </cell>
          <cell r="FS56">
            <v>0.996</v>
          </cell>
          <cell r="FT56">
            <v>0.996</v>
          </cell>
          <cell r="FU56">
            <v>0.996</v>
          </cell>
          <cell r="FV56">
            <v>0.996</v>
          </cell>
          <cell r="FW56">
            <v>0.993</v>
          </cell>
          <cell r="FX56">
            <v>0.989</v>
          </cell>
          <cell r="FY56">
            <v>0.984</v>
          </cell>
          <cell r="FZ56">
            <v>0.978</v>
          </cell>
          <cell r="GA56">
            <v>0.967</v>
          </cell>
          <cell r="GB56">
            <v>0.936</v>
          </cell>
          <cell r="GC56">
            <v>0.89</v>
          </cell>
          <cell r="GD56">
            <v>0.772</v>
          </cell>
          <cell r="GE56">
            <v>0.49</v>
          </cell>
          <cell r="GF56">
            <v>0.098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</row>
        <row r="57">
          <cell r="B57" t="str">
            <v>H-ZF1</v>
          </cell>
          <cell r="C57">
            <v>648338</v>
          </cell>
          <cell r="D57">
            <v>33.84</v>
          </cell>
          <cell r="E57">
            <v>33.58</v>
          </cell>
          <cell r="F57">
            <v>0.01914</v>
          </cell>
          <cell r="G57">
            <v>0.019421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1.63902</v>
          </cell>
          <cell r="P57">
            <v>1.6421</v>
          </cell>
          <cell r="Q57">
            <v>1.64298</v>
          </cell>
          <cell r="R57">
            <v>1.6438</v>
          </cell>
          <cell r="S57">
            <v>1.64752</v>
          </cell>
          <cell r="T57">
            <v>1.64769</v>
          </cell>
          <cell r="U57">
            <v>1.65222</v>
          </cell>
          <cell r="V57">
            <v>1.66124</v>
          </cell>
          <cell r="W57">
            <v>1.6624</v>
          </cell>
          <cell r="X57">
            <v>1.67257</v>
          </cell>
          <cell r="Y57">
            <v>1.68257</v>
          </cell>
          <cell r="Z57">
            <v>1.70122</v>
          </cell>
          <cell r="AA57">
            <v>2.64375314</v>
          </cell>
          <cell r="AB57">
            <v>-0.0145803666</v>
          </cell>
          <cell r="AC57">
            <v>0.0211624036</v>
          </cell>
          <cell r="AD57">
            <v>0.00219609369</v>
          </cell>
          <cell r="AE57">
            <v>-0.000193726538</v>
          </cell>
          <cell r="AF57">
            <v>1.62895529e-5</v>
          </cell>
          <cell r="AG57">
            <v>0.292058516196456</v>
          </cell>
          <cell r="AH57">
            <v>0.236677115987455</v>
          </cell>
          <cell r="AI57">
            <v>0.591954022988493</v>
          </cell>
          <cell r="AJ57">
            <v>0.242533470648815</v>
          </cell>
          <cell r="AK57">
            <v>0.233264675592169</v>
          </cell>
          <cell r="AL57">
            <v>0.523686920700298</v>
          </cell>
          <cell r="AM57">
            <v>-0.000255952183910477</v>
          </cell>
          <cell r="AN57">
            <v>0.00456226298849259</v>
          </cell>
          <cell r="AO57">
            <v>0</v>
          </cell>
          <cell r="AP57">
            <v>0</v>
          </cell>
          <cell r="AQ57">
            <v>-0.8</v>
          </cell>
          <cell r="AR57">
            <v>-0.7</v>
          </cell>
          <cell r="AS57">
            <v>-0.6</v>
          </cell>
          <cell r="AT57">
            <v>-0.5</v>
          </cell>
          <cell r="AU57">
            <v>-0.4</v>
          </cell>
          <cell r="AV57">
            <v>-0.2</v>
          </cell>
          <cell r="AW57">
            <v>-0.2</v>
          </cell>
          <cell r="AX57">
            <v>0.1</v>
          </cell>
          <cell r="AY57">
            <v>0.5</v>
          </cell>
          <cell r="AZ57">
            <v>0.5</v>
          </cell>
          <cell r="BA57">
            <v>0.5</v>
          </cell>
          <cell r="BB57">
            <v>0.5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0.2</v>
          </cell>
          <cell r="BP57">
            <v>1.1</v>
          </cell>
          <cell r="BQ57">
            <v>1</v>
          </cell>
          <cell r="BR57">
            <v>1</v>
          </cell>
          <cell r="BS57">
            <v>1</v>
          </cell>
          <cell r="BT57">
            <v>1.1</v>
          </cell>
          <cell r="BU57">
            <v>1.2</v>
          </cell>
          <cell r="BV57">
            <v>1.4</v>
          </cell>
          <cell r="BW57">
            <v>1.6</v>
          </cell>
          <cell r="BX57">
            <v>1.9</v>
          </cell>
          <cell r="BY57">
            <v>2.2</v>
          </cell>
          <cell r="BZ57">
            <v>2.4</v>
          </cell>
          <cell r="CA57">
            <v>2.2</v>
          </cell>
          <cell r="CB57">
            <v>2.5</v>
          </cell>
          <cell r="CC57">
            <v>2.8</v>
          </cell>
          <cell r="CD57">
            <v>2.8</v>
          </cell>
          <cell r="CE57">
            <v>3.2</v>
          </cell>
          <cell r="CF57">
            <v>3.4</v>
          </cell>
          <cell r="CG57">
            <v>-2.22534569963238</v>
          </cell>
          <cell r="CH57">
            <v>-1.70035736831497</v>
          </cell>
          <cell r="CI57">
            <v>-1.2768848967479</v>
          </cell>
          <cell r="CJ57">
            <v>-0.954928284931165</v>
          </cell>
          <cell r="CK57">
            <v>-0.734487532864764</v>
          </cell>
          <cell r="CL57">
            <v>-0.615562640548697</v>
          </cell>
          <cell r="CM57">
            <v>-4.73e-6</v>
          </cell>
          <cell r="CN57">
            <v>1.27e-8</v>
          </cell>
          <cell r="CO57">
            <v>-8.17e-11</v>
          </cell>
          <cell r="CP57">
            <v>8.61e-7</v>
          </cell>
          <cell r="CQ57">
            <v>9.43e-10</v>
          </cell>
          <cell r="CR57">
            <v>0.263</v>
          </cell>
          <cell r="CS57">
            <v>1</v>
          </cell>
          <cell r="CT57">
            <v>1</v>
          </cell>
          <cell r="CU57">
            <v>1</v>
          </cell>
          <cell r="CV57">
            <v>1</v>
          </cell>
          <cell r="CW57">
            <v>1</v>
          </cell>
          <cell r="CX57">
            <v>1</v>
          </cell>
          <cell r="CY57">
            <v>0</v>
          </cell>
          <cell r="CZ57">
            <v>0</v>
          </cell>
          <cell r="DA57">
            <v>530</v>
          </cell>
          <cell r="DB57">
            <v>578</v>
          </cell>
          <cell r="DC57">
            <v>480</v>
          </cell>
          <cell r="DD57">
            <v>520</v>
          </cell>
          <cell r="DE57">
            <v>0</v>
          </cell>
          <cell r="DF57">
            <v>99</v>
          </cell>
          <cell r="DG57">
            <v>117</v>
          </cell>
          <cell r="DH57">
            <v>0</v>
          </cell>
          <cell r="DI57">
            <v>210</v>
          </cell>
          <cell r="DJ57">
            <v>0</v>
          </cell>
          <cell r="DK57">
            <v>530</v>
          </cell>
          <cell r="DL57">
            <v>145</v>
          </cell>
          <cell r="DM57">
            <v>8050</v>
          </cell>
          <cell r="DN57">
            <v>3228</v>
          </cell>
          <cell r="DO57">
            <v>0.247</v>
          </cell>
          <cell r="DP57">
            <v>0</v>
          </cell>
          <cell r="DQ57" t="str">
            <v>390/360</v>
          </cell>
          <cell r="DR57">
            <v>0</v>
          </cell>
          <cell r="DS57">
            <v>0</v>
          </cell>
          <cell r="DT57">
            <v>2.72</v>
          </cell>
          <cell r="DU57">
            <v>0.901</v>
          </cell>
          <cell r="DV57">
            <v>0.929</v>
          </cell>
          <cell r="DW57">
            <v>0.969</v>
          </cell>
          <cell r="DX57">
            <v>0.982</v>
          </cell>
          <cell r="DY57">
            <v>0.992</v>
          </cell>
          <cell r="DZ57">
            <v>0.999</v>
          </cell>
          <cell r="EA57">
            <v>0.999</v>
          </cell>
          <cell r="EB57">
            <v>0.999</v>
          </cell>
          <cell r="EC57">
            <v>0.999</v>
          </cell>
          <cell r="ED57">
            <v>0.999</v>
          </cell>
          <cell r="EE57">
            <v>0.999</v>
          </cell>
          <cell r="EF57">
            <v>0.999</v>
          </cell>
          <cell r="EG57">
            <v>0.999</v>
          </cell>
          <cell r="EH57">
            <v>0.999</v>
          </cell>
          <cell r="EI57">
            <v>0.999</v>
          </cell>
          <cell r="EJ57">
            <v>0.999</v>
          </cell>
          <cell r="EK57">
            <v>0.998</v>
          </cell>
          <cell r="EL57">
            <v>0.996</v>
          </cell>
          <cell r="EM57">
            <v>0.994</v>
          </cell>
          <cell r="EN57">
            <v>0.993</v>
          </cell>
          <cell r="EO57">
            <v>0.992</v>
          </cell>
          <cell r="EP57">
            <v>0.99</v>
          </cell>
          <cell r="EQ57">
            <v>0.988</v>
          </cell>
          <cell r="ER57">
            <v>0.98</v>
          </cell>
          <cell r="ES57">
            <v>0.962</v>
          </cell>
          <cell r="ET57">
            <v>0.912</v>
          </cell>
          <cell r="EU57">
            <v>0.763</v>
          </cell>
          <cell r="EV57">
            <v>0.385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0.812</v>
          </cell>
          <cell r="FF57">
            <v>0.863</v>
          </cell>
          <cell r="FG57">
            <v>0.939</v>
          </cell>
          <cell r="FH57">
            <v>0.964</v>
          </cell>
          <cell r="FI57">
            <v>0.984</v>
          </cell>
          <cell r="FJ57">
            <v>0.998</v>
          </cell>
          <cell r="FK57">
            <v>0.998</v>
          </cell>
          <cell r="FL57">
            <v>0.998</v>
          </cell>
          <cell r="FM57">
            <v>0.998</v>
          </cell>
          <cell r="FN57">
            <v>0.998</v>
          </cell>
          <cell r="FO57">
            <v>0.998</v>
          </cell>
          <cell r="FP57">
            <v>0.998</v>
          </cell>
          <cell r="FQ57">
            <v>0.998</v>
          </cell>
          <cell r="FR57">
            <v>0.998</v>
          </cell>
          <cell r="FS57">
            <v>0.998</v>
          </cell>
          <cell r="FT57">
            <v>0.998</v>
          </cell>
          <cell r="FU57">
            <v>0.995</v>
          </cell>
          <cell r="FV57">
            <v>0.992</v>
          </cell>
          <cell r="FW57">
            <v>0.989</v>
          </cell>
          <cell r="FX57">
            <v>0.986</v>
          </cell>
          <cell r="FY57">
            <v>0.983</v>
          </cell>
          <cell r="FZ57">
            <v>0.98</v>
          </cell>
          <cell r="GA57">
            <v>0.977</v>
          </cell>
          <cell r="GB57">
            <v>0.955</v>
          </cell>
          <cell r="GC57">
            <v>0.92</v>
          </cell>
          <cell r="GD57">
            <v>0.828</v>
          </cell>
          <cell r="GE57">
            <v>0.581</v>
          </cell>
          <cell r="GF57">
            <v>0.153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</row>
        <row r="58">
          <cell r="B58" t="str">
            <v>H-ZF2</v>
          </cell>
          <cell r="C58">
            <v>673322</v>
          </cell>
          <cell r="D58">
            <v>32.17</v>
          </cell>
          <cell r="E58">
            <v>31.92</v>
          </cell>
          <cell r="F58">
            <v>0.02091</v>
          </cell>
          <cell r="G58">
            <v>0.021227</v>
          </cell>
          <cell r="H58">
            <v>1.63037</v>
          </cell>
          <cell r="I58">
            <v>1.63613</v>
          </cell>
          <cell r="J58">
            <v>1.64275</v>
          </cell>
          <cell r="K58">
            <v>1.64942</v>
          </cell>
          <cell r="L58">
            <v>1.6519</v>
          </cell>
          <cell r="M58">
            <v>1.65659</v>
          </cell>
          <cell r="N58">
            <v>1.66001</v>
          </cell>
          <cell r="O58">
            <v>1.66327</v>
          </cell>
          <cell r="P58">
            <v>1.66661</v>
          </cell>
          <cell r="Q58">
            <v>1.66756</v>
          </cell>
          <cell r="R58">
            <v>1.66846</v>
          </cell>
          <cell r="S58">
            <v>1.67252</v>
          </cell>
          <cell r="T58">
            <v>1.6727</v>
          </cell>
          <cell r="U58">
            <v>1.67764</v>
          </cell>
          <cell r="V58">
            <v>1.68752</v>
          </cell>
          <cell r="W58">
            <v>1.68879</v>
          </cell>
          <cell r="X58">
            <v>1.70004</v>
          </cell>
          <cell r="Y58">
            <v>1.71115</v>
          </cell>
          <cell r="Z58">
            <v>1.73203</v>
          </cell>
          <cell r="AA58">
            <v>2.71254884</v>
          </cell>
          <cell r="AB58">
            <v>-0.0109981079</v>
          </cell>
          <cell r="AC58">
            <v>0.0269930833</v>
          </cell>
          <cell r="AD58">
            <v>0.00144291354</v>
          </cell>
          <cell r="AE58">
            <v>-8.34857219e-5</v>
          </cell>
          <cell r="AF58">
            <v>1.26851609e-5</v>
          </cell>
          <cell r="AG58">
            <v>0.291248206599721</v>
          </cell>
          <cell r="AH58">
            <v>0.236250597800093</v>
          </cell>
          <cell r="AI58">
            <v>0.598756575801057</v>
          </cell>
          <cell r="AJ58">
            <v>0.242110221384839</v>
          </cell>
          <cell r="AK58">
            <v>0.23268959020254</v>
          </cell>
          <cell r="AL58">
            <v>0.529910504003765</v>
          </cell>
          <cell r="AM58">
            <v>5.90356001863059e-5</v>
          </cell>
          <cell r="AN58">
            <v>0.00859094580105673</v>
          </cell>
          <cell r="AO58">
            <v>0.00749533255858495</v>
          </cell>
          <cell r="AP58">
            <v>0.00158855667144553</v>
          </cell>
          <cell r="AQ58">
            <v>0.7</v>
          </cell>
          <cell r="AR58">
            <v>0.7</v>
          </cell>
          <cell r="AS58">
            <v>0.7</v>
          </cell>
          <cell r="AT58">
            <v>0.7</v>
          </cell>
          <cell r="AU58">
            <v>0.7</v>
          </cell>
          <cell r="AV58">
            <v>0.8</v>
          </cell>
          <cell r="AW58">
            <v>1.5</v>
          </cell>
          <cell r="AX58">
            <v>1.5</v>
          </cell>
          <cell r="AY58">
            <v>1.5</v>
          </cell>
          <cell r="AZ58">
            <v>1.5</v>
          </cell>
          <cell r="BA58">
            <v>1.6</v>
          </cell>
          <cell r="BB58">
            <v>1.8</v>
          </cell>
          <cell r="BC58">
            <v>1.5</v>
          </cell>
          <cell r="BD58">
            <v>1.5</v>
          </cell>
          <cell r="BE58">
            <v>1.6</v>
          </cell>
          <cell r="BF58">
            <v>1.6</v>
          </cell>
          <cell r="BG58">
            <v>1.7</v>
          </cell>
          <cell r="BH58">
            <v>1.8</v>
          </cell>
          <cell r="BI58">
            <v>1.8</v>
          </cell>
          <cell r="BJ58">
            <v>1.8</v>
          </cell>
          <cell r="BK58">
            <v>1.8</v>
          </cell>
          <cell r="BL58">
            <v>1.9</v>
          </cell>
          <cell r="BM58">
            <v>2</v>
          </cell>
          <cell r="BN58">
            <v>2.1</v>
          </cell>
          <cell r="BO58">
            <v>2.1</v>
          </cell>
          <cell r="BP58">
            <v>2.1</v>
          </cell>
          <cell r="BQ58">
            <v>2.2</v>
          </cell>
          <cell r="BR58">
            <v>2.3</v>
          </cell>
          <cell r="BS58">
            <v>2.4</v>
          </cell>
          <cell r="BT58">
            <v>2.6</v>
          </cell>
          <cell r="BU58">
            <v>3</v>
          </cell>
          <cell r="BV58">
            <v>3</v>
          </cell>
          <cell r="BW58">
            <v>3.2</v>
          </cell>
          <cell r="BX58">
            <v>3.3</v>
          </cell>
          <cell r="BY58">
            <v>3.5</v>
          </cell>
          <cell r="BZ58">
            <v>3.7</v>
          </cell>
          <cell r="CA58">
            <v>3.9</v>
          </cell>
          <cell r="CB58">
            <v>4.1</v>
          </cell>
          <cell r="CC58">
            <v>4.3</v>
          </cell>
          <cell r="CD58">
            <v>4.4</v>
          </cell>
          <cell r="CE58">
            <v>4.6</v>
          </cell>
          <cell r="CF58">
            <v>4.9</v>
          </cell>
          <cell r="CG58">
            <v>-0.8</v>
          </cell>
          <cell r="CH58">
            <v>-0.4</v>
          </cell>
          <cell r="CI58">
            <v>-0.1</v>
          </cell>
          <cell r="CJ58">
            <v>0.2</v>
          </cell>
          <cell r="CK58">
            <v>0.4</v>
          </cell>
          <cell r="CL58">
            <v>0.7</v>
          </cell>
          <cell r="CM58">
            <v>-2.51e-6</v>
          </cell>
          <cell r="CN58">
            <v>1.043e-8</v>
          </cell>
          <cell r="CO58">
            <v>-8.97e-12</v>
          </cell>
          <cell r="CP58">
            <v>8.05e-7</v>
          </cell>
          <cell r="CQ58">
            <v>9.302e-10</v>
          </cell>
          <cell r="CR58">
            <v>0.284</v>
          </cell>
          <cell r="CS58">
            <v>1</v>
          </cell>
          <cell r="CT58">
            <v>1</v>
          </cell>
          <cell r="CU58">
            <v>1</v>
          </cell>
          <cell r="CV58">
            <v>1</v>
          </cell>
          <cell r="CW58">
            <v>1</v>
          </cell>
          <cell r="CX58">
            <v>1</v>
          </cell>
          <cell r="CY58">
            <v>0</v>
          </cell>
          <cell r="CZ58">
            <v>0</v>
          </cell>
          <cell r="DA58">
            <v>578</v>
          </cell>
          <cell r="DB58">
            <v>622</v>
          </cell>
          <cell r="DC58">
            <v>518</v>
          </cell>
          <cell r="DD58">
            <v>560</v>
          </cell>
          <cell r="DE58">
            <v>87</v>
          </cell>
          <cell r="DF58">
            <v>0</v>
          </cell>
          <cell r="DG58">
            <v>107</v>
          </cell>
          <cell r="DH58">
            <v>0</v>
          </cell>
          <cell r="DI58">
            <v>245</v>
          </cell>
          <cell r="DJ58">
            <v>0</v>
          </cell>
          <cell r="DK58">
            <v>569</v>
          </cell>
          <cell r="DL58">
            <v>140</v>
          </cell>
          <cell r="DM58">
            <v>8701</v>
          </cell>
          <cell r="DN58">
            <v>3503</v>
          </cell>
          <cell r="DO58">
            <v>0.242</v>
          </cell>
          <cell r="DP58">
            <v>0</v>
          </cell>
          <cell r="DQ58" t="str">
            <v>395/360</v>
          </cell>
          <cell r="DR58">
            <v>382</v>
          </cell>
          <cell r="DS58">
            <v>360</v>
          </cell>
          <cell r="DT58">
            <v>2.9</v>
          </cell>
          <cell r="DU58">
            <v>0.93</v>
          </cell>
          <cell r="DV58">
            <v>0.952</v>
          </cell>
          <cell r="DW58">
            <v>0.986</v>
          </cell>
          <cell r="DX58">
            <v>0.996</v>
          </cell>
          <cell r="DY58">
            <v>0.999</v>
          </cell>
          <cell r="DZ58">
            <v>0.999</v>
          </cell>
          <cell r="EA58">
            <v>0.999</v>
          </cell>
          <cell r="EB58">
            <v>0.999</v>
          </cell>
          <cell r="EC58">
            <v>0.999</v>
          </cell>
          <cell r="ED58">
            <v>0.999</v>
          </cell>
          <cell r="EE58">
            <v>0.999</v>
          </cell>
          <cell r="EF58">
            <v>0.999</v>
          </cell>
          <cell r="EG58">
            <v>0.999</v>
          </cell>
          <cell r="EH58">
            <v>0.999</v>
          </cell>
          <cell r="EI58">
            <v>0.999</v>
          </cell>
          <cell r="EJ58">
            <v>0.999</v>
          </cell>
          <cell r="EK58">
            <v>0.999</v>
          </cell>
          <cell r="EL58">
            <v>0.997</v>
          </cell>
          <cell r="EM58">
            <v>0.995</v>
          </cell>
          <cell r="EN58">
            <v>0.993</v>
          </cell>
          <cell r="EO58">
            <v>0.991</v>
          </cell>
          <cell r="EP58">
            <v>0.989</v>
          </cell>
          <cell r="EQ58">
            <v>0.986</v>
          </cell>
          <cell r="ER58">
            <v>0.971</v>
          </cell>
          <cell r="ES58">
            <v>0.943</v>
          </cell>
          <cell r="ET58">
            <v>0.868</v>
          </cell>
          <cell r="EU58">
            <v>0.655</v>
          </cell>
          <cell r="EV58">
            <v>0.225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0.865</v>
          </cell>
          <cell r="FF58">
            <v>0.906</v>
          </cell>
          <cell r="FG58">
            <v>0.972</v>
          </cell>
          <cell r="FH58">
            <v>0.992</v>
          </cell>
          <cell r="FI58">
            <v>0.998</v>
          </cell>
          <cell r="FJ58">
            <v>0.998</v>
          </cell>
          <cell r="FK58">
            <v>0.998</v>
          </cell>
          <cell r="FL58">
            <v>0.998</v>
          </cell>
          <cell r="FM58">
            <v>0.998</v>
          </cell>
          <cell r="FN58">
            <v>0.998</v>
          </cell>
          <cell r="FO58">
            <v>0.998</v>
          </cell>
          <cell r="FP58">
            <v>0.998</v>
          </cell>
          <cell r="FQ58">
            <v>0.998</v>
          </cell>
          <cell r="FR58">
            <v>0.998</v>
          </cell>
          <cell r="FS58">
            <v>0.998</v>
          </cell>
          <cell r="FT58">
            <v>0.998</v>
          </cell>
          <cell r="FU58">
            <v>0.998</v>
          </cell>
          <cell r="FV58">
            <v>0.993</v>
          </cell>
          <cell r="FW58">
            <v>0.989</v>
          </cell>
          <cell r="FX58">
            <v>0.987</v>
          </cell>
          <cell r="FY58">
            <v>0.984</v>
          </cell>
          <cell r="FZ58">
            <v>0.979</v>
          </cell>
          <cell r="GA58">
            <v>0.97</v>
          </cell>
          <cell r="GB58">
            <v>0.937</v>
          </cell>
          <cell r="GC58">
            <v>0.883</v>
          </cell>
          <cell r="GD58">
            <v>0.747</v>
          </cell>
          <cell r="GE58">
            <v>0.426</v>
          </cell>
          <cell r="GF58">
            <v>0.052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</row>
        <row r="59">
          <cell r="B59" t="str">
            <v>H-ZF3</v>
          </cell>
          <cell r="C59">
            <v>717295</v>
          </cell>
          <cell r="D59">
            <v>29.5</v>
          </cell>
          <cell r="E59">
            <v>29.27</v>
          </cell>
          <cell r="F59">
            <v>0.024318</v>
          </cell>
          <cell r="G59">
            <v>0.024707</v>
          </cell>
          <cell r="H59">
            <v>1.67093</v>
          </cell>
          <cell r="I59">
            <v>1.67676</v>
          </cell>
          <cell r="J59">
            <v>1.68361</v>
          </cell>
          <cell r="K59">
            <v>1.69079</v>
          </cell>
          <cell r="L59">
            <v>1.69355</v>
          </cell>
          <cell r="M59">
            <v>1.69884</v>
          </cell>
          <cell r="N59">
            <v>1.70274</v>
          </cell>
          <cell r="O59">
            <v>1.70647</v>
          </cell>
          <cell r="P59">
            <v>1.71032</v>
          </cell>
          <cell r="Q59">
            <v>1.71142</v>
          </cell>
          <cell r="R59">
            <v>1.71245</v>
          </cell>
          <cell r="S59">
            <v>1.71715</v>
          </cell>
          <cell r="T59">
            <v>1.71736</v>
          </cell>
          <cell r="U59">
            <v>1.7231</v>
          </cell>
          <cell r="V59">
            <v>1.73464</v>
          </cell>
          <cell r="W59">
            <v>1.73613</v>
          </cell>
          <cell r="X59">
            <v>1.74933</v>
          </cell>
          <cell r="Y59">
            <v>1.76249</v>
          </cell>
          <cell r="Z59">
            <v>1.78745</v>
          </cell>
          <cell r="AA59">
            <v>2.84670798</v>
          </cell>
          <cell r="AB59">
            <v>-0.011235076</v>
          </cell>
          <cell r="AC59">
            <v>0.032360757</v>
          </cell>
          <cell r="AD59">
            <v>0.00162442342</v>
          </cell>
          <cell r="AE59">
            <v>-8.05719818e-5</v>
          </cell>
          <cell r="AF59">
            <v>1.55748376e-5</v>
          </cell>
          <cell r="AG59">
            <v>0.289473684210525</v>
          </cell>
          <cell r="AH59">
            <v>0.236019736842109</v>
          </cell>
          <cell r="AI59">
            <v>0.604029605263164</v>
          </cell>
          <cell r="AJ59">
            <v>0.240388506677461</v>
          </cell>
          <cell r="AK59">
            <v>0.232294617563742</v>
          </cell>
          <cell r="AL59">
            <v>0.534196681505467</v>
          </cell>
          <cell r="AM59">
            <v>0.000590578947365618</v>
          </cell>
          <cell r="AN59">
            <v>0.00942910526316423</v>
          </cell>
          <cell r="AO59">
            <v>0.0064989210526325</v>
          </cell>
          <cell r="AP59">
            <v>0.00083947368421898</v>
          </cell>
          <cell r="AQ59">
            <v>0.5</v>
          </cell>
          <cell r="AR59">
            <v>0.5</v>
          </cell>
          <cell r="AS59">
            <v>0.5</v>
          </cell>
          <cell r="AT59">
            <v>0.5</v>
          </cell>
          <cell r="AU59">
            <v>0.5</v>
          </cell>
          <cell r="AV59">
            <v>0.7</v>
          </cell>
          <cell r="AW59">
            <v>1.4</v>
          </cell>
          <cell r="AX59">
            <v>1.4</v>
          </cell>
          <cell r="AY59">
            <v>1.5</v>
          </cell>
          <cell r="AZ59">
            <v>1.5</v>
          </cell>
          <cell r="BA59">
            <v>1.6</v>
          </cell>
          <cell r="BB59">
            <v>1.7</v>
          </cell>
          <cell r="BC59">
            <v>1.5</v>
          </cell>
          <cell r="BD59">
            <v>1.5</v>
          </cell>
          <cell r="BE59">
            <v>1.5</v>
          </cell>
          <cell r="BF59">
            <v>1.6</v>
          </cell>
          <cell r="BG59">
            <v>1.7</v>
          </cell>
          <cell r="BH59">
            <v>1.8</v>
          </cell>
          <cell r="BI59">
            <v>1.8</v>
          </cell>
          <cell r="BJ59">
            <v>1.8</v>
          </cell>
          <cell r="BK59">
            <v>1.9</v>
          </cell>
          <cell r="BL59">
            <v>1.9</v>
          </cell>
          <cell r="BM59">
            <v>2</v>
          </cell>
          <cell r="BN59">
            <v>2.2</v>
          </cell>
          <cell r="BO59">
            <v>2.1</v>
          </cell>
          <cell r="BP59">
            <v>2.2</v>
          </cell>
          <cell r="BQ59">
            <v>2.3</v>
          </cell>
          <cell r="BR59">
            <v>2.4</v>
          </cell>
          <cell r="BS59">
            <v>2.5</v>
          </cell>
          <cell r="BT59">
            <v>2.7</v>
          </cell>
          <cell r="BU59">
            <v>3.1</v>
          </cell>
          <cell r="BV59">
            <v>3.3</v>
          </cell>
          <cell r="BW59">
            <v>3.4</v>
          </cell>
          <cell r="BX59">
            <v>3.6</v>
          </cell>
          <cell r="BY59">
            <v>3.7</v>
          </cell>
          <cell r="BZ59">
            <v>4</v>
          </cell>
          <cell r="CA59">
            <v>4.3</v>
          </cell>
          <cell r="CB59">
            <v>4.5</v>
          </cell>
          <cell r="CC59">
            <v>4.7</v>
          </cell>
          <cell r="CD59">
            <v>4.9</v>
          </cell>
          <cell r="CE59">
            <v>5.2</v>
          </cell>
          <cell r="CF59">
            <v>5.5</v>
          </cell>
          <cell r="CG59">
            <v>-0.9</v>
          </cell>
          <cell r="CH59">
            <v>-0.5</v>
          </cell>
          <cell r="CI59">
            <v>-0.2</v>
          </cell>
          <cell r="CJ59">
            <v>0.1</v>
          </cell>
          <cell r="CK59">
            <v>0.4</v>
          </cell>
          <cell r="CL59">
            <v>0.7</v>
          </cell>
          <cell r="CM59">
            <v>-2.93e-6</v>
          </cell>
          <cell r="CN59">
            <v>1.014e-8</v>
          </cell>
          <cell r="CO59">
            <v>-1.439e-11</v>
          </cell>
          <cell r="CP59">
            <v>9.12e-7</v>
          </cell>
          <cell r="CQ59">
            <v>1.0461e-9</v>
          </cell>
          <cell r="CR59">
            <v>0.282</v>
          </cell>
          <cell r="CS59">
            <v>1</v>
          </cell>
          <cell r="CT59">
            <v>1</v>
          </cell>
          <cell r="CU59">
            <v>1</v>
          </cell>
          <cell r="CV59">
            <v>1</v>
          </cell>
          <cell r="CW59">
            <v>1</v>
          </cell>
          <cell r="CX59">
            <v>1</v>
          </cell>
          <cell r="CY59">
            <v>0</v>
          </cell>
          <cell r="CZ59">
            <v>0</v>
          </cell>
          <cell r="DA59">
            <v>586</v>
          </cell>
          <cell r="DB59">
            <v>633</v>
          </cell>
          <cell r="DC59">
            <v>538</v>
          </cell>
          <cell r="DD59">
            <v>572</v>
          </cell>
          <cell r="DE59">
            <v>78</v>
          </cell>
          <cell r="DF59">
            <v>0</v>
          </cell>
          <cell r="DG59">
            <v>107</v>
          </cell>
          <cell r="DH59">
            <v>0</v>
          </cell>
          <cell r="DI59">
            <v>210</v>
          </cell>
          <cell r="DJ59">
            <v>0</v>
          </cell>
          <cell r="DK59">
            <v>578</v>
          </cell>
          <cell r="DL59">
            <v>164</v>
          </cell>
          <cell r="DM59">
            <v>9705</v>
          </cell>
          <cell r="DN59">
            <v>3873</v>
          </cell>
          <cell r="DO59">
            <v>0.253</v>
          </cell>
          <cell r="DP59">
            <v>0</v>
          </cell>
          <cell r="DQ59" t="str">
            <v>405/360</v>
          </cell>
          <cell r="DR59">
            <v>0</v>
          </cell>
          <cell r="DS59">
            <v>0</v>
          </cell>
          <cell r="DT59">
            <v>3.06</v>
          </cell>
          <cell r="DU59">
            <v>0.934</v>
          </cell>
          <cell r="DV59">
            <v>0.963</v>
          </cell>
          <cell r="DW59">
            <v>0.993</v>
          </cell>
          <cell r="DX59">
            <v>0.998</v>
          </cell>
          <cell r="DY59">
            <v>0.998</v>
          </cell>
          <cell r="DZ59">
            <v>0.998</v>
          </cell>
          <cell r="EA59">
            <v>0.998</v>
          </cell>
          <cell r="EB59">
            <v>0.998</v>
          </cell>
          <cell r="EC59">
            <v>0.998</v>
          </cell>
          <cell r="ED59">
            <v>0.998</v>
          </cell>
          <cell r="EE59">
            <v>0.998</v>
          </cell>
          <cell r="EF59">
            <v>0.998</v>
          </cell>
          <cell r="EG59">
            <v>0.998</v>
          </cell>
          <cell r="EH59">
            <v>0.998</v>
          </cell>
          <cell r="EI59">
            <v>0.998</v>
          </cell>
          <cell r="EJ59">
            <v>0.998</v>
          </cell>
          <cell r="EK59">
            <v>0.998</v>
          </cell>
          <cell r="EL59">
            <v>0.998</v>
          </cell>
          <cell r="EM59">
            <v>0.998</v>
          </cell>
          <cell r="EN59">
            <v>0.998</v>
          </cell>
          <cell r="EO59">
            <v>0.998</v>
          </cell>
          <cell r="EP59">
            <v>0.997</v>
          </cell>
          <cell r="EQ59">
            <v>0.974</v>
          </cell>
          <cell r="ER59">
            <v>0.942</v>
          </cell>
          <cell r="ES59">
            <v>0.895</v>
          </cell>
          <cell r="ET59">
            <v>0.777</v>
          </cell>
          <cell r="EU59">
            <v>0.496</v>
          </cell>
          <cell r="EV59">
            <v>0.102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0.872</v>
          </cell>
          <cell r="FF59">
            <v>0.927</v>
          </cell>
          <cell r="FG59">
            <v>0.986</v>
          </cell>
          <cell r="FH59">
            <v>0.996</v>
          </cell>
          <cell r="FI59">
            <v>0.996</v>
          </cell>
          <cell r="FJ59">
            <v>0.996</v>
          </cell>
          <cell r="FK59">
            <v>0.996</v>
          </cell>
          <cell r="FL59">
            <v>0.996</v>
          </cell>
          <cell r="FM59">
            <v>0.996</v>
          </cell>
          <cell r="FN59">
            <v>0.996</v>
          </cell>
          <cell r="FO59">
            <v>0.996</v>
          </cell>
          <cell r="FP59">
            <v>0.996</v>
          </cell>
          <cell r="FQ59">
            <v>0.996</v>
          </cell>
          <cell r="FR59">
            <v>0.996</v>
          </cell>
          <cell r="FS59">
            <v>0.996</v>
          </cell>
          <cell r="FT59">
            <v>0.996</v>
          </cell>
          <cell r="FU59">
            <v>0.996</v>
          </cell>
          <cell r="FV59">
            <v>0.996</v>
          </cell>
          <cell r="FW59">
            <v>0.996</v>
          </cell>
          <cell r="FX59">
            <v>0.996</v>
          </cell>
          <cell r="FY59">
            <v>0.996</v>
          </cell>
          <cell r="FZ59">
            <v>0.97</v>
          </cell>
          <cell r="GA59">
            <v>0.956</v>
          </cell>
          <cell r="GB59">
            <v>0.894</v>
          </cell>
          <cell r="GC59">
            <v>0.807</v>
          </cell>
          <cell r="GD59">
            <v>0.61</v>
          </cell>
          <cell r="GE59">
            <v>0.252</v>
          </cell>
          <cell r="GF59">
            <v>0.015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</row>
        <row r="60">
          <cell r="B60" t="str">
            <v>H-ZF4</v>
          </cell>
          <cell r="C60">
            <v>728283</v>
          </cell>
          <cell r="D60">
            <v>28.32</v>
          </cell>
          <cell r="E60">
            <v>28.1</v>
          </cell>
          <cell r="F60">
            <v>0.025716</v>
          </cell>
          <cell r="G60">
            <v>0.026133</v>
          </cell>
          <cell r="H60">
            <v>1.67946</v>
          </cell>
          <cell r="I60">
            <v>1.68559</v>
          </cell>
          <cell r="J60">
            <v>1.69277</v>
          </cell>
          <cell r="K60">
            <v>1.70031</v>
          </cell>
          <cell r="L60">
            <v>1.7032</v>
          </cell>
          <cell r="M60">
            <v>1.70875</v>
          </cell>
          <cell r="N60">
            <v>1.71285</v>
          </cell>
          <cell r="O60">
            <v>1.71677</v>
          </cell>
          <cell r="P60">
            <v>1.72082</v>
          </cell>
          <cell r="Q60">
            <v>1.72198</v>
          </cell>
          <cell r="R60">
            <v>1.72307</v>
          </cell>
          <cell r="S60">
            <v>1.72803</v>
          </cell>
          <cell r="T60">
            <v>1.72825</v>
          </cell>
          <cell r="U60">
            <v>1.73432</v>
          </cell>
          <cell r="V60">
            <v>1.74654</v>
          </cell>
          <cell r="W60">
            <v>1.74811</v>
          </cell>
          <cell r="X60">
            <v>1.76215</v>
          </cell>
          <cell r="Y60">
            <v>1.77615</v>
          </cell>
          <cell r="Z60">
            <v>0</v>
          </cell>
          <cell r="AA60">
            <v>2.8783386</v>
          </cell>
          <cell r="AB60">
            <v>-0.0118585043</v>
          </cell>
          <cell r="AC60">
            <v>0.0341292688</v>
          </cell>
          <cell r="AD60">
            <v>0.00167815401</v>
          </cell>
          <cell r="AE60">
            <v>-5.56455694e-5</v>
          </cell>
          <cell r="AF60">
            <v>1.43620134e-5</v>
          </cell>
          <cell r="AG60">
            <v>0.288880248833595</v>
          </cell>
          <cell r="AH60">
            <v>0.236003110419908</v>
          </cell>
          <cell r="AI60">
            <v>0.606920684292385</v>
          </cell>
          <cell r="AJ60">
            <v>0.239954075774971</v>
          </cell>
          <cell r="AK60">
            <v>0.232300038270188</v>
          </cell>
          <cell r="AL60">
            <v>0.537313432835823</v>
          </cell>
          <cell r="AM60">
            <v>0.000549280746497429</v>
          </cell>
          <cell r="AN60">
            <v>0.0103602042923852</v>
          </cell>
          <cell r="AO60">
            <v>0.00773126444790023</v>
          </cell>
          <cell r="AP60">
            <v>0.000916603421454915</v>
          </cell>
          <cell r="AQ60">
            <v>0.3</v>
          </cell>
          <cell r="AR60">
            <v>0.3</v>
          </cell>
          <cell r="AS60">
            <v>0.4</v>
          </cell>
          <cell r="AT60">
            <v>0.4</v>
          </cell>
          <cell r="AU60">
            <v>0.4</v>
          </cell>
          <cell r="AV60">
            <v>0.5</v>
          </cell>
          <cell r="AW60">
            <v>1.2</v>
          </cell>
          <cell r="AX60">
            <v>1.3</v>
          </cell>
          <cell r="AY60">
            <v>1.4</v>
          </cell>
          <cell r="AZ60">
            <v>1.4</v>
          </cell>
          <cell r="BA60">
            <v>1.5</v>
          </cell>
          <cell r="BB60">
            <v>1.7</v>
          </cell>
          <cell r="BC60">
            <v>1.3</v>
          </cell>
          <cell r="BD60">
            <v>1.4</v>
          </cell>
          <cell r="BE60">
            <v>1.5</v>
          </cell>
          <cell r="BF60">
            <v>1.5</v>
          </cell>
          <cell r="BG60">
            <v>1.6</v>
          </cell>
          <cell r="BH60">
            <v>1.8</v>
          </cell>
          <cell r="BI60">
            <v>1.7</v>
          </cell>
          <cell r="BJ60">
            <v>1.7</v>
          </cell>
          <cell r="BK60">
            <v>1.9</v>
          </cell>
          <cell r="BL60">
            <v>1.9</v>
          </cell>
          <cell r="BM60">
            <v>2.1</v>
          </cell>
          <cell r="BN60">
            <v>2.2</v>
          </cell>
          <cell r="BO60">
            <v>2.1</v>
          </cell>
          <cell r="BP60">
            <v>2.3</v>
          </cell>
          <cell r="BQ60">
            <v>2.4</v>
          </cell>
          <cell r="BR60">
            <v>2.5</v>
          </cell>
          <cell r="BS60">
            <v>2.6</v>
          </cell>
          <cell r="BT60">
            <v>2.9</v>
          </cell>
          <cell r="BU60">
            <v>3.2</v>
          </cell>
          <cell r="BV60">
            <v>3.4</v>
          </cell>
          <cell r="BW60">
            <v>3.7</v>
          </cell>
          <cell r="BX60">
            <v>3.8</v>
          </cell>
          <cell r="BY60">
            <v>4</v>
          </cell>
          <cell r="BZ60">
            <v>4.3</v>
          </cell>
          <cell r="CA60">
            <v>4.3</v>
          </cell>
          <cell r="CB60">
            <v>4.6</v>
          </cell>
          <cell r="CC60">
            <v>4.9</v>
          </cell>
          <cell r="CD60">
            <v>5.1</v>
          </cell>
          <cell r="CE60">
            <v>5.4</v>
          </cell>
          <cell r="CF60">
            <v>5.7</v>
          </cell>
          <cell r="CG60">
            <v>-1</v>
          </cell>
          <cell r="CH60">
            <v>-0.6</v>
          </cell>
          <cell r="CI60">
            <v>-0.3</v>
          </cell>
          <cell r="CJ60">
            <v>0</v>
          </cell>
          <cell r="CK60">
            <v>0.3</v>
          </cell>
          <cell r="CL60">
            <v>0.6</v>
          </cell>
          <cell r="CM60">
            <v>-3.35114502583879e-6</v>
          </cell>
          <cell r="CN60">
            <v>1.07324872590162e-8</v>
          </cell>
          <cell r="CO60">
            <v>-1.79043786354677e-11</v>
          </cell>
          <cell r="CP60">
            <v>1.05872723374297e-6</v>
          </cell>
          <cell r="CQ60">
            <v>1.3016099154548e-9</v>
          </cell>
          <cell r="CR60">
            <v>0.266299835643514</v>
          </cell>
          <cell r="CS60">
            <v>1</v>
          </cell>
          <cell r="CT60">
            <v>1</v>
          </cell>
          <cell r="CU60">
            <v>1</v>
          </cell>
          <cell r="CV60">
            <v>1</v>
          </cell>
          <cell r="CW60">
            <v>1</v>
          </cell>
          <cell r="CX60">
            <v>1</v>
          </cell>
          <cell r="CY60">
            <v>0</v>
          </cell>
          <cell r="CZ60">
            <v>0</v>
          </cell>
          <cell r="DA60">
            <v>597</v>
          </cell>
          <cell r="DB60">
            <v>638</v>
          </cell>
          <cell r="DC60">
            <v>546</v>
          </cell>
          <cell r="DD60">
            <v>575</v>
          </cell>
          <cell r="DE60">
            <v>87</v>
          </cell>
          <cell r="DF60">
            <v>0</v>
          </cell>
          <cell r="DG60">
            <v>107</v>
          </cell>
          <cell r="DH60">
            <v>0</v>
          </cell>
          <cell r="DI60">
            <v>245</v>
          </cell>
          <cell r="DJ60">
            <v>0</v>
          </cell>
          <cell r="DK60">
            <v>548</v>
          </cell>
          <cell r="DL60">
            <v>158</v>
          </cell>
          <cell r="DM60">
            <v>8782</v>
          </cell>
          <cell r="DN60">
            <v>3504</v>
          </cell>
          <cell r="DO60">
            <v>0.253</v>
          </cell>
          <cell r="DP60">
            <v>0</v>
          </cell>
          <cell r="DQ60" t="str">
            <v>410/365</v>
          </cell>
          <cell r="DR60">
            <v>0</v>
          </cell>
          <cell r="DS60">
            <v>0</v>
          </cell>
          <cell r="DT60">
            <v>3.05</v>
          </cell>
          <cell r="DU60">
            <v>0.942</v>
          </cell>
          <cell r="DV60">
            <v>0.963</v>
          </cell>
          <cell r="DW60">
            <v>0.994</v>
          </cell>
          <cell r="DX60">
            <v>0.998</v>
          </cell>
          <cell r="DY60">
            <v>0.998</v>
          </cell>
          <cell r="DZ60">
            <v>0.998</v>
          </cell>
          <cell r="EA60">
            <v>0.998</v>
          </cell>
          <cell r="EB60">
            <v>0.998</v>
          </cell>
          <cell r="EC60">
            <v>0.998</v>
          </cell>
          <cell r="ED60">
            <v>0.998</v>
          </cell>
          <cell r="EE60">
            <v>0.998</v>
          </cell>
          <cell r="EF60">
            <v>0.998</v>
          </cell>
          <cell r="EG60">
            <v>0.998</v>
          </cell>
          <cell r="EH60">
            <v>0.998</v>
          </cell>
          <cell r="EI60">
            <v>0.998</v>
          </cell>
          <cell r="EJ60">
            <v>0.998</v>
          </cell>
          <cell r="EK60">
            <v>0.996</v>
          </cell>
          <cell r="EL60">
            <v>0.994</v>
          </cell>
          <cell r="EM60">
            <v>0.992</v>
          </cell>
          <cell r="EN60">
            <v>0.99</v>
          </cell>
          <cell r="EO60">
            <v>0.987</v>
          </cell>
          <cell r="EP60">
            <v>0.981</v>
          </cell>
          <cell r="EQ60">
            <v>0.969</v>
          </cell>
          <cell r="ER60">
            <v>0.93</v>
          </cell>
          <cell r="ES60">
            <v>0.876</v>
          </cell>
          <cell r="ET60">
            <v>0.748</v>
          </cell>
          <cell r="EU60">
            <v>0.46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0.887</v>
          </cell>
          <cell r="FF60">
            <v>0.927</v>
          </cell>
          <cell r="FG60">
            <v>0.989</v>
          </cell>
          <cell r="FH60">
            <v>0.996</v>
          </cell>
          <cell r="FI60">
            <v>0.996</v>
          </cell>
          <cell r="FJ60">
            <v>0.996</v>
          </cell>
          <cell r="FK60">
            <v>0.996</v>
          </cell>
          <cell r="FL60">
            <v>0.996</v>
          </cell>
          <cell r="FM60">
            <v>0.996</v>
          </cell>
          <cell r="FN60">
            <v>0.996</v>
          </cell>
          <cell r="FO60">
            <v>0.996</v>
          </cell>
          <cell r="FP60">
            <v>0.996</v>
          </cell>
          <cell r="FQ60">
            <v>0.996</v>
          </cell>
          <cell r="FR60">
            <v>0.996</v>
          </cell>
          <cell r="FS60">
            <v>0.996</v>
          </cell>
          <cell r="FT60">
            <v>0.996</v>
          </cell>
          <cell r="FU60">
            <v>0.992</v>
          </cell>
          <cell r="FV60">
            <v>0.989</v>
          </cell>
          <cell r="FW60">
            <v>0.985</v>
          </cell>
          <cell r="FX60">
            <v>0.98</v>
          </cell>
          <cell r="FY60">
            <v>0.976</v>
          </cell>
          <cell r="FZ60">
            <v>0.966</v>
          </cell>
          <cell r="GA60">
            <v>0.942</v>
          </cell>
          <cell r="GB60">
            <v>0.867</v>
          </cell>
          <cell r="GC60">
            <v>0.769</v>
          </cell>
          <cell r="GD60">
            <v>0.563</v>
          </cell>
          <cell r="GE60">
            <v>0.213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</row>
        <row r="61">
          <cell r="B61" t="str">
            <v>H-ZF5</v>
          </cell>
          <cell r="C61">
            <v>740283</v>
          </cell>
          <cell r="D61">
            <v>28.3</v>
          </cell>
          <cell r="E61">
            <v>28.07</v>
          </cell>
          <cell r="F61">
            <v>0.026152</v>
          </cell>
          <cell r="G61">
            <v>0.026584</v>
          </cell>
          <cell r="H61">
            <v>1.69091</v>
          </cell>
          <cell r="I61">
            <v>1.69701</v>
          </cell>
          <cell r="J61">
            <v>1.70416</v>
          </cell>
          <cell r="K61">
            <v>1.71169</v>
          </cell>
          <cell r="L61">
            <v>1.71459</v>
          </cell>
          <cell r="M61">
            <v>1.7202</v>
          </cell>
          <cell r="N61">
            <v>1.72435</v>
          </cell>
          <cell r="O61">
            <v>1.72833</v>
          </cell>
          <cell r="P61">
            <v>1.73245</v>
          </cell>
          <cell r="Q61">
            <v>1.73363</v>
          </cell>
          <cell r="R61">
            <v>1.73474</v>
          </cell>
          <cell r="S61">
            <v>1.73977</v>
          </cell>
          <cell r="T61">
            <v>1.74</v>
          </cell>
          <cell r="U61">
            <v>1.74617</v>
          </cell>
          <cell r="V61">
            <v>1.75861</v>
          </cell>
          <cell r="W61">
            <v>1.76021</v>
          </cell>
          <cell r="X61">
            <v>1.7745</v>
          </cell>
          <cell r="Y61">
            <v>1.78876</v>
          </cell>
          <cell r="Z61">
            <v>0</v>
          </cell>
          <cell r="AA61">
            <v>2.91687382</v>
          </cell>
          <cell r="AB61">
            <v>-0.011852779</v>
          </cell>
          <cell r="AC61">
            <v>0.0342689145</v>
          </cell>
          <cell r="AD61">
            <v>0.00202963652</v>
          </cell>
          <cell r="AE61">
            <v>-0.000114580838</v>
          </cell>
          <cell r="AF61">
            <v>1.85928308e-5</v>
          </cell>
          <cell r="AG61">
            <v>0.28860856269113</v>
          </cell>
          <cell r="AH61">
            <v>0.235856269113151</v>
          </cell>
          <cell r="AI61">
            <v>0.607415902140672</v>
          </cell>
          <cell r="AJ61">
            <v>0.239653875094055</v>
          </cell>
          <cell r="AK61">
            <v>0.232129420617005</v>
          </cell>
          <cell r="AL61">
            <v>0.537622272385248</v>
          </cell>
          <cell r="AM61">
            <v>0.00095676819571959</v>
          </cell>
          <cell r="AN61">
            <v>0.0108222021406721</v>
          </cell>
          <cell r="AO61">
            <v>0.00547991253822677</v>
          </cell>
          <cell r="AP61">
            <v>-4.78287461730537e-5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1</v>
          </cell>
          <cell r="CT61">
            <v>1</v>
          </cell>
          <cell r="CU61">
            <v>1</v>
          </cell>
          <cell r="CV61">
            <v>1</v>
          </cell>
          <cell r="CW61">
            <v>1</v>
          </cell>
          <cell r="CX61">
            <v>1</v>
          </cell>
          <cell r="CY61">
            <v>0</v>
          </cell>
          <cell r="CZ61">
            <v>0</v>
          </cell>
          <cell r="DA61">
            <v>593</v>
          </cell>
          <cell r="DB61">
            <v>639</v>
          </cell>
          <cell r="DC61">
            <v>543</v>
          </cell>
          <cell r="DD61">
            <v>574</v>
          </cell>
          <cell r="DE61">
            <v>86</v>
          </cell>
          <cell r="DF61">
            <v>0</v>
          </cell>
          <cell r="DG61">
            <v>107</v>
          </cell>
          <cell r="DH61">
            <v>0</v>
          </cell>
          <cell r="DI61">
            <v>0</v>
          </cell>
          <cell r="DJ61">
            <v>0</v>
          </cell>
          <cell r="DK61">
            <v>580</v>
          </cell>
          <cell r="DL61">
            <v>162</v>
          </cell>
          <cell r="DM61">
            <v>9089</v>
          </cell>
          <cell r="DN61">
            <v>3562</v>
          </cell>
          <cell r="DO61">
            <v>0.276</v>
          </cell>
          <cell r="DP61">
            <v>0</v>
          </cell>
          <cell r="DQ61" t="str">
            <v>410/365</v>
          </cell>
          <cell r="DR61">
            <v>388</v>
          </cell>
          <cell r="DS61">
            <v>362</v>
          </cell>
          <cell r="DT61">
            <v>3.09</v>
          </cell>
          <cell r="DU61">
            <v>0.937</v>
          </cell>
          <cell r="DV61">
            <v>0.962</v>
          </cell>
          <cell r="DW61">
            <v>0.991</v>
          </cell>
          <cell r="DX61">
            <v>0.997</v>
          </cell>
          <cell r="DY61">
            <v>0.997</v>
          </cell>
          <cell r="DZ61">
            <v>0.997</v>
          </cell>
          <cell r="EA61">
            <v>0.997</v>
          </cell>
          <cell r="EB61">
            <v>0.997</v>
          </cell>
          <cell r="EC61">
            <v>0.997</v>
          </cell>
          <cell r="ED61">
            <v>0.997</v>
          </cell>
          <cell r="EE61">
            <v>0.997</v>
          </cell>
          <cell r="EF61">
            <v>0.997</v>
          </cell>
          <cell r="EG61">
            <v>0.997</v>
          </cell>
          <cell r="EH61">
            <v>0.997</v>
          </cell>
          <cell r="EI61">
            <v>0.997</v>
          </cell>
          <cell r="EJ61">
            <v>0.997</v>
          </cell>
          <cell r="EK61">
            <v>0.997</v>
          </cell>
          <cell r="EL61">
            <v>0.995</v>
          </cell>
          <cell r="EM61">
            <v>0.992</v>
          </cell>
          <cell r="EN61">
            <v>0.99</v>
          </cell>
          <cell r="EO61">
            <v>0.988</v>
          </cell>
          <cell r="EP61">
            <v>0.985</v>
          </cell>
          <cell r="EQ61">
            <v>0.978</v>
          </cell>
          <cell r="ER61">
            <v>0.952</v>
          </cell>
          <cell r="ES61">
            <v>0.912</v>
          </cell>
          <cell r="ET61">
            <v>0.807</v>
          </cell>
          <cell r="EU61">
            <v>0.535</v>
          </cell>
          <cell r="EV61">
            <v>0.113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0.878</v>
          </cell>
          <cell r="FF61">
            <v>0.925</v>
          </cell>
          <cell r="FG61">
            <v>0.982</v>
          </cell>
          <cell r="FH61">
            <v>0.994</v>
          </cell>
          <cell r="FI61">
            <v>0.994</v>
          </cell>
          <cell r="FJ61">
            <v>0.994</v>
          </cell>
          <cell r="FK61">
            <v>0.994</v>
          </cell>
          <cell r="FL61">
            <v>0.994</v>
          </cell>
          <cell r="FM61">
            <v>0.994</v>
          </cell>
          <cell r="FN61">
            <v>0.994</v>
          </cell>
          <cell r="FO61">
            <v>0.994</v>
          </cell>
          <cell r="FP61">
            <v>0.994</v>
          </cell>
          <cell r="FQ61">
            <v>0.994</v>
          </cell>
          <cell r="FR61">
            <v>0.994</v>
          </cell>
          <cell r="FS61">
            <v>0.994</v>
          </cell>
          <cell r="FT61">
            <v>0.994</v>
          </cell>
          <cell r="FU61">
            <v>0.994</v>
          </cell>
          <cell r="FV61">
            <v>0.991</v>
          </cell>
          <cell r="FW61">
            <v>0.988</v>
          </cell>
          <cell r="FX61">
            <v>0.985</v>
          </cell>
          <cell r="FY61">
            <v>0.981</v>
          </cell>
          <cell r="FZ61">
            <v>0.973</v>
          </cell>
          <cell r="GA61">
            <v>0.957</v>
          </cell>
          <cell r="GB61">
            <v>0.907</v>
          </cell>
          <cell r="GC61">
            <v>0.834</v>
          </cell>
          <cell r="GD61">
            <v>0.657</v>
          </cell>
          <cell r="GE61">
            <v>0.292</v>
          </cell>
          <cell r="GF61">
            <v>0.016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</row>
        <row r="62">
          <cell r="B62" t="str">
            <v>H-ZF6</v>
          </cell>
          <cell r="C62">
            <v>755275</v>
          </cell>
          <cell r="D62">
            <v>27.53</v>
          </cell>
          <cell r="E62">
            <v>27.31</v>
          </cell>
          <cell r="F62">
            <v>0.027432</v>
          </cell>
          <cell r="G62">
            <v>0.027888</v>
          </cell>
          <cell r="H62">
            <v>1.70459</v>
          </cell>
          <cell r="I62">
            <v>1.71072</v>
          </cell>
          <cell r="J62">
            <v>1.71794</v>
          </cell>
          <cell r="K62">
            <v>1.72566</v>
          </cell>
          <cell r="L62">
            <v>1.72867</v>
          </cell>
          <cell r="M62">
            <v>1.7345</v>
          </cell>
          <cell r="N62">
            <v>1.73882</v>
          </cell>
          <cell r="O62">
            <v>1.74299</v>
          </cell>
          <cell r="P62">
            <v>1.74729</v>
          </cell>
          <cell r="Q62">
            <v>1.74852</v>
          </cell>
          <cell r="R62">
            <v>1.74968</v>
          </cell>
          <cell r="S62">
            <v>1.75496</v>
          </cell>
          <cell r="T62">
            <v>1.7552</v>
          </cell>
          <cell r="U62">
            <v>1.76167</v>
          </cell>
          <cell r="V62">
            <v>1.77472</v>
          </cell>
          <cell r="W62">
            <v>1.77641</v>
          </cell>
          <cell r="X62">
            <v>1.79141</v>
          </cell>
          <cell r="Y62">
            <v>1.80646</v>
          </cell>
          <cell r="Z62">
            <v>0</v>
          </cell>
          <cell r="AA62">
            <v>2.96351629</v>
          </cell>
          <cell r="AB62">
            <v>-0.0119513676</v>
          </cell>
          <cell r="AC62">
            <v>0.0359998931</v>
          </cell>
          <cell r="AD62">
            <v>0.00229903731</v>
          </cell>
          <cell r="AE62">
            <v>-0.000158881885</v>
          </cell>
          <cell r="AF62">
            <v>2.32603789e-5</v>
          </cell>
          <cell r="AG62">
            <v>0.288370397375139</v>
          </cell>
          <cell r="AH62">
            <v>0.235873131607727</v>
          </cell>
          <cell r="AI62">
            <v>0.608457892818076</v>
          </cell>
          <cell r="AJ62">
            <v>0.2395123700251</v>
          </cell>
          <cell r="AK62">
            <v>0.231982789530297</v>
          </cell>
          <cell r="AL62">
            <v>0.537827178200069</v>
          </cell>
          <cell r="AM62">
            <v>0.000753031017133561</v>
          </cell>
          <cell r="AN62">
            <v>0.0105852228180763</v>
          </cell>
          <cell r="AO62">
            <v>0.00530843152023458</v>
          </cell>
          <cell r="AP62">
            <v>-0.000194201968645641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0.2</v>
          </cell>
          <cell r="AV62">
            <v>0.3</v>
          </cell>
          <cell r="AW62">
            <v>1</v>
          </cell>
          <cell r="AX62">
            <v>1.1</v>
          </cell>
          <cell r="AY62">
            <v>1.1</v>
          </cell>
          <cell r="AZ62">
            <v>1.2</v>
          </cell>
          <cell r="BA62">
            <v>1.3</v>
          </cell>
          <cell r="BB62">
            <v>1.5</v>
          </cell>
          <cell r="BC62">
            <v>1.1</v>
          </cell>
          <cell r="BD62">
            <v>1.1</v>
          </cell>
          <cell r="BE62">
            <v>1.2</v>
          </cell>
          <cell r="BF62">
            <v>1.2</v>
          </cell>
          <cell r="BG62">
            <v>1.4</v>
          </cell>
          <cell r="BH62">
            <v>1.6</v>
          </cell>
          <cell r="BI62">
            <v>1.4</v>
          </cell>
          <cell r="BJ62">
            <v>1.5</v>
          </cell>
          <cell r="BK62">
            <v>1.6</v>
          </cell>
          <cell r="BL62">
            <v>1.6</v>
          </cell>
          <cell r="BM62">
            <v>1.8</v>
          </cell>
          <cell r="BN62">
            <v>2</v>
          </cell>
          <cell r="BO62">
            <v>1.8</v>
          </cell>
          <cell r="BP62">
            <v>2</v>
          </cell>
          <cell r="BQ62">
            <v>2.1</v>
          </cell>
          <cell r="BR62">
            <v>2.1</v>
          </cell>
          <cell r="BS62">
            <v>2.3</v>
          </cell>
          <cell r="BT62">
            <v>2.6</v>
          </cell>
          <cell r="BU62">
            <v>2.9</v>
          </cell>
          <cell r="BV62">
            <v>3.2</v>
          </cell>
          <cell r="BW62">
            <v>3.3</v>
          </cell>
          <cell r="BX62">
            <v>3.5</v>
          </cell>
          <cell r="BY62">
            <v>3.7</v>
          </cell>
          <cell r="BZ62">
            <v>4</v>
          </cell>
          <cell r="CA62">
            <v>4.2</v>
          </cell>
          <cell r="CB62">
            <v>4.6</v>
          </cell>
          <cell r="CC62">
            <v>4.8</v>
          </cell>
          <cell r="CD62">
            <v>5</v>
          </cell>
          <cell r="CE62">
            <v>5.3</v>
          </cell>
          <cell r="CF62">
            <v>5.7</v>
          </cell>
          <cell r="CG62">
            <v>-1.3</v>
          </cell>
          <cell r="CH62">
            <v>-0.9</v>
          </cell>
          <cell r="CI62">
            <v>-0.6</v>
          </cell>
          <cell r="CJ62">
            <v>-0.3</v>
          </cell>
          <cell r="CK62">
            <v>0</v>
          </cell>
          <cell r="CL62">
            <v>0.4</v>
          </cell>
          <cell r="CM62">
            <v>-4.08e-6</v>
          </cell>
          <cell r="CN62">
            <v>1.059e-8</v>
          </cell>
          <cell r="CO62">
            <v>1.13e-12</v>
          </cell>
          <cell r="CP62">
            <v>1.069e-6</v>
          </cell>
          <cell r="CQ62">
            <v>1.3215e-9</v>
          </cell>
          <cell r="CR62">
            <v>0.271</v>
          </cell>
          <cell r="CS62">
            <v>1</v>
          </cell>
          <cell r="CT62">
            <v>1</v>
          </cell>
          <cell r="CU62">
            <v>1</v>
          </cell>
          <cell r="CV62">
            <v>1</v>
          </cell>
          <cell r="CW62">
            <v>1</v>
          </cell>
          <cell r="CX62">
            <v>1</v>
          </cell>
          <cell r="CY62">
            <v>0</v>
          </cell>
          <cell r="CZ62">
            <v>0</v>
          </cell>
          <cell r="DA62">
            <v>590</v>
          </cell>
          <cell r="DB62">
            <v>634</v>
          </cell>
          <cell r="DC62">
            <v>536</v>
          </cell>
          <cell r="DD62">
            <v>575</v>
          </cell>
          <cell r="DE62">
            <v>88</v>
          </cell>
          <cell r="DF62">
            <v>0</v>
          </cell>
          <cell r="DG62">
            <v>109</v>
          </cell>
          <cell r="DH62">
            <v>0</v>
          </cell>
          <cell r="DI62">
            <v>240</v>
          </cell>
          <cell r="DJ62">
            <v>0</v>
          </cell>
          <cell r="DK62">
            <v>525</v>
          </cell>
          <cell r="DL62">
            <v>170</v>
          </cell>
          <cell r="DM62">
            <v>9080</v>
          </cell>
          <cell r="DN62">
            <v>3632</v>
          </cell>
          <cell r="DO62">
            <v>0.25</v>
          </cell>
          <cell r="DP62">
            <v>0</v>
          </cell>
          <cell r="DQ62" t="str">
            <v>410/365</v>
          </cell>
          <cell r="DR62">
            <v>387</v>
          </cell>
          <cell r="DS62">
            <v>363</v>
          </cell>
          <cell r="DT62">
            <v>3.15</v>
          </cell>
          <cell r="DU62">
            <v>0.937</v>
          </cell>
          <cell r="DV62">
            <v>0.969</v>
          </cell>
          <cell r="DW62">
            <v>0.992</v>
          </cell>
          <cell r="DX62">
            <v>0.997</v>
          </cell>
          <cell r="DY62">
            <v>0.997</v>
          </cell>
          <cell r="DZ62">
            <v>0.997</v>
          </cell>
          <cell r="EA62">
            <v>0.997</v>
          </cell>
          <cell r="EB62">
            <v>0.997</v>
          </cell>
          <cell r="EC62">
            <v>0.997</v>
          </cell>
          <cell r="ED62">
            <v>0.997</v>
          </cell>
          <cell r="EE62">
            <v>0.997</v>
          </cell>
          <cell r="EF62">
            <v>0.997</v>
          </cell>
          <cell r="EG62">
            <v>0.997</v>
          </cell>
          <cell r="EH62">
            <v>0.997</v>
          </cell>
          <cell r="EI62">
            <v>0.997</v>
          </cell>
          <cell r="EJ62">
            <v>0.997</v>
          </cell>
          <cell r="EK62">
            <v>0.997</v>
          </cell>
          <cell r="EL62">
            <v>0.996</v>
          </cell>
          <cell r="EM62">
            <v>0.994</v>
          </cell>
          <cell r="EN62">
            <v>0.99</v>
          </cell>
          <cell r="EO62">
            <v>0.986</v>
          </cell>
          <cell r="EP62">
            <v>0.982</v>
          </cell>
          <cell r="EQ62">
            <v>0.974</v>
          </cell>
          <cell r="ER62">
            <v>0.948</v>
          </cell>
          <cell r="ES62">
            <v>0.907</v>
          </cell>
          <cell r="ET62">
            <v>0.799</v>
          </cell>
          <cell r="EU62">
            <v>0.507</v>
          </cell>
          <cell r="EV62">
            <v>0.094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0.88</v>
          </cell>
          <cell r="FF62">
            <v>0.939</v>
          </cell>
          <cell r="FG62">
            <v>0.984</v>
          </cell>
          <cell r="FH62">
            <v>0.994</v>
          </cell>
          <cell r="FI62">
            <v>0.994</v>
          </cell>
          <cell r="FJ62">
            <v>0.994</v>
          </cell>
          <cell r="FK62">
            <v>0.994</v>
          </cell>
          <cell r="FL62">
            <v>0.994</v>
          </cell>
          <cell r="FM62">
            <v>0.994</v>
          </cell>
          <cell r="FN62">
            <v>0.994</v>
          </cell>
          <cell r="FO62">
            <v>0.994</v>
          </cell>
          <cell r="FP62">
            <v>0.994</v>
          </cell>
          <cell r="FQ62">
            <v>0.994</v>
          </cell>
          <cell r="FR62">
            <v>0.994</v>
          </cell>
          <cell r="FS62">
            <v>0.994</v>
          </cell>
          <cell r="FT62">
            <v>0.994</v>
          </cell>
          <cell r="FU62">
            <v>0.994</v>
          </cell>
          <cell r="FV62">
            <v>0.992</v>
          </cell>
          <cell r="FW62">
            <v>0.988</v>
          </cell>
          <cell r="FX62">
            <v>0.986</v>
          </cell>
          <cell r="FY62">
            <v>0.98</v>
          </cell>
          <cell r="FZ62">
            <v>0.975</v>
          </cell>
          <cell r="GA62">
            <v>0.958</v>
          </cell>
          <cell r="GB62">
            <v>0.909</v>
          </cell>
          <cell r="GC62">
            <v>0.835</v>
          </cell>
          <cell r="GD62">
            <v>0.646</v>
          </cell>
          <cell r="GE62">
            <v>0.263</v>
          </cell>
          <cell r="GF62">
            <v>0.014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</row>
        <row r="63">
          <cell r="B63" t="str">
            <v>H-ZF7L</v>
          </cell>
          <cell r="C63">
            <v>805255</v>
          </cell>
          <cell r="D63">
            <v>25.46</v>
          </cell>
          <cell r="E63">
            <v>25.25</v>
          </cell>
          <cell r="F63">
            <v>0.03163</v>
          </cell>
          <cell r="G63">
            <v>0.03218</v>
          </cell>
          <cell r="H63">
            <v>1.74928</v>
          </cell>
          <cell r="I63">
            <v>1.7556</v>
          </cell>
          <cell r="J63">
            <v>1.76321</v>
          </cell>
          <cell r="K63">
            <v>1.77158</v>
          </cell>
          <cell r="L63">
            <v>1.77494</v>
          </cell>
          <cell r="M63">
            <v>1.7815</v>
          </cell>
          <cell r="N63">
            <v>1.78642</v>
          </cell>
          <cell r="O63">
            <v>1.79118</v>
          </cell>
          <cell r="P63">
            <v>1.79611</v>
          </cell>
          <cell r="Q63">
            <v>1.79752</v>
          </cell>
          <cell r="R63">
            <v>1.79883</v>
          </cell>
          <cell r="S63">
            <v>1.80491</v>
          </cell>
          <cell r="T63">
            <v>1.80518</v>
          </cell>
          <cell r="U63">
            <v>1.81263</v>
          </cell>
          <cell r="V63">
            <v>1.82774</v>
          </cell>
          <cell r="W63">
            <v>1.8297</v>
          </cell>
          <cell r="X63">
            <v>1.84721</v>
          </cell>
          <cell r="Y63">
            <v>1.8648</v>
          </cell>
          <cell r="Z63">
            <v>0</v>
          </cell>
          <cell r="AA63">
            <v>3.11898504</v>
          </cell>
          <cell r="AB63">
            <v>-0.0124052596</v>
          </cell>
          <cell r="AC63">
            <v>0.0432862244</v>
          </cell>
          <cell r="AD63">
            <v>0.00226049835</v>
          </cell>
          <cell r="AE63">
            <v>-7.69462999e-5</v>
          </cell>
          <cell r="AF63">
            <v>2.11453139e-5</v>
          </cell>
          <cell r="AG63">
            <v>0.286753082516597</v>
          </cell>
          <cell r="AH63">
            <v>0.235535883654758</v>
          </cell>
          <cell r="AI63">
            <v>0.615554852987676</v>
          </cell>
          <cell r="AJ63">
            <v>0.238036047234306</v>
          </cell>
          <cell r="AK63">
            <v>0.231510254816654</v>
          </cell>
          <cell r="AL63">
            <v>0.54412678682411</v>
          </cell>
          <cell r="AM63">
            <v>0.00156495382864497</v>
          </cell>
          <cell r="AN63">
            <v>0.0142439129876765</v>
          </cell>
          <cell r="AO63">
            <v>0.0058221362377569</v>
          </cell>
          <cell r="AP63">
            <v>0.000399256402152819</v>
          </cell>
          <cell r="AQ63">
            <v>-0.8</v>
          </cell>
          <cell r="AR63">
            <v>-0.8</v>
          </cell>
          <cell r="AS63">
            <v>-0.8</v>
          </cell>
          <cell r="AT63">
            <v>-0.8</v>
          </cell>
          <cell r="AU63">
            <v>-0.7</v>
          </cell>
          <cell r="AV63">
            <v>-0.6</v>
          </cell>
          <cell r="AW63">
            <v>0.3</v>
          </cell>
          <cell r="AX63">
            <v>0.3</v>
          </cell>
          <cell r="AY63">
            <v>0.4</v>
          </cell>
          <cell r="AZ63">
            <v>0.5</v>
          </cell>
          <cell r="BA63">
            <v>0.6</v>
          </cell>
          <cell r="BB63">
            <v>0.8</v>
          </cell>
          <cell r="BC63">
            <v>0.4</v>
          </cell>
          <cell r="BD63">
            <v>0.4</v>
          </cell>
          <cell r="BE63">
            <v>0.5</v>
          </cell>
          <cell r="BF63">
            <v>0.6</v>
          </cell>
          <cell r="BG63">
            <v>0.7</v>
          </cell>
          <cell r="BH63">
            <v>0.9</v>
          </cell>
          <cell r="BI63">
            <v>0.7</v>
          </cell>
          <cell r="BJ63">
            <v>0.8</v>
          </cell>
          <cell r="BK63">
            <v>0.9</v>
          </cell>
          <cell r="BL63">
            <v>1</v>
          </cell>
          <cell r="BM63">
            <v>1.2</v>
          </cell>
          <cell r="BN63">
            <v>1.4</v>
          </cell>
          <cell r="BO63">
            <v>1.2</v>
          </cell>
          <cell r="BP63">
            <v>1.4</v>
          </cell>
          <cell r="BQ63">
            <v>1.5</v>
          </cell>
          <cell r="BR63">
            <v>1.6</v>
          </cell>
          <cell r="BS63">
            <v>1.8</v>
          </cell>
          <cell r="BT63">
            <v>2</v>
          </cell>
          <cell r="BU63">
            <v>2.5</v>
          </cell>
          <cell r="BV63">
            <v>2.7</v>
          </cell>
          <cell r="BW63">
            <v>3</v>
          </cell>
          <cell r="BX63">
            <v>3.1</v>
          </cell>
          <cell r="BY63">
            <v>3.4</v>
          </cell>
          <cell r="BZ63">
            <v>3.7</v>
          </cell>
          <cell r="CA63">
            <v>4</v>
          </cell>
          <cell r="CB63">
            <v>4.4</v>
          </cell>
          <cell r="CC63">
            <v>4.7</v>
          </cell>
          <cell r="CD63">
            <v>5</v>
          </cell>
          <cell r="CE63">
            <v>5.3</v>
          </cell>
          <cell r="CF63">
            <v>5.7</v>
          </cell>
          <cell r="CG63">
            <v>-2.1</v>
          </cell>
          <cell r="CH63">
            <v>-1.7</v>
          </cell>
          <cell r="CI63">
            <v>-1.3</v>
          </cell>
          <cell r="CJ63">
            <v>-1</v>
          </cell>
          <cell r="CK63">
            <v>-0.7</v>
          </cell>
          <cell r="CL63">
            <v>-0.4</v>
          </cell>
          <cell r="CM63">
            <v>-5.21e-6</v>
          </cell>
          <cell r="CN63">
            <v>1.027e-8</v>
          </cell>
          <cell r="CO63">
            <v>-7.62e-12</v>
          </cell>
          <cell r="CP63">
            <v>1.051e-6</v>
          </cell>
          <cell r="CQ63">
            <v>1.285e-9</v>
          </cell>
          <cell r="CR63">
            <v>0.288</v>
          </cell>
          <cell r="CS63">
            <v>1</v>
          </cell>
          <cell r="CT63">
            <v>1</v>
          </cell>
          <cell r="CU63">
            <v>1</v>
          </cell>
          <cell r="CV63">
            <v>1</v>
          </cell>
          <cell r="CW63">
            <v>1</v>
          </cell>
          <cell r="CX63">
            <v>1</v>
          </cell>
          <cell r="CY63">
            <v>0</v>
          </cell>
          <cell r="CZ63">
            <v>0</v>
          </cell>
          <cell r="DA63">
            <v>591</v>
          </cell>
          <cell r="DB63">
            <v>634</v>
          </cell>
          <cell r="DC63">
            <v>565</v>
          </cell>
          <cell r="DD63">
            <v>581</v>
          </cell>
          <cell r="DE63">
            <v>88</v>
          </cell>
          <cell r="DF63">
            <v>0</v>
          </cell>
          <cell r="DG63">
            <v>109</v>
          </cell>
          <cell r="DH63">
            <v>0</v>
          </cell>
          <cell r="DI63">
            <v>245</v>
          </cell>
          <cell r="DJ63">
            <v>0</v>
          </cell>
          <cell r="DK63">
            <v>523</v>
          </cell>
          <cell r="DL63">
            <v>186</v>
          </cell>
          <cell r="DM63">
            <v>9170</v>
          </cell>
          <cell r="DN63">
            <v>3613</v>
          </cell>
          <cell r="DO63">
            <v>0.269</v>
          </cell>
          <cell r="DP63">
            <v>2.64</v>
          </cell>
          <cell r="DQ63" t="str">
            <v>430/365</v>
          </cell>
          <cell r="DR63">
            <v>391</v>
          </cell>
          <cell r="DS63">
            <v>364</v>
          </cell>
          <cell r="DT63">
            <v>3.38</v>
          </cell>
          <cell r="DU63">
            <v>0.965</v>
          </cell>
          <cell r="DV63">
            <v>0.985</v>
          </cell>
          <cell r="DW63">
            <v>0.995</v>
          </cell>
          <cell r="DX63">
            <v>0.998</v>
          </cell>
          <cell r="DY63">
            <v>0.998</v>
          </cell>
          <cell r="DZ63">
            <v>0.998</v>
          </cell>
          <cell r="EA63">
            <v>0.998</v>
          </cell>
          <cell r="EB63">
            <v>0.998</v>
          </cell>
          <cell r="EC63">
            <v>0.998</v>
          </cell>
          <cell r="ED63">
            <v>0.998</v>
          </cell>
          <cell r="EE63">
            <v>0.998</v>
          </cell>
          <cell r="EF63">
            <v>0.998</v>
          </cell>
          <cell r="EG63">
            <v>0.998</v>
          </cell>
          <cell r="EH63">
            <v>0.998</v>
          </cell>
          <cell r="EI63">
            <v>0.998</v>
          </cell>
          <cell r="EJ63">
            <v>0.998</v>
          </cell>
          <cell r="EK63">
            <v>0.998</v>
          </cell>
          <cell r="EL63">
            <v>0.998</v>
          </cell>
          <cell r="EM63">
            <v>0.998</v>
          </cell>
          <cell r="EN63">
            <v>0.995</v>
          </cell>
          <cell r="EO63">
            <v>0.991</v>
          </cell>
          <cell r="EP63">
            <v>0.986</v>
          </cell>
          <cell r="EQ63">
            <v>0.977</v>
          </cell>
          <cell r="ER63">
            <v>0.944</v>
          </cell>
          <cell r="ES63">
            <v>0.894</v>
          </cell>
          <cell r="ET63">
            <v>0.771</v>
          </cell>
          <cell r="EU63">
            <v>0.464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0.926</v>
          </cell>
          <cell r="FF63">
            <v>0.966</v>
          </cell>
          <cell r="FG63">
            <v>0.991</v>
          </cell>
          <cell r="FH63">
            <v>0.996</v>
          </cell>
          <cell r="FI63">
            <v>0.996</v>
          </cell>
          <cell r="FJ63">
            <v>0.996</v>
          </cell>
          <cell r="FK63">
            <v>0.996</v>
          </cell>
          <cell r="FL63">
            <v>0.996</v>
          </cell>
          <cell r="FM63">
            <v>0.996</v>
          </cell>
          <cell r="FN63">
            <v>0.996</v>
          </cell>
          <cell r="FO63">
            <v>0.996</v>
          </cell>
          <cell r="FP63">
            <v>0.996</v>
          </cell>
          <cell r="FQ63">
            <v>0.996</v>
          </cell>
          <cell r="FR63">
            <v>0.996</v>
          </cell>
          <cell r="FS63">
            <v>0.996</v>
          </cell>
          <cell r="FT63">
            <v>0.996</v>
          </cell>
          <cell r="FU63">
            <v>0.996</v>
          </cell>
          <cell r="FV63">
            <v>0.996</v>
          </cell>
          <cell r="FW63">
            <v>0.994</v>
          </cell>
          <cell r="FX63">
            <v>0.988</v>
          </cell>
          <cell r="FY63">
            <v>0.983</v>
          </cell>
          <cell r="FZ63">
            <v>0.973</v>
          </cell>
          <cell r="GA63">
            <v>0.951</v>
          </cell>
          <cell r="GB63">
            <v>0.885</v>
          </cell>
          <cell r="GC63">
            <v>0.793</v>
          </cell>
          <cell r="GD63">
            <v>0.587</v>
          </cell>
          <cell r="GE63">
            <v>0.215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</row>
        <row r="64">
          <cell r="B64" t="str">
            <v>H-ZF10</v>
          </cell>
          <cell r="C64">
            <v>689312</v>
          </cell>
          <cell r="D64">
            <v>31.16</v>
          </cell>
          <cell r="E64">
            <v>30.92</v>
          </cell>
          <cell r="F64">
            <v>0.022109</v>
          </cell>
          <cell r="G64">
            <v>0.02245</v>
          </cell>
          <cell r="H64">
            <v>1.6451</v>
          </cell>
          <cell r="I64">
            <v>1.65089</v>
          </cell>
          <cell r="J64">
            <v>1.65759</v>
          </cell>
          <cell r="K64">
            <v>1.66444</v>
          </cell>
          <cell r="L64">
            <v>1.66704</v>
          </cell>
          <cell r="M64">
            <v>1.67195</v>
          </cell>
          <cell r="N64">
            <v>1.67555</v>
          </cell>
          <cell r="O64">
            <v>1.67898</v>
          </cell>
          <cell r="P64">
            <v>1.68251</v>
          </cell>
          <cell r="Q64">
            <v>1.68351</v>
          </cell>
          <cell r="R64">
            <v>1.68445</v>
          </cell>
          <cell r="S64">
            <v>1.68874</v>
          </cell>
          <cell r="T64">
            <v>1.68893</v>
          </cell>
          <cell r="U64">
            <v>1.69416</v>
          </cell>
          <cell r="V64">
            <v>1.70462</v>
          </cell>
          <cell r="W64">
            <v>1.70596</v>
          </cell>
          <cell r="X64">
            <v>1.71786</v>
          </cell>
          <cell r="Y64">
            <v>1.72964</v>
          </cell>
          <cell r="Z64">
            <v>1.75182</v>
          </cell>
          <cell r="AA64">
            <v>2.76089226</v>
          </cell>
          <cell r="AB64">
            <v>-0.0110845008</v>
          </cell>
          <cell r="AC64">
            <v>0.0289559966</v>
          </cell>
          <cell r="AD64">
            <v>0.00151547191</v>
          </cell>
          <cell r="AE64">
            <v>-8.76539698e-5</v>
          </cell>
          <cell r="AF64">
            <v>1.38043475e-5</v>
          </cell>
          <cell r="AG64">
            <v>0.290366350067846</v>
          </cell>
          <cell r="AH64">
            <v>0.236544549977388</v>
          </cell>
          <cell r="AI64">
            <v>0.598824061510623</v>
          </cell>
          <cell r="AJ64">
            <v>0.241425389755012</v>
          </cell>
          <cell r="AK64">
            <v>0.232962138084637</v>
          </cell>
          <cell r="AL64">
            <v>0.53006681514477</v>
          </cell>
          <cell r="AM64">
            <v>8.94199547660859e-5</v>
          </cell>
          <cell r="AN64">
            <v>0.006980821510623</v>
          </cell>
          <cell r="AO64">
            <v>0.00858204117593039</v>
          </cell>
          <cell r="AP64">
            <v>0.00242794029850149</v>
          </cell>
          <cell r="AQ64">
            <v>0.8</v>
          </cell>
          <cell r="AR64">
            <v>0.8</v>
          </cell>
          <cell r="AS64">
            <v>0.7</v>
          </cell>
          <cell r="AT64">
            <v>0.7</v>
          </cell>
          <cell r="AU64">
            <v>0.7</v>
          </cell>
          <cell r="AV64">
            <v>0.8</v>
          </cell>
          <cell r="AW64">
            <v>1.6</v>
          </cell>
          <cell r="AX64">
            <v>1.6</v>
          </cell>
          <cell r="AY64">
            <v>1.7</v>
          </cell>
          <cell r="AZ64">
            <v>1.7</v>
          </cell>
          <cell r="BA64">
            <v>1.8</v>
          </cell>
          <cell r="BB64">
            <v>1.9</v>
          </cell>
          <cell r="BC64">
            <v>1.7</v>
          </cell>
          <cell r="BD64">
            <v>1.7</v>
          </cell>
          <cell r="BE64">
            <v>1.7</v>
          </cell>
          <cell r="BF64">
            <v>1.7</v>
          </cell>
          <cell r="BG64">
            <v>1.8</v>
          </cell>
          <cell r="BH64">
            <v>2</v>
          </cell>
          <cell r="BI64">
            <v>1.9</v>
          </cell>
          <cell r="BJ64">
            <v>2</v>
          </cell>
          <cell r="BK64">
            <v>2</v>
          </cell>
          <cell r="BL64">
            <v>2.1</v>
          </cell>
          <cell r="BM64">
            <v>2.2</v>
          </cell>
          <cell r="BN64">
            <v>2.3</v>
          </cell>
          <cell r="BO64">
            <v>2.3</v>
          </cell>
          <cell r="BP64">
            <v>2.4</v>
          </cell>
          <cell r="BQ64">
            <v>2.4</v>
          </cell>
          <cell r="BR64">
            <v>2.5</v>
          </cell>
          <cell r="BS64">
            <v>2.6</v>
          </cell>
          <cell r="BT64">
            <v>2.8</v>
          </cell>
          <cell r="BU64">
            <v>3.2</v>
          </cell>
          <cell r="BV64">
            <v>3.3</v>
          </cell>
          <cell r="BW64">
            <v>3.4</v>
          </cell>
          <cell r="BX64">
            <v>3.5</v>
          </cell>
          <cell r="BY64">
            <v>3.7</v>
          </cell>
          <cell r="BZ64">
            <v>3.9</v>
          </cell>
          <cell r="CA64">
            <v>4.2</v>
          </cell>
          <cell r="CB64">
            <v>4.4</v>
          </cell>
          <cell r="CC64">
            <v>4.6</v>
          </cell>
          <cell r="CD64">
            <v>4.8</v>
          </cell>
          <cell r="CE64">
            <v>5</v>
          </cell>
          <cell r="CF64">
            <v>5.3</v>
          </cell>
          <cell r="CG64">
            <v>-0.6</v>
          </cell>
          <cell r="CH64">
            <v>-0.3</v>
          </cell>
          <cell r="CI64">
            <v>0</v>
          </cell>
          <cell r="CJ64">
            <v>0.3</v>
          </cell>
          <cell r="CK64">
            <v>0.5</v>
          </cell>
          <cell r="CL64">
            <v>0.8</v>
          </cell>
          <cell r="CM64">
            <v>-2.5e-6</v>
          </cell>
          <cell r="CN64">
            <v>1.006e-8</v>
          </cell>
          <cell r="CO64">
            <v>-6.27e-12</v>
          </cell>
          <cell r="CP64">
            <v>8.95e-7</v>
          </cell>
          <cell r="CQ64">
            <v>1.1593e-9</v>
          </cell>
          <cell r="CR64">
            <v>0.273</v>
          </cell>
          <cell r="CS64">
            <v>1</v>
          </cell>
          <cell r="CT64">
            <v>1</v>
          </cell>
          <cell r="CU64">
            <v>1</v>
          </cell>
          <cell r="CV64">
            <v>1</v>
          </cell>
          <cell r="CW64">
            <v>0</v>
          </cell>
          <cell r="CX64">
            <v>1</v>
          </cell>
          <cell r="CY64">
            <v>0</v>
          </cell>
          <cell r="CZ64">
            <v>0</v>
          </cell>
          <cell r="DA64">
            <v>585</v>
          </cell>
          <cell r="DB64">
            <v>631</v>
          </cell>
          <cell r="DC64">
            <v>528</v>
          </cell>
          <cell r="DD64">
            <v>566</v>
          </cell>
          <cell r="DE64">
            <v>89</v>
          </cell>
          <cell r="DF64">
            <v>0</v>
          </cell>
          <cell r="DG64">
            <v>109</v>
          </cell>
          <cell r="DH64">
            <v>0</v>
          </cell>
          <cell r="DI64">
            <v>200</v>
          </cell>
          <cell r="DJ64">
            <v>0</v>
          </cell>
          <cell r="DK64">
            <v>545</v>
          </cell>
          <cell r="DL64">
            <v>139</v>
          </cell>
          <cell r="DM64">
            <v>9050</v>
          </cell>
          <cell r="DN64">
            <v>3637</v>
          </cell>
          <cell r="DO64">
            <v>0.244</v>
          </cell>
          <cell r="DP64">
            <v>0</v>
          </cell>
          <cell r="DQ64" t="str">
            <v>400/360</v>
          </cell>
          <cell r="DR64">
            <v>0</v>
          </cell>
          <cell r="DS64">
            <v>0</v>
          </cell>
          <cell r="DT64">
            <v>2.93</v>
          </cell>
          <cell r="DU64">
            <v>0.944</v>
          </cell>
          <cell r="DV64">
            <v>0.966</v>
          </cell>
          <cell r="DW64">
            <v>0.993</v>
          </cell>
          <cell r="DX64">
            <v>0.998</v>
          </cell>
          <cell r="DY64">
            <v>0.998</v>
          </cell>
          <cell r="DZ64">
            <v>0.998</v>
          </cell>
          <cell r="EA64">
            <v>0.998</v>
          </cell>
          <cell r="EB64">
            <v>0.998</v>
          </cell>
          <cell r="EC64">
            <v>0.998</v>
          </cell>
          <cell r="ED64">
            <v>0.998</v>
          </cell>
          <cell r="EE64">
            <v>0.998</v>
          </cell>
          <cell r="EF64">
            <v>0.998</v>
          </cell>
          <cell r="EG64">
            <v>0.998</v>
          </cell>
          <cell r="EH64">
            <v>0.998</v>
          </cell>
          <cell r="EI64">
            <v>0.998</v>
          </cell>
          <cell r="EJ64">
            <v>0.998</v>
          </cell>
          <cell r="EK64">
            <v>0.998</v>
          </cell>
          <cell r="EL64">
            <v>0.998</v>
          </cell>
          <cell r="EM64">
            <v>0.996</v>
          </cell>
          <cell r="EN64">
            <v>0.994</v>
          </cell>
          <cell r="EO64">
            <v>0.992</v>
          </cell>
          <cell r="EP64">
            <v>0.99</v>
          </cell>
          <cell r="EQ64">
            <v>0.985</v>
          </cell>
          <cell r="ER64">
            <v>0.971</v>
          </cell>
          <cell r="ES64">
            <v>0.941</v>
          </cell>
          <cell r="ET64">
            <v>0.861</v>
          </cell>
          <cell r="EU64">
            <v>0.652</v>
          </cell>
          <cell r="EV64">
            <v>0.256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0.89</v>
          </cell>
          <cell r="FF64">
            <v>0.933</v>
          </cell>
          <cell r="FG64">
            <v>0.986</v>
          </cell>
          <cell r="FH64">
            <v>0.996</v>
          </cell>
          <cell r="FI64">
            <v>0.996</v>
          </cell>
          <cell r="FJ64">
            <v>0.996</v>
          </cell>
          <cell r="FK64">
            <v>0.996</v>
          </cell>
          <cell r="FL64">
            <v>0.996</v>
          </cell>
          <cell r="FM64">
            <v>0.996</v>
          </cell>
          <cell r="FN64">
            <v>0.996</v>
          </cell>
          <cell r="FO64">
            <v>0.996</v>
          </cell>
          <cell r="FP64">
            <v>0.996</v>
          </cell>
          <cell r="FQ64">
            <v>0.996</v>
          </cell>
          <cell r="FR64">
            <v>0.996</v>
          </cell>
          <cell r="FS64">
            <v>0.996</v>
          </cell>
          <cell r="FT64">
            <v>0.996</v>
          </cell>
          <cell r="FU64">
            <v>0.996</v>
          </cell>
          <cell r="FV64">
            <v>0.996</v>
          </cell>
          <cell r="FW64">
            <v>0.992</v>
          </cell>
          <cell r="FX64">
            <v>0.988</v>
          </cell>
          <cell r="FY64">
            <v>0.984</v>
          </cell>
          <cell r="FZ64">
            <v>0.98</v>
          </cell>
          <cell r="GA64">
            <v>0.97</v>
          </cell>
          <cell r="GB64">
            <v>0.931</v>
          </cell>
          <cell r="GC64">
            <v>0.879</v>
          </cell>
          <cell r="GD64">
            <v>0.741</v>
          </cell>
          <cell r="GE64">
            <v>0.427</v>
          </cell>
          <cell r="GF64">
            <v>0.075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</row>
        <row r="65">
          <cell r="B65" t="str">
            <v>H-ZF11</v>
          </cell>
          <cell r="C65">
            <v>699301</v>
          </cell>
          <cell r="D65">
            <v>30.05</v>
          </cell>
          <cell r="E65">
            <v>29.81</v>
          </cell>
          <cell r="F65">
            <v>0.023259</v>
          </cell>
          <cell r="G65">
            <v>0.023628</v>
          </cell>
          <cell r="H65">
            <v>1.65368</v>
          </cell>
          <cell r="I65">
            <v>1.65957</v>
          </cell>
          <cell r="J65">
            <v>1.6664</v>
          </cell>
          <cell r="K65">
            <v>1.67343</v>
          </cell>
          <cell r="L65">
            <v>1.6761</v>
          </cell>
          <cell r="M65">
            <v>1.68119</v>
          </cell>
          <cell r="N65">
            <v>1.68494</v>
          </cell>
          <cell r="O65">
            <v>1.68852</v>
          </cell>
          <cell r="P65">
            <v>1.69221</v>
          </cell>
          <cell r="Q65">
            <v>1.69326</v>
          </cell>
          <cell r="R65">
            <v>1.69425</v>
          </cell>
          <cell r="S65">
            <v>1.69875</v>
          </cell>
          <cell r="T65">
            <v>1.69894</v>
          </cell>
          <cell r="U65">
            <v>1.70444</v>
          </cell>
          <cell r="V65">
            <v>1.71547</v>
          </cell>
          <cell r="W65">
            <v>1.71689</v>
          </cell>
          <cell r="X65">
            <v>1.72948</v>
          </cell>
          <cell r="Y65">
            <v>1.74204</v>
          </cell>
          <cell r="Z65">
            <v>1.7658997</v>
          </cell>
          <cell r="AA65">
            <v>2.7902692</v>
          </cell>
          <cell r="AB65">
            <v>-0.0113154551</v>
          </cell>
          <cell r="AC65">
            <v>0.0298537059</v>
          </cell>
          <cell r="AD65">
            <v>0.00185548133</v>
          </cell>
          <cell r="AE65">
            <v>-0.000133930426</v>
          </cell>
          <cell r="AF65">
            <v>1.81714166e-5</v>
          </cell>
          <cell r="AG65">
            <v>0.289337919174544</v>
          </cell>
          <cell r="AH65">
            <v>0.236457437661223</v>
          </cell>
          <cell r="AI65">
            <v>0.602321582115212</v>
          </cell>
          <cell r="AJ65">
            <v>0.240372407955984</v>
          </cell>
          <cell r="AK65">
            <v>0.232754972492596</v>
          </cell>
          <cell r="AL65">
            <v>0.532797291578496</v>
          </cell>
          <cell r="AM65">
            <v>0.000592243164233307</v>
          </cell>
          <cell r="AN65">
            <v>0.00863463211521164</v>
          </cell>
          <cell r="AO65">
            <v>0.00688303104041388</v>
          </cell>
          <cell r="AP65">
            <v>0.00125472055030104</v>
          </cell>
          <cell r="AQ65">
            <v>0.4</v>
          </cell>
          <cell r="AR65">
            <v>0.4</v>
          </cell>
          <cell r="AS65">
            <v>0.4</v>
          </cell>
          <cell r="AT65">
            <v>0.4</v>
          </cell>
          <cell r="AU65">
            <v>0.5</v>
          </cell>
          <cell r="AV65">
            <v>0.6</v>
          </cell>
          <cell r="AW65">
            <v>1.2</v>
          </cell>
          <cell r="AX65">
            <v>1.3</v>
          </cell>
          <cell r="AY65">
            <v>1.3</v>
          </cell>
          <cell r="AZ65">
            <v>1.4</v>
          </cell>
          <cell r="BA65">
            <v>1.5</v>
          </cell>
          <cell r="BB65">
            <v>1.6</v>
          </cell>
          <cell r="BC65">
            <v>1.3</v>
          </cell>
          <cell r="BD65">
            <v>1.3</v>
          </cell>
          <cell r="BE65">
            <v>1.4</v>
          </cell>
          <cell r="BF65">
            <v>1.4</v>
          </cell>
          <cell r="BG65">
            <v>1.5</v>
          </cell>
          <cell r="BH65">
            <v>1.7</v>
          </cell>
          <cell r="BI65">
            <v>1.6</v>
          </cell>
          <cell r="BJ65">
            <v>1.6</v>
          </cell>
          <cell r="BK65">
            <v>1.7</v>
          </cell>
          <cell r="BL65">
            <v>1.8</v>
          </cell>
          <cell r="BM65">
            <v>1.9</v>
          </cell>
          <cell r="BN65">
            <v>2.1</v>
          </cell>
          <cell r="BO65">
            <v>2</v>
          </cell>
          <cell r="BP65">
            <v>2</v>
          </cell>
          <cell r="BQ65">
            <v>2.1</v>
          </cell>
          <cell r="BR65">
            <v>2.2</v>
          </cell>
          <cell r="BS65">
            <v>2.4</v>
          </cell>
          <cell r="BT65">
            <v>2.5</v>
          </cell>
          <cell r="BU65">
            <v>2.9</v>
          </cell>
          <cell r="BV65">
            <v>3.1</v>
          </cell>
          <cell r="BW65">
            <v>3.2</v>
          </cell>
          <cell r="BX65">
            <v>3.3</v>
          </cell>
          <cell r="BY65">
            <v>3.5</v>
          </cell>
          <cell r="BZ65">
            <v>3.8</v>
          </cell>
          <cell r="CA65">
            <v>4</v>
          </cell>
          <cell r="CB65">
            <v>4.2</v>
          </cell>
          <cell r="CC65">
            <v>4.4</v>
          </cell>
          <cell r="CD65">
            <v>4.6</v>
          </cell>
          <cell r="CE65">
            <v>4.9</v>
          </cell>
          <cell r="CF65">
            <v>5.2</v>
          </cell>
          <cell r="CG65">
            <v>-1</v>
          </cell>
          <cell r="CH65">
            <v>-0.6</v>
          </cell>
          <cell r="CI65">
            <v>-0.3</v>
          </cell>
          <cell r="CJ65">
            <v>0</v>
          </cell>
          <cell r="CK65">
            <v>0.2</v>
          </cell>
          <cell r="CL65">
            <v>0.5</v>
          </cell>
          <cell r="CM65">
            <v>-3.35239696193837e-6</v>
          </cell>
          <cell r="CN65">
            <v>1.03211794690353e-8</v>
          </cell>
          <cell r="CO65">
            <v>-2.10112616521897e-11</v>
          </cell>
          <cell r="CP65">
            <v>1.0157234879693e-6</v>
          </cell>
          <cell r="CQ65">
            <v>1.39023994971874e-9</v>
          </cell>
          <cell r="CR65">
            <v>0.259859488780803</v>
          </cell>
          <cell r="CS65">
            <v>1</v>
          </cell>
          <cell r="CT65">
            <v>1</v>
          </cell>
          <cell r="CU65">
            <v>1</v>
          </cell>
          <cell r="CV65">
            <v>1</v>
          </cell>
          <cell r="CW65">
            <v>1</v>
          </cell>
          <cell r="CX65">
            <v>1</v>
          </cell>
          <cell r="CY65">
            <v>0</v>
          </cell>
          <cell r="CZ65">
            <v>0</v>
          </cell>
          <cell r="DA65">
            <v>579</v>
          </cell>
          <cell r="DB65">
            <v>624</v>
          </cell>
          <cell r="DC65">
            <v>528</v>
          </cell>
          <cell r="DD65">
            <v>558</v>
          </cell>
          <cell r="DE65">
            <v>86</v>
          </cell>
          <cell r="DF65">
            <v>0</v>
          </cell>
          <cell r="DG65">
            <v>105</v>
          </cell>
          <cell r="DH65">
            <v>0</v>
          </cell>
          <cell r="DI65">
            <v>245</v>
          </cell>
          <cell r="DJ65">
            <v>0</v>
          </cell>
          <cell r="DK65">
            <v>524</v>
          </cell>
          <cell r="DL65">
            <v>139</v>
          </cell>
          <cell r="DM65">
            <v>8531</v>
          </cell>
          <cell r="DN65">
            <v>3426</v>
          </cell>
          <cell r="DO65">
            <v>0.246</v>
          </cell>
          <cell r="DP65">
            <v>0</v>
          </cell>
          <cell r="DQ65" t="str">
            <v>405/365</v>
          </cell>
          <cell r="DR65">
            <v>0</v>
          </cell>
          <cell r="DS65">
            <v>0</v>
          </cell>
          <cell r="DT65">
            <v>2.96</v>
          </cell>
          <cell r="DU65">
            <v>0.93</v>
          </cell>
          <cell r="DV65">
            <v>0.956</v>
          </cell>
          <cell r="DW65">
            <v>0.98</v>
          </cell>
          <cell r="DX65">
            <v>0.993</v>
          </cell>
          <cell r="DY65">
            <v>0.999</v>
          </cell>
          <cell r="DZ65">
            <v>0.999</v>
          </cell>
          <cell r="EA65">
            <v>0.999</v>
          </cell>
          <cell r="EB65">
            <v>0.999</v>
          </cell>
          <cell r="EC65">
            <v>0.999</v>
          </cell>
          <cell r="ED65">
            <v>0.999</v>
          </cell>
          <cell r="EE65">
            <v>0.999</v>
          </cell>
          <cell r="EF65">
            <v>0.999</v>
          </cell>
          <cell r="EG65">
            <v>0.999</v>
          </cell>
          <cell r="EH65">
            <v>0.999</v>
          </cell>
          <cell r="EI65">
            <v>0.999</v>
          </cell>
          <cell r="EJ65">
            <v>0.999</v>
          </cell>
          <cell r="EK65">
            <v>0.999</v>
          </cell>
          <cell r="EL65">
            <v>0.997</v>
          </cell>
          <cell r="EM65">
            <v>0.995</v>
          </cell>
          <cell r="EN65">
            <v>0.993</v>
          </cell>
          <cell r="EO65">
            <v>0.991</v>
          </cell>
          <cell r="EP65">
            <v>0.987</v>
          </cell>
          <cell r="EQ65">
            <v>0.981</v>
          </cell>
          <cell r="ER65">
            <v>0.951</v>
          </cell>
          <cell r="ES65">
            <v>0.902</v>
          </cell>
          <cell r="ET65">
            <v>0.786</v>
          </cell>
          <cell r="EU65">
            <v>0.498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0.857</v>
          </cell>
          <cell r="FF65">
            <v>0.905</v>
          </cell>
          <cell r="FG65">
            <v>0.961</v>
          </cell>
          <cell r="FH65">
            <v>0.985</v>
          </cell>
          <cell r="FI65">
            <v>0.998</v>
          </cell>
          <cell r="FJ65">
            <v>0.998</v>
          </cell>
          <cell r="FK65">
            <v>0.998</v>
          </cell>
          <cell r="FL65">
            <v>0.998</v>
          </cell>
          <cell r="FM65">
            <v>0.998</v>
          </cell>
          <cell r="FN65">
            <v>0.998</v>
          </cell>
          <cell r="FO65">
            <v>0.998</v>
          </cell>
          <cell r="FP65">
            <v>0.998</v>
          </cell>
          <cell r="FQ65">
            <v>0.998</v>
          </cell>
          <cell r="FR65">
            <v>0.998</v>
          </cell>
          <cell r="FS65">
            <v>0.998</v>
          </cell>
          <cell r="FT65">
            <v>0.998</v>
          </cell>
          <cell r="FU65">
            <v>0.998</v>
          </cell>
          <cell r="FV65">
            <v>0.994</v>
          </cell>
          <cell r="FW65">
            <v>0.99</v>
          </cell>
          <cell r="FX65">
            <v>0.986</v>
          </cell>
          <cell r="FY65">
            <v>0.982</v>
          </cell>
          <cell r="FZ65">
            <v>0.975</v>
          </cell>
          <cell r="GA65">
            <v>0.958</v>
          </cell>
          <cell r="GB65">
            <v>0.899</v>
          </cell>
          <cell r="GC65">
            <v>0.809</v>
          </cell>
          <cell r="GD65">
            <v>0.61</v>
          </cell>
          <cell r="GE65">
            <v>0.244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</row>
        <row r="66">
          <cell r="B66" t="str">
            <v>H-ZF12</v>
          </cell>
          <cell r="C66">
            <v>762266</v>
          </cell>
          <cell r="D66">
            <v>26.61</v>
          </cell>
          <cell r="E66">
            <v>26.39</v>
          </cell>
          <cell r="F66">
            <v>0.028631</v>
          </cell>
          <cell r="G66">
            <v>0.029118</v>
          </cell>
          <cell r="H66">
            <v>1.70927</v>
          </cell>
          <cell r="I66">
            <v>1.71556</v>
          </cell>
          <cell r="J66">
            <v>1.72304</v>
          </cell>
          <cell r="K66">
            <v>1.73106</v>
          </cell>
          <cell r="L66">
            <v>1.73422</v>
          </cell>
          <cell r="M66">
            <v>1.74028</v>
          </cell>
          <cell r="N66">
            <v>1.74478</v>
          </cell>
          <cell r="O66">
            <v>1.74912</v>
          </cell>
          <cell r="P66">
            <v>1.75359</v>
          </cell>
          <cell r="Q66">
            <v>1.75487</v>
          </cell>
          <cell r="R66">
            <v>1.75608</v>
          </cell>
          <cell r="S66">
            <v>1.76157</v>
          </cell>
          <cell r="T66">
            <v>1.76182</v>
          </cell>
          <cell r="U66">
            <v>1.76857</v>
          </cell>
          <cell r="V66">
            <v>1.78222</v>
          </cell>
          <cell r="W66">
            <v>1.78399</v>
          </cell>
          <cell r="X66">
            <v>1.79975</v>
          </cell>
          <cell r="Y66">
            <v>1.81558</v>
          </cell>
          <cell r="Z66">
            <v>0</v>
          </cell>
          <cell r="AA66">
            <v>2.98048977</v>
          </cell>
          <cell r="AB66">
            <v>-0.0122396125</v>
          </cell>
          <cell r="AC66">
            <v>0.039109411</v>
          </cell>
          <cell r="AD66">
            <v>0.00160680583</v>
          </cell>
          <cell r="AE66">
            <v>1.39107243e-6</v>
          </cell>
          <cell r="AF66">
            <v>1.34851004e-5</v>
          </cell>
          <cell r="AG66">
            <v>0.287460705553614</v>
          </cell>
          <cell r="AH66">
            <v>0.235766678309467</v>
          </cell>
          <cell r="AI66">
            <v>0.612294795668882</v>
          </cell>
          <cell r="AJ66">
            <v>0.238667582417583</v>
          </cell>
          <cell r="AK66">
            <v>0.231799450549451</v>
          </cell>
          <cell r="AL66">
            <v>0.54120879120879</v>
          </cell>
          <cell r="AM66">
            <v>0.00126133613691832</v>
          </cell>
          <cell r="AN66">
            <v>0.0128940056688818</v>
          </cell>
          <cell r="AO66">
            <v>0.00751098575619741</v>
          </cell>
          <cell r="AP66">
            <v>0.000632961229478354</v>
          </cell>
          <cell r="AQ66">
            <v>0.3</v>
          </cell>
          <cell r="AR66">
            <v>0.3</v>
          </cell>
          <cell r="AS66">
            <v>0.3</v>
          </cell>
          <cell r="AT66">
            <v>0.3</v>
          </cell>
          <cell r="AU66">
            <v>0.4</v>
          </cell>
          <cell r="AV66">
            <v>0.5</v>
          </cell>
          <cell r="AW66">
            <v>1.3</v>
          </cell>
          <cell r="AX66">
            <v>1.4</v>
          </cell>
          <cell r="AY66">
            <v>1.4</v>
          </cell>
          <cell r="AZ66">
            <v>1.5</v>
          </cell>
          <cell r="BA66">
            <v>1.6</v>
          </cell>
          <cell r="BB66">
            <v>1.8</v>
          </cell>
          <cell r="BC66">
            <v>1.4</v>
          </cell>
          <cell r="BD66">
            <v>1.4</v>
          </cell>
          <cell r="BE66">
            <v>1.5</v>
          </cell>
          <cell r="BF66">
            <v>1.6</v>
          </cell>
          <cell r="BG66">
            <v>1.7</v>
          </cell>
          <cell r="BH66">
            <v>1.9</v>
          </cell>
          <cell r="BI66">
            <v>1.7</v>
          </cell>
          <cell r="BJ66">
            <v>1.8</v>
          </cell>
          <cell r="BK66">
            <v>1.9</v>
          </cell>
          <cell r="BL66">
            <v>2</v>
          </cell>
          <cell r="BM66">
            <v>2.2</v>
          </cell>
          <cell r="BN66">
            <v>2.3</v>
          </cell>
          <cell r="BO66">
            <v>2.2</v>
          </cell>
          <cell r="BP66">
            <v>2.3</v>
          </cell>
          <cell r="BQ66">
            <v>2.4</v>
          </cell>
          <cell r="BR66">
            <v>2.5</v>
          </cell>
          <cell r="BS66">
            <v>2.7</v>
          </cell>
          <cell r="BT66">
            <v>2.9</v>
          </cell>
          <cell r="BU66">
            <v>3.3</v>
          </cell>
          <cell r="BV66">
            <v>3.5</v>
          </cell>
          <cell r="BW66">
            <v>3.7</v>
          </cell>
          <cell r="BX66">
            <v>3.9</v>
          </cell>
          <cell r="BY66">
            <v>4.2</v>
          </cell>
          <cell r="BZ66">
            <v>4.4</v>
          </cell>
          <cell r="CA66">
            <v>4.7</v>
          </cell>
          <cell r="CB66">
            <v>5</v>
          </cell>
          <cell r="CC66">
            <v>5.3</v>
          </cell>
          <cell r="CD66">
            <v>5.6</v>
          </cell>
          <cell r="CE66">
            <v>5.9</v>
          </cell>
          <cell r="CF66">
            <v>6.3</v>
          </cell>
          <cell r="CG66">
            <v>-1</v>
          </cell>
          <cell r="CH66">
            <v>-0.6</v>
          </cell>
          <cell r="CI66">
            <v>-0.2</v>
          </cell>
          <cell r="CJ66">
            <v>0.1</v>
          </cell>
          <cell r="CK66">
            <v>0.4</v>
          </cell>
          <cell r="CL66">
            <v>0.7</v>
          </cell>
          <cell r="CM66">
            <v>-3.18e-6</v>
          </cell>
          <cell r="CN66">
            <v>9.41e-9</v>
          </cell>
          <cell r="CO66">
            <v>-1.949e-11</v>
          </cell>
          <cell r="CP66">
            <v>9.8e-7</v>
          </cell>
          <cell r="CQ66">
            <v>1.4098e-9</v>
          </cell>
          <cell r="CR66">
            <v>0.287</v>
          </cell>
          <cell r="CS66">
            <v>1</v>
          </cell>
          <cell r="CT66">
            <v>1</v>
          </cell>
          <cell r="CU66">
            <v>1</v>
          </cell>
          <cell r="CV66">
            <v>1</v>
          </cell>
          <cell r="CW66">
            <v>1</v>
          </cell>
          <cell r="CX66">
            <v>1</v>
          </cell>
          <cell r="CY66">
            <v>0</v>
          </cell>
          <cell r="CZ66">
            <v>0</v>
          </cell>
          <cell r="DA66">
            <v>602</v>
          </cell>
          <cell r="DB66">
            <v>643</v>
          </cell>
          <cell r="DC66">
            <v>544</v>
          </cell>
          <cell r="DD66">
            <v>590</v>
          </cell>
          <cell r="DE66">
            <v>85</v>
          </cell>
          <cell r="DF66">
            <v>0</v>
          </cell>
          <cell r="DG66">
            <v>106</v>
          </cell>
          <cell r="DH66">
            <v>0</v>
          </cell>
          <cell r="DI66">
            <v>240</v>
          </cell>
          <cell r="DJ66">
            <v>0</v>
          </cell>
          <cell r="DK66">
            <v>545</v>
          </cell>
          <cell r="DL66">
            <v>158</v>
          </cell>
          <cell r="DM66">
            <v>8837</v>
          </cell>
          <cell r="DN66">
            <v>3549</v>
          </cell>
          <cell r="DO66">
            <v>0.245</v>
          </cell>
          <cell r="DP66">
            <v>0</v>
          </cell>
          <cell r="DQ66" t="str">
            <v>410/365</v>
          </cell>
          <cell r="DR66">
            <v>389</v>
          </cell>
          <cell r="DS66">
            <v>365</v>
          </cell>
          <cell r="DT66">
            <v>3.16</v>
          </cell>
          <cell r="DU66">
            <v>0.935</v>
          </cell>
          <cell r="DV66">
            <v>0.956</v>
          </cell>
          <cell r="DW66">
            <v>0.979</v>
          </cell>
          <cell r="DX66">
            <v>0.986</v>
          </cell>
          <cell r="DY66">
            <v>0.995</v>
          </cell>
          <cell r="DZ66">
            <v>0.998</v>
          </cell>
          <cell r="EA66">
            <v>0.998</v>
          </cell>
          <cell r="EB66">
            <v>0.998</v>
          </cell>
          <cell r="EC66">
            <v>0.998</v>
          </cell>
          <cell r="ED66">
            <v>0.998</v>
          </cell>
          <cell r="EE66">
            <v>0.998</v>
          </cell>
          <cell r="EF66">
            <v>0.998</v>
          </cell>
          <cell r="EG66">
            <v>0.998</v>
          </cell>
          <cell r="EH66">
            <v>0.998</v>
          </cell>
          <cell r="EI66">
            <v>0.998</v>
          </cell>
          <cell r="EJ66">
            <v>0.998</v>
          </cell>
          <cell r="EK66">
            <v>0.998</v>
          </cell>
          <cell r="EL66">
            <v>0.998</v>
          </cell>
          <cell r="EM66">
            <v>0.995</v>
          </cell>
          <cell r="EN66">
            <v>0.991</v>
          </cell>
          <cell r="EO66">
            <v>0.987</v>
          </cell>
          <cell r="EP66">
            <v>0.983</v>
          </cell>
          <cell r="EQ66">
            <v>0.969</v>
          </cell>
          <cell r="ER66">
            <v>0.943</v>
          </cell>
          <cell r="ES66">
            <v>0.899</v>
          </cell>
          <cell r="ET66">
            <v>0.767</v>
          </cell>
          <cell r="EU66">
            <v>0.435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0.874</v>
          </cell>
          <cell r="FF66">
            <v>0.914</v>
          </cell>
          <cell r="FG66">
            <v>0.958</v>
          </cell>
          <cell r="FH66">
            <v>0.972</v>
          </cell>
          <cell r="FI66">
            <v>0.99</v>
          </cell>
          <cell r="FJ66">
            <v>0.996</v>
          </cell>
          <cell r="FK66">
            <v>0.996</v>
          </cell>
          <cell r="FL66">
            <v>0.996</v>
          </cell>
          <cell r="FM66">
            <v>0.996</v>
          </cell>
          <cell r="FN66">
            <v>0.996</v>
          </cell>
          <cell r="FO66">
            <v>0.996</v>
          </cell>
          <cell r="FP66">
            <v>0.996</v>
          </cell>
          <cell r="FQ66">
            <v>0.996</v>
          </cell>
          <cell r="FR66">
            <v>0.996</v>
          </cell>
          <cell r="FS66">
            <v>0.996</v>
          </cell>
          <cell r="FT66">
            <v>0.996</v>
          </cell>
          <cell r="FU66">
            <v>0.996</v>
          </cell>
          <cell r="FV66">
            <v>0.996</v>
          </cell>
          <cell r="FW66">
            <v>0.99</v>
          </cell>
          <cell r="FX66">
            <v>0.982</v>
          </cell>
          <cell r="FY66">
            <v>0.974</v>
          </cell>
          <cell r="FZ66">
            <v>0.966</v>
          </cell>
          <cell r="GA66">
            <v>0.939</v>
          </cell>
          <cell r="GB66">
            <v>0.889</v>
          </cell>
          <cell r="GC66">
            <v>0.808</v>
          </cell>
          <cell r="GD66">
            <v>0.588</v>
          </cell>
          <cell r="GE66">
            <v>0.189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</row>
        <row r="67">
          <cell r="B67" t="str">
            <v>H-ZF13</v>
          </cell>
          <cell r="C67">
            <v>785257</v>
          </cell>
          <cell r="D67">
            <v>25.72</v>
          </cell>
          <cell r="E67">
            <v>25.51</v>
          </cell>
          <cell r="F67">
            <v>0.03051</v>
          </cell>
          <cell r="G67">
            <v>0.031042</v>
          </cell>
          <cell r="H67">
            <v>1.73037</v>
          </cell>
          <cell r="I67">
            <v>1.73662</v>
          </cell>
          <cell r="J67">
            <v>1.74411</v>
          </cell>
          <cell r="K67">
            <v>1.75231</v>
          </cell>
          <cell r="L67">
            <v>1.75557</v>
          </cell>
          <cell r="M67">
            <v>1.76192</v>
          </cell>
          <cell r="N67">
            <v>1.76666</v>
          </cell>
          <cell r="O67">
            <v>1.77124</v>
          </cell>
          <cell r="P67">
            <v>1.77597</v>
          </cell>
          <cell r="Q67">
            <v>1.77733</v>
          </cell>
          <cell r="R67">
            <v>1.77861</v>
          </cell>
          <cell r="S67">
            <v>1.78446</v>
          </cell>
          <cell r="T67">
            <v>1.78472</v>
          </cell>
          <cell r="U67">
            <v>1.79191</v>
          </cell>
          <cell r="V67">
            <v>1.80648</v>
          </cell>
          <cell r="W67">
            <v>1.80837</v>
          </cell>
          <cell r="X67">
            <v>1.82522</v>
          </cell>
          <cell r="Y67">
            <v>1.8421</v>
          </cell>
          <cell r="Z67">
            <v>0</v>
          </cell>
          <cell r="AA67">
            <v>3.05227481</v>
          </cell>
          <cell r="AB67">
            <v>-0.0121808741</v>
          </cell>
          <cell r="AC67">
            <v>0.0416791281</v>
          </cell>
          <cell r="AD67">
            <v>0.0017993293</v>
          </cell>
          <cell r="AE67">
            <v>1.916596e-5</v>
          </cell>
          <cell r="AF67">
            <v>1.22563456e-5</v>
          </cell>
          <cell r="AG67">
            <v>0.286791215994757</v>
          </cell>
          <cell r="AH67">
            <v>0.235660439200256</v>
          </cell>
          <cell r="AI67">
            <v>0.614224844313338</v>
          </cell>
          <cell r="AJ67">
            <v>0.238079896907217</v>
          </cell>
          <cell r="AK67">
            <v>0.231636597938138</v>
          </cell>
          <cell r="AL67">
            <v>0.542847938144332</v>
          </cell>
          <cell r="AM67">
            <v>0.00154578480498773</v>
          </cell>
          <cell r="AN67">
            <v>0.0133457643133385</v>
          </cell>
          <cell r="AO67">
            <v>0.00389411500491478</v>
          </cell>
          <cell r="AP67">
            <v>-0.00162324745984592</v>
          </cell>
          <cell r="AQ67">
            <v>-0.7</v>
          </cell>
          <cell r="AR67">
            <v>-0.6</v>
          </cell>
          <cell r="AS67">
            <v>-0.6</v>
          </cell>
          <cell r="AT67">
            <v>-0.6</v>
          </cell>
          <cell r="AU67">
            <v>-0.6</v>
          </cell>
          <cell r="AV67">
            <v>-0.5</v>
          </cell>
          <cell r="AW67">
            <v>0.4</v>
          </cell>
          <cell r="AX67">
            <v>0.5</v>
          </cell>
          <cell r="AY67">
            <v>0.6</v>
          </cell>
          <cell r="AZ67">
            <v>0.7</v>
          </cell>
          <cell r="BA67">
            <v>0.8</v>
          </cell>
          <cell r="BB67">
            <v>1</v>
          </cell>
          <cell r="BC67">
            <v>0.5</v>
          </cell>
          <cell r="BD67">
            <v>0.6</v>
          </cell>
          <cell r="BE67">
            <v>0.7</v>
          </cell>
          <cell r="BF67">
            <v>0.8</v>
          </cell>
          <cell r="BG67">
            <v>0.9</v>
          </cell>
          <cell r="BH67">
            <v>1.1</v>
          </cell>
          <cell r="BI67">
            <v>0.8</v>
          </cell>
          <cell r="BJ67">
            <v>1</v>
          </cell>
          <cell r="BK67">
            <v>1.1</v>
          </cell>
          <cell r="BL67">
            <v>1.2</v>
          </cell>
          <cell r="BM67">
            <v>1.3</v>
          </cell>
          <cell r="BN67">
            <v>1.5</v>
          </cell>
          <cell r="BO67">
            <v>1.3</v>
          </cell>
          <cell r="BP67">
            <v>1.5</v>
          </cell>
          <cell r="BQ67">
            <v>1.7</v>
          </cell>
          <cell r="BR67">
            <v>1.8</v>
          </cell>
          <cell r="BS67">
            <v>1.9</v>
          </cell>
          <cell r="BT67">
            <v>2.2</v>
          </cell>
          <cell r="BU67">
            <v>2.6</v>
          </cell>
          <cell r="BV67">
            <v>2.8</v>
          </cell>
          <cell r="BW67">
            <v>3.1</v>
          </cell>
          <cell r="BX67">
            <v>3.2</v>
          </cell>
          <cell r="BY67">
            <v>3.5</v>
          </cell>
          <cell r="BZ67">
            <v>3.8</v>
          </cell>
          <cell r="CA67">
            <v>4</v>
          </cell>
          <cell r="CB67">
            <v>4.4</v>
          </cell>
          <cell r="CC67">
            <v>4.8</v>
          </cell>
          <cell r="CD67">
            <v>5</v>
          </cell>
          <cell r="CE67">
            <v>5.3</v>
          </cell>
          <cell r="CF67">
            <v>5.7</v>
          </cell>
          <cell r="CG67">
            <v>-1.9</v>
          </cell>
          <cell r="CH67">
            <v>-1.5</v>
          </cell>
          <cell r="CI67">
            <v>-1.1</v>
          </cell>
          <cell r="CJ67">
            <v>-0.8</v>
          </cell>
          <cell r="CK67">
            <v>-0.5</v>
          </cell>
          <cell r="CL67">
            <v>-0.2</v>
          </cell>
          <cell r="CM67">
            <v>-4.81e-6</v>
          </cell>
          <cell r="CN67">
            <v>1.02e-8</v>
          </cell>
          <cell r="CO67">
            <v>-1.561e-11</v>
          </cell>
          <cell r="CP67">
            <v>1.018e-6</v>
          </cell>
          <cell r="CQ67">
            <v>1.3941e-9</v>
          </cell>
          <cell r="CR67">
            <v>0.29</v>
          </cell>
          <cell r="CS67">
            <v>1</v>
          </cell>
          <cell r="CT67">
            <v>1</v>
          </cell>
          <cell r="CU67">
            <v>1</v>
          </cell>
          <cell r="CV67">
            <v>1</v>
          </cell>
          <cell r="CW67">
            <v>1</v>
          </cell>
          <cell r="CX67">
            <v>1</v>
          </cell>
          <cell r="CY67">
            <v>0</v>
          </cell>
          <cell r="CZ67">
            <v>0</v>
          </cell>
          <cell r="DA67">
            <v>585</v>
          </cell>
          <cell r="DB67">
            <v>628</v>
          </cell>
          <cell r="DC67">
            <v>535</v>
          </cell>
          <cell r="DD67">
            <v>573</v>
          </cell>
          <cell r="DE67">
            <v>91</v>
          </cell>
          <cell r="DF67">
            <v>0</v>
          </cell>
          <cell r="DG67">
            <v>111</v>
          </cell>
          <cell r="DH67">
            <v>0</v>
          </cell>
          <cell r="DI67">
            <v>245</v>
          </cell>
          <cell r="DJ67">
            <v>0</v>
          </cell>
          <cell r="DK67">
            <v>528</v>
          </cell>
          <cell r="DL67">
            <v>181</v>
          </cell>
          <cell r="DM67">
            <v>9006</v>
          </cell>
          <cell r="DN67">
            <v>3602</v>
          </cell>
          <cell r="DO67">
            <v>0.25</v>
          </cell>
          <cell r="DP67">
            <v>0</v>
          </cell>
          <cell r="DQ67" t="str">
            <v>420/365</v>
          </cell>
          <cell r="DR67">
            <v>0</v>
          </cell>
          <cell r="DS67">
            <v>0</v>
          </cell>
          <cell r="DT67">
            <v>3.22</v>
          </cell>
          <cell r="DU67">
            <v>0.95</v>
          </cell>
          <cell r="DV67">
            <v>0.976</v>
          </cell>
          <cell r="DW67">
            <v>0.987</v>
          </cell>
          <cell r="DX67">
            <v>0.993</v>
          </cell>
          <cell r="DY67">
            <v>0.998</v>
          </cell>
          <cell r="DZ67">
            <v>0.998</v>
          </cell>
          <cell r="EA67">
            <v>0.998</v>
          </cell>
          <cell r="EB67">
            <v>0.998</v>
          </cell>
          <cell r="EC67">
            <v>0.998</v>
          </cell>
          <cell r="ED67">
            <v>0.998</v>
          </cell>
          <cell r="EE67">
            <v>0.998</v>
          </cell>
          <cell r="EF67">
            <v>0.998</v>
          </cell>
          <cell r="EG67">
            <v>0.998</v>
          </cell>
          <cell r="EH67">
            <v>0.998</v>
          </cell>
          <cell r="EI67">
            <v>0.998</v>
          </cell>
          <cell r="EJ67">
            <v>0.998</v>
          </cell>
          <cell r="EK67">
            <v>0.998</v>
          </cell>
          <cell r="EL67">
            <v>0.998</v>
          </cell>
          <cell r="EM67">
            <v>0.998</v>
          </cell>
          <cell r="EN67">
            <v>0.996</v>
          </cell>
          <cell r="EO67">
            <v>0.993</v>
          </cell>
          <cell r="EP67">
            <v>0.986</v>
          </cell>
          <cell r="EQ67">
            <v>0.97</v>
          </cell>
          <cell r="ER67">
            <v>0.938</v>
          </cell>
          <cell r="ES67">
            <v>0.891</v>
          </cell>
          <cell r="ET67">
            <v>0.76</v>
          </cell>
          <cell r="EU67">
            <v>0.428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0.9</v>
          </cell>
          <cell r="FF67">
            <v>0.95</v>
          </cell>
          <cell r="FG67">
            <v>0.972</v>
          </cell>
          <cell r="FH67">
            <v>0.984</v>
          </cell>
          <cell r="FI67">
            <v>0.996</v>
          </cell>
          <cell r="FJ67">
            <v>0.996</v>
          </cell>
          <cell r="FK67">
            <v>0.996</v>
          </cell>
          <cell r="FL67">
            <v>0.996</v>
          </cell>
          <cell r="FM67">
            <v>0.996</v>
          </cell>
          <cell r="FN67">
            <v>0.996</v>
          </cell>
          <cell r="FO67">
            <v>0.996</v>
          </cell>
          <cell r="FP67">
            <v>0.996</v>
          </cell>
          <cell r="FQ67">
            <v>0.996</v>
          </cell>
          <cell r="FR67">
            <v>0.996</v>
          </cell>
          <cell r="FS67">
            <v>0.996</v>
          </cell>
          <cell r="FT67">
            <v>0.996</v>
          </cell>
          <cell r="FU67">
            <v>0.996</v>
          </cell>
          <cell r="FV67">
            <v>0.996</v>
          </cell>
          <cell r="FW67">
            <v>0.996</v>
          </cell>
          <cell r="FX67">
            <v>0.992</v>
          </cell>
          <cell r="FY67">
            <v>0.985</v>
          </cell>
          <cell r="FZ67">
            <v>0.975</v>
          </cell>
          <cell r="GA67">
            <v>0.95</v>
          </cell>
          <cell r="GB67">
            <v>0.889</v>
          </cell>
          <cell r="GC67">
            <v>0.801</v>
          </cell>
          <cell r="GD67">
            <v>0.59</v>
          </cell>
          <cell r="GE67">
            <v>0.195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</row>
        <row r="68">
          <cell r="B68" t="str">
            <v>H-ZF50</v>
          </cell>
          <cell r="C68">
            <v>741278</v>
          </cell>
          <cell r="D68">
            <v>27.76</v>
          </cell>
          <cell r="E68">
            <v>27.54</v>
          </cell>
          <cell r="F68">
            <v>0.026685</v>
          </cell>
          <cell r="G68">
            <v>0.027125</v>
          </cell>
          <cell r="H68">
            <v>1.69064</v>
          </cell>
          <cell r="I68">
            <v>1.69692</v>
          </cell>
          <cell r="J68">
            <v>1.70426</v>
          </cell>
          <cell r="K68">
            <v>1.71195</v>
          </cell>
          <cell r="L68">
            <v>1.71491</v>
          </cell>
          <cell r="M68">
            <v>1.7206</v>
          </cell>
          <cell r="N68">
            <v>1.72483</v>
          </cell>
          <cell r="O68">
            <v>1.72888</v>
          </cell>
          <cell r="P68">
            <v>1.73307</v>
          </cell>
          <cell r="Q68">
            <v>1.73427</v>
          </cell>
          <cell r="R68">
            <v>1.7354</v>
          </cell>
          <cell r="S68">
            <v>1.74054</v>
          </cell>
          <cell r="T68">
            <v>1.74077</v>
          </cell>
          <cell r="U68">
            <v>1.74707</v>
          </cell>
          <cell r="V68">
            <v>1.75976</v>
          </cell>
          <cell r="W68">
            <v>1.76139</v>
          </cell>
          <cell r="X68">
            <v>1.77598</v>
          </cell>
          <cell r="Y68">
            <v>1.79059</v>
          </cell>
          <cell r="Z68">
            <v>0</v>
          </cell>
          <cell r="AA68">
            <v>2.91816811</v>
          </cell>
          <cell r="AB68">
            <v>-0.0122621813</v>
          </cell>
          <cell r="AC68">
            <v>0.0341878382</v>
          </cell>
          <cell r="AD68">
            <v>0.00236117574</v>
          </cell>
          <cell r="AE68">
            <v>-0.000168240994</v>
          </cell>
          <cell r="AF68">
            <v>2.26673138e-5</v>
          </cell>
          <cell r="AG68">
            <v>0.288497564630942</v>
          </cell>
          <cell r="AH68">
            <v>0.236043461970776</v>
          </cell>
          <cell r="AI68">
            <v>0.607718246534282</v>
          </cell>
          <cell r="AJ68">
            <v>0.239675516224187</v>
          </cell>
          <cell r="AK68">
            <v>0.232300884955751</v>
          </cell>
          <cell r="AL68">
            <v>0.537979351032443</v>
          </cell>
          <cell r="AM68">
            <v>0.000582493398282001</v>
          </cell>
          <cell r="AN68">
            <v>0.0102276065342816</v>
          </cell>
          <cell r="AO68">
            <v>0.00577968593481662</v>
          </cell>
          <cell r="AP68">
            <v>0.000192185837402006</v>
          </cell>
          <cell r="AQ68">
            <v>0.9</v>
          </cell>
          <cell r="AR68">
            <v>0.8</v>
          </cell>
          <cell r="AS68">
            <v>0.8</v>
          </cell>
          <cell r="AT68">
            <v>0.8</v>
          </cell>
          <cell r="AU68">
            <v>0.9</v>
          </cell>
          <cell r="AV68">
            <v>1.1</v>
          </cell>
          <cell r="AW68">
            <v>1.8</v>
          </cell>
          <cell r="AX68">
            <v>1.9</v>
          </cell>
          <cell r="AY68">
            <v>1.9</v>
          </cell>
          <cell r="AZ68">
            <v>2</v>
          </cell>
          <cell r="BA68">
            <v>2.1</v>
          </cell>
          <cell r="BB68">
            <v>2.3</v>
          </cell>
          <cell r="BC68">
            <v>1.9</v>
          </cell>
          <cell r="BD68">
            <v>1.9</v>
          </cell>
          <cell r="BE68">
            <v>2</v>
          </cell>
          <cell r="BF68">
            <v>2.1</v>
          </cell>
          <cell r="BG68">
            <v>2.2</v>
          </cell>
          <cell r="BH68">
            <v>2.4</v>
          </cell>
          <cell r="BI68">
            <v>2.2</v>
          </cell>
          <cell r="BJ68">
            <v>2.3</v>
          </cell>
          <cell r="BK68">
            <v>2.4</v>
          </cell>
          <cell r="BL68">
            <v>2.4</v>
          </cell>
          <cell r="BM68">
            <v>2.6</v>
          </cell>
          <cell r="BN68">
            <v>2.8</v>
          </cell>
          <cell r="BO68">
            <v>2.6</v>
          </cell>
          <cell r="BP68">
            <v>2.7</v>
          </cell>
          <cell r="BQ68">
            <v>2.9</v>
          </cell>
          <cell r="BR68">
            <v>3</v>
          </cell>
          <cell r="BS68">
            <v>3.1</v>
          </cell>
          <cell r="BT68">
            <v>3.3</v>
          </cell>
          <cell r="BU68">
            <v>3.7</v>
          </cell>
          <cell r="BV68">
            <v>3.9</v>
          </cell>
          <cell r="BW68">
            <v>4.1</v>
          </cell>
          <cell r="BX68">
            <v>4.2</v>
          </cell>
          <cell r="BY68">
            <v>4.5</v>
          </cell>
          <cell r="BZ68">
            <v>4.7</v>
          </cell>
          <cell r="CA68">
            <v>5</v>
          </cell>
          <cell r="CB68">
            <v>5.3</v>
          </cell>
          <cell r="CC68">
            <v>5.5</v>
          </cell>
          <cell r="CD68">
            <v>5.8</v>
          </cell>
          <cell r="CE68">
            <v>6.1</v>
          </cell>
          <cell r="CF68">
            <v>6.4</v>
          </cell>
          <cell r="CG68">
            <v>-0.5</v>
          </cell>
          <cell r="CH68">
            <v>-0.1</v>
          </cell>
          <cell r="CI68">
            <v>0.3</v>
          </cell>
          <cell r="CJ68">
            <v>0.6</v>
          </cell>
          <cell r="CK68">
            <v>0.9</v>
          </cell>
          <cell r="CL68">
            <v>1.2</v>
          </cell>
          <cell r="CM68">
            <v>-2.18e-6</v>
          </cell>
          <cell r="CN68">
            <v>9.89e-9</v>
          </cell>
          <cell r="CO68">
            <v>-9.35e-12</v>
          </cell>
          <cell r="CP68">
            <v>9.12e-7</v>
          </cell>
          <cell r="CQ68">
            <v>1.3028e-9</v>
          </cell>
          <cell r="CR68">
            <v>0.29</v>
          </cell>
          <cell r="CS68">
            <v>1</v>
          </cell>
          <cell r="CT68">
            <v>1</v>
          </cell>
          <cell r="CU68">
            <v>1</v>
          </cell>
          <cell r="CV68">
            <v>1</v>
          </cell>
          <cell r="CW68">
            <v>1</v>
          </cell>
          <cell r="CX68">
            <v>1</v>
          </cell>
          <cell r="CY68">
            <v>0</v>
          </cell>
          <cell r="CZ68">
            <v>0</v>
          </cell>
          <cell r="DA68">
            <v>601</v>
          </cell>
          <cell r="DB68">
            <v>645</v>
          </cell>
          <cell r="DC68">
            <v>540</v>
          </cell>
          <cell r="DD68">
            <v>591</v>
          </cell>
          <cell r="DE68">
            <v>81</v>
          </cell>
          <cell r="DF68">
            <v>0</v>
          </cell>
          <cell r="DG68">
            <v>101</v>
          </cell>
          <cell r="DH68">
            <v>0</v>
          </cell>
          <cell r="DI68">
            <v>235</v>
          </cell>
          <cell r="DJ68">
            <v>0</v>
          </cell>
          <cell r="DK68">
            <v>555</v>
          </cell>
          <cell r="DL68">
            <v>143</v>
          </cell>
          <cell r="DM68">
            <v>9209</v>
          </cell>
          <cell r="DN68">
            <v>3672</v>
          </cell>
          <cell r="DO68">
            <v>0.254</v>
          </cell>
          <cell r="DP68">
            <v>0</v>
          </cell>
          <cell r="DQ68" t="str">
            <v>410/365</v>
          </cell>
          <cell r="DR68">
            <v>0</v>
          </cell>
          <cell r="DS68">
            <v>0</v>
          </cell>
          <cell r="DT68">
            <v>3.05</v>
          </cell>
          <cell r="DU68">
            <v>0.956</v>
          </cell>
          <cell r="DV68">
            <v>0.969</v>
          </cell>
          <cell r="DW68">
            <v>0.99</v>
          </cell>
          <cell r="DX68">
            <v>0.993</v>
          </cell>
          <cell r="DY68">
            <v>0.998</v>
          </cell>
          <cell r="DZ68">
            <v>0.998</v>
          </cell>
          <cell r="EA68">
            <v>0.998</v>
          </cell>
          <cell r="EB68">
            <v>0.998</v>
          </cell>
          <cell r="EC68">
            <v>0.998</v>
          </cell>
          <cell r="ED68">
            <v>0.998</v>
          </cell>
          <cell r="EE68">
            <v>0.998</v>
          </cell>
          <cell r="EF68">
            <v>0.998</v>
          </cell>
          <cell r="EG68">
            <v>0.998</v>
          </cell>
          <cell r="EH68">
            <v>0.998</v>
          </cell>
          <cell r="EI68">
            <v>0.998</v>
          </cell>
          <cell r="EJ68">
            <v>0.998</v>
          </cell>
          <cell r="EK68">
            <v>0.998</v>
          </cell>
          <cell r="EL68">
            <v>0.998</v>
          </cell>
          <cell r="EM68">
            <v>0.996</v>
          </cell>
          <cell r="EN68">
            <v>0.993</v>
          </cell>
          <cell r="EO68">
            <v>0.99</v>
          </cell>
          <cell r="EP68">
            <v>0.987</v>
          </cell>
          <cell r="EQ68">
            <v>0.982</v>
          </cell>
          <cell r="ER68">
            <v>0.955</v>
          </cell>
          <cell r="ES68">
            <v>0.914</v>
          </cell>
          <cell r="ET68">
            <v>0.79</v>
          </cell>
          <cell r="EU68">
            <v>0.467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0.91</v>
          </cell>
          <cell r="FF68">
            <v>0.944</v>
          </cell>
          <cell r="FG68">
            <v>0.98</v>
          </cell>
          <cell r="FH68">
            <v>0.986</v>
          </cell>
          <cell r="FI68">
            <v>0.996</v>
          </cell>
          <cell r="FJ68">
            <v>0.996</v>
          </cell>
          <cell r="FK68">
            <v>0.996</v>
          </cell>
          <cell r="FL68">
            <v>0.996</v>
          </cell>
          <cell r="FM68">
            <v>0.996</v>
          </cell>
          <cell r="FN68">
            <v>0.996</v>
          </cell>
          <cell r="FO68">
            <v>0.996</v>
          </cell>
          <cell r="FP68">
            <v>0.996</v>
          </cell>
          <cell r="FQ68">
            <v>0.996</v>
          </cell>
          <cell r="FR68">
            <v>0.996</v>
          </cell>
          <cell r="FS68">
            <v>0.996</v>
          </cell>
          <cell r="FT68">
            <v>0.996</v>
          </cell>
          <cell r="FU68">
            <v>0.996</v>
          </cell>
          <cell r="FV68">
            <v>0.996</v>
          </cell>
          <cell r="FW68">
            <v>0.994</v>
          </cell>
          <cell r="FX68">
            <v>0.991</v>
          </cell>
          <cell r="FY68">
            <v>0.988</v>
          </cell>
          <cell r="FZ68">
            <v>0.981</v>
          </cell>
          <cell r="GA68">
            <v>0.965</v>
          </cell>
          <cell r="GB68">
            <v>0.914</v>
          </cell>
          <cell r="GC68">
            <v>0.834</v>
          </cell>
          <cell r="GD68">
            <v>0.623</v>
          </cell>
          <cell r="GE68">
            <v>0.219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B69" t="str">
            <v>H-ZF52N</v>
          </cell>
          <cell r="C69">
            <v>847238</v>
          </cell>
          <cell r="D69">
            <v>23.78</v>
          </cell>
          <cell r="E69">
            <v>23.59</v>
          </cell>
          <cell r="F69">
            <v>0.035608</v>
          </cell>
          <cell r="G69">
            <v>0.036247</v>
          </cell>
          <cell r="H69">
            <v>1.78524</v>
          </cell>
          <cell r="I69">
            <v>1.79201</v>
          </cell>
          <cell r="J69">
            <v>1.8002</v>
          </cell>
          <cell r="K69">
            <v>1.80936</v>
          </cell>
          <cell r="L69">
            <v>1.81304</v>
          </cell>
          <cell r="M69">
            <v>1.82028</v>
          </cell>
          <cell r="N69">
            <v>1.82573</v>
          </cell>
          <cell r="O69">
            <v>1.83101</v>
          </cell>
          <cell r="P69">
            <v>1.83649</v>
          </cell>
          <cell r="Q69">
            <v>1.83807</v>
          </cell>
          <cell r="R69">
            <v>1.83956</v>
          </cell>
          <cell r="S69">
            <v>1.84635</v>
          </cell>
          <cell r="T69">
            <v>1.84666</v>
          </cell>
          <cell r="U69">
            <v>1.85504</v>
          </cell>
          <cell r="V69">
            <v>1.8721</v>
          </cell>
          <cell r="W69">
            <v>1.87431</v>
          </cell>
          <cell r="X69">
            <v>1.89416</v>
          </cell>
          <cell r="Y69">
            <v>1.91418</v>
          </cell>
          <cell r="Z69">
            <v>0</v>
          </cell>
          <cell r="AA69">
            <v>3.25093122</v>
          </cell>
          <cell r="AB69">
            <v>-0.0135032313</v>
          </cell>
          <cell r="AC69">
            <v>0.0490304607</v>
          </cell>
          <cell r="AD69">
            <v>0.00249344608</v>
          </cell>
          <cell r="AE69">
            <v>-1.81762799e-5</v>
          </cell>
          <cell r="AF69">
            <v>1.9468641e-5</v>
          </cell>
          <cell r="AG69">
            <v>0.285593934288121</v>
          </cell>
          <cell r="AH69">
            <v>0.235327155293457</v>
          </cell>
          <cell r="AI69">
            <v>0.619488907610218</v>
          </cell>
          <cell r="AJ69">
            <v>0.23703090507726</v>
          </cell>
          <cell r="AK69">
            <v>0.23123620309051</v>
          </cell>
          <cell r="AL69">
            <v>0.547737306843274</v>
          </cell>
          <cell r="AM69">
            <v>0.00200547041842196</v>
          </cell>
          <cell r="AN69">
            <v>0.0153874876102185</v>
          </cell>
          <cell r="AO69">
            <v>0.00318500682953883</v>
          </cell>
          <cell r="AP69">
            <v>-0.00226278910418436</v>
          </cell>
          <cell r="AQ69">
            <v>-0.8</v>
          </cell>
          <cell r="AR69">
            <v>-0.8</v>
          </cell>
          <cell r="AS69">
            <v>-0.7</v>
          </cell>
          <cell r="AT69">
            <v>-0.7</v>
          </cell>
          <cell r="AU69">
            <v>-0.6</v>
          </cell>
          <cell r="AV69">
            <v>-0.6</v>
          </cell>
          <cell r="AW69">
            <v>0.4</v>
          </cell>
          <cell r="AX69">
            <v>0.5</v>
          </cell>
          <cell r="AY69">
            <v>0.6</v>
          </cell>
          <cell r="AZ69">
            <v>0.7</v>
          </cell>
          <cell r="BA69">
            <v>0.9</v>
          </cell>
          <cell r="BB69">
            <v>1</v>
          </cell>
          <cell r="BC69">
            <v>0.4</v>
          </cell>
          <cell r="BD69">
            <v>0.6</v>
          </cell>
          <cell r="BE69">
            <v>0.7</v>
          </cell>
          <cell r="BF69">
            <v>0.8</v>
          </cell>
          <cell r="BG69">
            <v>1</v>
          </cell>
          <cell r="BH69">
            <v>1.1</v>
          </cell>
          <cell r="BI69">
            <v>0.9</v>
          </cell>
          <cell r="BJ69">
            <v>1</v>
          </cell>
          <cell r="BK69">
            <v>1.2</v>
          </cell>
          <cell r="BL69">
            <v>1.3</v>
          </cell>
          <cell r="BM69">
            <v>1.5</v>
          </cell>
          <cell r="BN69">
            <v>1.6</v>
          </cell>
          <cell r="BO69">
            <v>1.4</v>
          </cell>
          <cell r="BP69">
            <v>1.6</v>
          </cell>
          <cell r="BQ69">
            <v>1.8</v>
          </cell>
          <cell r="BR69">
            <v>2</v>
          </cell>
          <cell r="BS69">
            <v>2.2</v>
          </cell>
          <cell r="BT69">
            <v>2.4</v>
          </cell>
          <cell r="BU69">
            <v>2.8</v>
          </cell>
          <cell r="BV69">
            <v>3.1</v>
          </cell>
          <cell r="BW69">
            <v>3.4</v>
          </cell>
          <cell r="BX69">
            <v>3.7</v>
          </cell>
          <cell r="BY69">
            <v>4</v>
          </cell>
          <cell r="BZ69">
            <v>4.3</v>
          </cell>
          <cell r="CA69">
            <v>4.5</v>
          </cell>
          <cell r="CB69">
            <v>5</v>
          </cell>
          <cell r="CC69">
            <v>5.4</v>
          </cell>
          <cell r="CD69">
            <v>5.8</v>
          </cell>
          <cell r="CE69">
            <v>6.2</v>
          </cell>
          <cell r="CF69">
            <v>6.6</v>
          </cell>
          <cell r="CG69">
            <v>-2.1018016</v>
          </cell>
          <cell r="CH69">
            <v>-1.5338896</v>
          </cell>
          <cell r="CI69">
            <v>-1.13956</v>
          </cell>
          <cell r="CJ69">
            <v>-0.8004172</v>
          </cell>
          <cell r="CK69">
            <v>-0.4164612</v>
          </cell>
          <cell r="CL69">
            <v>-0.1509008</v>
          </cell>
          <cell r="CM69">
            <v>-4.96e-6</v>
          </cell>
          <cell r="CN69">
            <v>9.15e-9</v>
          </cell>
          <cell r="CO69">
            <v>-2.919e-11</v>
          </cell>
          <cell r="CP69">
            <v>1.111e-6</v>
          </cell>
          <cell r="CQ69">
            <v>1.6731e-9</v>
          </cell>
          <cell r="CR69">
            <v>0.289</v>
          </cell>
          <cell r="CS69">
            <v>1</v>
          </cell>
          <cell r="CT69">
            <v>1</v>
          </cell>
          <cell r="CU69">
            <v>1</v>
          </cell>
          <cell r="CV69">
            <v>1</v>
          </cell>
          <cell r="CW69">
            <v>1</v>
          </cell>
          <cell r="CX69">
            <v>1</v>
          </cell>
          <cell r="CY69">
            <v>0</v>
          </cell>
          <cell r="CZ69">
            <v>0</v>
          </cell>
          <cell r="DA69">
            <v>618</v>
          </cell>
          <cell r="DB69">
            <v>656</v>
          </cell>
          <cell r="DC69">
            <v>582</v>
          </cell>
          <cell r="DD69">
            <v>608</v>
          </cell>
          <cell r="DE69">
            <v>83</v>
          </cell>
          <cell r="DF69">
            <v>0</v>
          </cell>
          <cell r="DG69">
            <v>101</v>
          </cell>
          <cell r="DH69">
            <v>0</v>
          </cell>
          <cell r="DI69">
            <v>260</v>
          </cell>
          <cell r="DJ69">
            <v>0</v>
          </cell>
          <cell r="DK69">
            <v>531</v>
          </cell>
          <cell r="DL69">
            <v>176</v>
          </cell>
          <cell r="DM69">
            <v>9601</v>
          </cell>
          <cell r="DN69">
            <v>3790</v>
          </cell>
          <cell r="DO69">
            <v>0.266</v>
          </cell>
          <cell r="DP69">
            <v>2.8</v>
          </cell>
          <cell r="DQ69" t="str">
            <v>(404)/368</v>
          </cell>
          <cell r="DR69">
            <v>389</v>
          </cell>
          <cell r="DS69">
            <v>368</v>
          </cell>
          <cell r="DT69">
            <v>3.54</v>
          </cell>
          <cell r="DU69">
            <v>0.962</v>
          </cell>
          <cell r="DV69">
            <v>0.98</v>
          </cell>
          <cell r="DW69">
            <v>0.992</v>
          </cell>
          <cell r="DX69">
            <v>0.997</v>
          </cell>
          <cell r="DY69">
            <v>0.999</v>
          </cell>
          <cell r="DZ69">
            <v>0.999</v>
          </cell>
          <cell r="EA69">
            <v>0.999</v>
          </cell>
          <cell r="EB69">
            <v>0.999</v>
          </cell>
          <cell r="EC69">
            <v>0.999</v>
          </cell>
          <cell r="ED69">
            <v>0.999</v>
          </cell>
          <cell r="EE69">
            <v>0.999</v>
          </cell>
          <cell r="EF69">
            <v>0.999</v>
          </cell>
          <cell r="EG69">
            <v>0.999</v>
          </cell>
          <cell r="EH69">
            <v>0.999</v>
          </cell>
          <cell r="EI69">
            <v>0.999</v>
          </cell>
          <cell r="EJ69">
            <v>0.999</v>
          </cell>
          <cell r="EK69">
            <v>0.999</v>
          </cell>
          <cell r="EL69">
            <v>0.997</v>
          </cell>
          <cell r="EM69">
            <v>0.993</v>
          </cell>
          <cell r="EN69">
            <v>0.99</v>
          </cell>
          <cell r="EO69">
            <v>0.985</v>
          </cell>
          <cell r="EP69">
            <v>0.977</v>
          </cell>
          <cell r="EQ69">
            <v>0.959</v>
          </cell>
          <cell r="ER69">
            <v>0.914</v>
          </cell>
          <cell r="ES69">
            <v>0.854</v>
          </cell>
          <cell r="ET69">
            <v>0.698</v>
          </cell>
          <cell r="EU69">
            <v>0.338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0.925</v>
          </cell>
          <cell r="FF69">
            <v>0.961</v>
          </cell>
          <cell r="FG69">
            <v>0.985</v>
          </cell>
          <cell r="FH69">
            <v>0.994</v>
          </cell>
          <cell r="FI69">
            <v>0.999</v>
          </cell>
          <cell r="FJ69">
            <v>0.999</v>
          </cell>
          <cell r="FK69">
            <v>0.999</v>
          </cell>
          <cell r="FL69">
            <v>0.999</v>
          </cell>
          <cell r="FM69">
            <v>0.999</v>
          </cell>
          <cell r="FN69">
            <v>0.999</v>
          </cell>
          <cell r="FO69">
            <v>0.999</v>
          </cell>
          <cell r="FP69">
            <v>0.999</v>
          </cell>
          <cell r="FQ69">
            <v>0.999</v>
          </cell>
          <cell r="FR69">
            <v>0.999</v>
          </cell>
          <cell r="FS69">
            <v>0.999</v>
          </cell>
          <cell r="FT69">
            <v>0.999</v>
          </cell>
          <cell r="FU69">
            <v>0.999</v>
          </cell>
          <cell r="FV69">
            <v>0.995</v>
          </cell>
          <cell r="FW69">
            <v>0.986</v>
          </cell>
          <cell r="FX69">
            <v>0.98</v>
          </cell>
          <cell r="FY69">
            <v>0.971</v>
          </cell>
          <cell r="FZ69">
            <v>0.954</v>
          </cell>
          <cell r="GA69">
            <v>0.92</v>
          </cell>
          <cell r="GB69">
            <v>0.835</v>
          </cell>
          <cell r="GC69">
            <v>0.73</v>
          </cell>
          <cell r="GD69">
            <v>0.487</v>
          </cell>
          <cell r="GE69">
            <v>0.114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</row>
        <row r="70">
          <cell r="B70" t="str">
            <v>H-ZF62</v>
          </cell>
          <cell r="C70">
            <v>923209</v>
          </cell>
          <cell r="D70">
            <v>20.88</v>
          </cell>
          <cell r="E70">
            <v>20.71</v>
          </cell>
          <cell r="F70">
            <v>0.044198</v>
          </cell>
          <cell r="G70">
            <v>0.045071</v>
          </cell>
          <cell r="H70">
            <v>1.84761</v>
          </cell>
          <cell r="I70">
            <v>1.85605</v>
          </cell>
          <cell r="J70">
            <v>1.86617</v>
          </cell>
          <cell r="K70">
            <v>1.87734</v>
          </cell>
          <cell r="L70">
            <v>1.88181</v>
          </cell>
          <cell r="M70">
            <v>1.89061</v>
          </cell>
          <cell r="N70">
            <v>1.89723</v>
          </cell>
          <cell r="O70">
            <v>1.90366</v>
          </cell>
          <cell r="P70">
            <v>1.91038</v>
          </cell>
          <cell r="Q70">
            <v>1.91231</v>
          </cell>
          <cell r="R70">
            <v>1.91413</v>
          </cell>
          <cell r="S70">
            <v>1.92248</v>
          </cell>
          <cell r="T70">
            <v>1.92286</v>
          </cell>
          <cell r="U70">
            <v>1.93323</v>
          </cell>
          <cell r="V70">
            <v>1.95457</v>
          </cell>
          <cell r="W70">
            <v>1.95738</v>
          </cell>
          <cell r="X70">
            <v>1.98274</v>
          </cell>
          <cell r="Y70">
            <v>2.00892</v>
          </cell>
          <cell r="Z70">
            <v>0</v>
          </cell>
          <cell r="AA70">
            <v>3.49733468</v>
          </cell>
          <cell r="AB70">
            <v>-0.0175493772</v>
          </cell>
          <cell r="AC70">
            <v>0.0599594355</v>
          </cell>
          <cell r="AD70">
            <v>0.00390005481</v>
          </cell>
          <cell r="AE70">
            <v>-0.000139531497</v>
          </cell>
          <cell r="AF70">
            <v>4.41807948e-5</v>
          </cell>
          <cell r="AG70">
            <v>0.282416836388324</v>
          </cell>
          <cell r="AH70">
            <v>0.234668477031003</v>
          </cell>
          <cell r="AI70">
            <v>0.637474541751529</v>
          </cell>
          <cell r="AJ70">
            <v>0.234080319502997</v>
          </cell>
          <cell r="AK70">
            <v>0.230086532061238</v>
          </cell>
          <cell r="AL70">
            <v>0.562680275127581</v>
          </cell>
          <cell r="AM70">
            <v>0.00424044658067291</v>
          </cell>
          <cell r="AN70">
            <v>0.0285562217515289</v>
          </cell>
          <cell r="AO70">
            <v>0.00524188343064072</v>
          </cell>
          <cell r="AP70">
            <v>-0.00312571350984187</v>
          </cell>
          <cell r="AQ70">
            <v>0.1</v>
          </cell>
          <cell r="AR70">
            <v>0.1</v>
          </cell>
          <cell r="AS70">
            <v>0.2</v>
          </cell>
          <cell r="AT70">
            <v>0.3</v>
          </cell>
          <cell r="AU70">
            <v>0.5</v>
          </cell>
          <cell r="AV70">
            <v>0.7</v>
          </cell>
          <cell r="AW70">
            <v>1.3</v>
          </cell>
          <cell r="AX70">
            <v>1.4</v>
          </cell>
          <cell r="AY70">
            <v>1.5</v>
          </cell>
          <cell r="AZ70">
            <v>1.8</v>
          </cell>
          <cell r="BA70">
            <v>2</v>
          </cell>
          <cell r="BB70">
            <v>2.3</v>
          </cell>
          <cell r="BC70">
            <v>1.3</v>
          </cell>
          <cell r="BD70">
            <v>1.5</v>
          </cell>
          <cell r="BE70">
            <v>1.7</v>
          </cell>
          <cell r="BF70">
            <v>1.9</v>
          </cell>
          <cell r="BG70">
            <v>2.2</v>
          </cell>
          <cell r="BH70">
            <v>2.5</v>
          </cell>
          <cell r="BI70">
            <v>1.8</v>
          </cell>
          <cell r="BJ70">
            <v>2</v>
          </cell>
          <cell r="BK70">
            <v>2.2</v>
          </cell>
          <cell r="BL70">
            <v>2.4</v>
          </cell>
          <cell r="BM70">
            <v>2.8</v>
          </cell>
          <cell r="BN70">
            <v>3.1</v>
          </cell>
          <cell r="BO70">
            <v>2.5</v>
          </cell>
          <cell r="BP70">
            <v>2.7</v>
          </cell>
          <cell r="BQ70">
            <v>2.9</v>
          </cell>
          <cell r="BR70">
            <v>3.2</v>
          </cell>
          <cell r="BS70">
            <v>3.6</v>
          </cell>
          <cell r="BT70">
            <v>4</v>
          </cell>
          <cell r="BU70">
            <v>4.1</v>
          </cell>
          <cell r="BV70">
            <v>4.5</v>
          </cell>
          <cell r="BW70">
            <v>4.9</v>
          </cell>
          <cell r="BX70">
            <v>5.3</v>
          </cell>
          <cell r="BY70">
            <v>5.8</v>
          </cell>
          <cell r="BZ70">
            <v>6.3</v>
          </cell>
          <cell r="CA70">
            <v>6.4</v>
          </cell>
          <cell r="CB70">
            <v>7</v>
          </cell>
          <cell r="CC70">
            <v>7.6</v>
          </cell>
          <cell r="CD70">
            <v>8.1</v>
          </cell>
          <cell r="CE70">
            <v>8.7</v>
          </cell>
          <cell r="CF70">
            <v>9.4</v>
          </cell>
          <cell r="CG70">
            <v>-1.3</v>
          </cell>
          <cell r="CH70">
            <v>-0.8</v>
          </cell>
          <cell r="CI70">
            <v>-0.3</v>
          </cell>
          <cell r="CJ70">
            <v>0.2</v>
          </cell>
          <cell r="CK70">
            <v>0.7</v>
          </cell>
          <cell r="CL70">
            <v>1.2</v>
          </cell>
          <cell r="CM70">
            <v>-3.6e-6</v>
          </cell>
          <cell r="CN70">
            <v>1.139e-8</v>
          </cell>
          <cell r="CO70">
            <v>-8.53e-12</v>
          </cell>
          <cell r="CP70">
            <v>1.099e-6</v>
          </cell>
          <cell r="CQ70">
            <v>1.7665e-9</v>
          </cell>
          <cell r="CR70">
            <v>0.308</v>
          </cell>
          <cell r="CS70">
            <v>1</v>
          </cell>
          <cell r="CT70">
            <v>1</v>
          </cell>
          <cell r="CU70">
            <v>1</v>
          </cell>
          <cell r="CV70">
            <v>1</v>
          </cell>
          <cell r="CW70">
            <v>1</v>
          </cell>
          <cell r="CX70">
            <v>1</v>
          </cell>
          <cell r="CY70">
            <v>0</v>
          </cell>
          <cell r="CZ70">
            <v>0</v>
          </cell>
          <cell r="DA70">
            <v>659</v>
          </cell>
          <cell r="DB70">
            <v>710</v>
          </cell>
          <cell r="DC70">
            <v>613</v>
          </cell>
          <cell r="DD70">
            <v>652</v>
          </cell>
          <cell r="DE70">
            <v>61</v>
          </cell>
          <cell r="DF70">
            <v>0</v>
          </cell>
          <cell r="DG70">
            <v>74</v>
          </cell>
          <cell r="DH70">
            <v>0</v>
          </cell>
          <cell r="DI70">
            <v>290</v>
          </cell>
          <cell r="DJ70">
            <v>0</v>
          </cell>
          <cell r="DK70">
            <v>485</v>
          </cell>
          <cell r="DL70">
            <v>228</v>
          </cell>
          <cell r="DM70">
            <v>9023</v>
          </cell>
          <cell r="DN70">
            <v>3589</v>
          </cell>
          <cell r="DO70">
            <v>0.257</v>
          </cell>
          <cell r="DP70">
            <v>0</v>
          </cell>
          <cell r="DQ70" t="str">
            <v>(440)/385</v>
          </cell>
          <cell r="DR70">
            <v>407</v>
          </cell>
          <cell r="DS70">
            <v>382</v>
          </cell>
          <cell r="DT70">
            <v>3.93</v>
          </cell>
          <cell r="DU70">
            <v>0.957</v>
          </cell>
          <cell r="DV70">
            <v>0.978</v>
          </cell>
          <cell r="DW70">
            <v>0.996</v>
          </cell>
          <cell r="DX70">
            <v>0.996</v>
          </cell>
          <cell r="DY70">
            <v>0.996</v>
          </cell>
          <cell r="DZ70">
            <v>0.996</v>
          </cell>
          <cell r="EA70">
            <v>0.996</v>
          </cell>
          <cell r="EB70">
            <v>0.996</v>
          </cell>
          <cell r="EC70">
            <v>0.996</v>
          </cell>
          <cell r="ED70">
            <v>0.996</v>
          </cell>
          <cell r="EE70">
            <v>0.996</v>
          </cell>
          <cell r="EF70">
            <v>0.995</v>
          </cell>
          <cell r="EG70">
            <v>0.995</v>
          </cell>
          <cell r="EH70">
            <v>0.994</v>
          </cell>
          <cell r="EI70">
            <v>0.994</v>
          </cell>
          <cell r="EJ70">
            <v>0.993</v>
          </cell>
          <cell r="EK70">
            <v>0.993</v>
          </cell>
          <cell r="EL70">
            <v>0.988</v>
          </cell>
          <cell r="EM70">
            <v>0.98</v>
          </cell>
          <cell r="EN70">
            <v>0.97</v>
          </cell>
          <cell r="EO70">
            <v>0.962</v>
          </cell>
          <cell r="EP70">
            <v>0.942</v>
          </cell>
          <cell r="EQ70">
            <v>0.902</v>
          </cell>
          <cell r="ER70">
            <v>0.781</v>
          </cell>
          <cell r="ES70">
            <v>0.586</v>
          </cell>
          <cell r="ET70">
            <v>0.21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0.916</v>
          </cell>
          <cell r="FF70">
            <v>0.956</v>
          </cell>
          <cell r="FG70">
            <v>0.992</v>
          </cell>
          <cell r="FH70">
            <v>0.992</v>
          </cell>
          <cell r="FI70">
            <v>0.992</v>
          </cell>
          <cell r="FJ70">
            <v>0.992</v>
          </cell>
          <cell r="FK70">
            <v>0.992</v>
          </cell>
          <cell r="FL70">
            <v>0.992</v>
          </cell>
          <cell r="FM70">
            <v>0.992</v>
          </cell>
          <cell r="FN70">
            <v>0.992</v>
          </cell>
          <cell r="FO70">
            <v>0.992</v>
          </cell>
          <cell r="FP70">
            <v>0.99</v>
          </cell>
          <cell r="FQ70">
            <v>0.99</v>
          </cell>
          <cell r="FR70">
            <v>0.989</v>
          </cell>
          <cell r="FS70">
            <v>0.988</v>
          </cell>
          <cell r="FT70">
            <v>0.986</v>
          </cell>
          <cell r="FU70">
            <v>0.986</v>
          </cell>
          <cell r="FV70">
            <v>0.976</v>
          </cell>
          <cell r="FW70">
            <v>0.96</v>
          </cell>
          <cell r="FX70">
            <v>0.941</v>
          </cell>
          <cell r="FY70">
            <v>0.925</v>
          </cell>
          <cell r="FZ70">
            <v>0.887</v>
          </cell>
          <cell r="GA70">
            <v>0.814</v>
          </cell>
          <cell r="GB70">
            <v>0.61</v>
          </cell>
          <cell r="GC70">
            <v>0.343</v>
          </cell>
          <cell r="GD70">
            <v>0.044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</row>
        <row r="71">
          <cell r="B71" t="str">
            <v>H-ZF72B</v>
          </cell>
          <cell r="C71">
            <v>923189</v>
          </cell>
          <cell r="D71">
            <v>18.9</v>
          </cell>
          <cell r="E71">
            <v>18.74</v>
          </cell>
          <cell r="F71">
            <v>0.048837</v>
          </cell>
          <cell r="G71">
            <v>0.049853</v>
          </cell>
          <cell r="H71">
            <v>1.84193</v>
          </cell>
          <cell r="I71">
            <v>1.85076</v>
          </cell>
          <cell r="J71">
            <v>1.8614</v>
          </cell>
          <cell r="K71">
            <v>1.8733</v>
          </cell>
          <cell r="L71">
            <v>1.87811</v>
          </cell>
          <cell r="M71">
            <v>1.88761</v>
          </cell>
          <cell r="N71">
            <v>1.89481</v>
          </cell>
          <cell r="O71">
            <v>1.90181</v>
          </cell>
          <cell r="P71">
            <v>1.90916</v>
          </cell>
          <cell r="Q71">
            <v>1.91127</v>
          </cell>
          <cell r="R71">
            <v>1.91327</v>
          </cell>
          <cell r="S71">
            <v>1.92245</v>
          </cell>
          <cell r="T71">
            <v>1.92286</v>
          </cell>
          <cell r="U71">
            <v>1.93429</v>
          </cell>
          <cell r="V71">
            <v>1.958</v>
          </cell>
          <cell r="W71">
            <v>1.96112</v>
          </cell>
          <cell r="X71">
            <v>1.98974</v>
          </cell>
          <cell r="Y71">
            <v>2.0197</v>
          </cell>
          <cell r="Z71">
            <v>0</v>
          </cell>
          <cell r="AA71">
            <v>3.47907547</v>
          </cell>
          <cell r="AB71">
            <v>-0.0182056514</v>
          </cell>
          <cell r="AC71">
            <v>0.0644069814</v>
          </cell>
          <cell r="AD71">
            <v>0.00467488595</v>
          </cell>
          <cell r="AE71">
            <v>-0.000234014347</v>
          </cell>
          <cell r="AF71">
            <v>6.37833754e-5</v>
          </cell>
          <cell r="AG71">
            <v>0.280507780507781</v>
          </cell>
          <cell r="AH71">
            <v>0.234029484029485</v>
          </cell>
          <cell r="AI71">
            <v>0.649877149877152</v>
          </cell>
          <cell r="AJ71">
            <v>0.232497492477432</v>
          </cell>
          <cell r="AK71">
            <v>0.229287863590774</v>
          </cell>
          <cell r="AL71">
            <v>0.574122367101306</v>
          </cell>
          <cell r="AM71">
            <v>0.00569553546273342</v>
          </cell>
          <cell r="AN71">
            <v>0.0376700498771521</v>
          </cell>
          <cell r="AO71">
            <v>0.00405998574938621</v>
          </cell>
          <cell r="AP71">
            <v>-0.00452330876330957</v>
          </cell>
          <cell r="AQ71">
            <v>-0.4</v>
          </cell>
          <cell r="AR71">
            <v>-0.2</v>
          </cell>
          <cell r="AS71">
            <v>-0.1</v>
          </cell>
          <cell r="AT71">
            <v>0</v>
          </cell>
          <cell r="AU71">
            <v>0.1</v>
          </cell>
          <cell r="AV71">
            <v>0.3</v>
          </cell>
          <cell r="AW71">
            <v>0.9</v>
          </cell>
          <cell r="AX71">
            <v>1.2</v>
          </cell>
          <cell r="AY71">
            <v>1.4</v>
          </cell>
          <cell r="AZ71">
            <v>1.6</v>
          </cell>
          <cell r="BA71">
            <v>1.8</v>
          </cell>
          <cell r="BB71">
            <v>2.1</v>
          </cell>
          <cell r="BC71">
            <v>1</v>
          </cell>
          <cell r="BD71">
            <v>1.3</v>
          </cell>
          <cell r="BE71">
            <v>1.5</v>
          </cell>
          <cell r="BF71">
            <v>1.7</v>
          </cell>
          <cell r="BG71">
            <v>2</v>
          </cell>
          <cell r="BH71">
            <v>2.3</v>
          </cell>
          <cell r="BI71">
            <v>1.5</v>
          </cell>
          <cell r="BJ71">
            <v>1.9</v>
          </cell>
          <cell r="BK71">
            <v>2.1</v>
          </cell>
          <cell r="BL71">
            <v>2.4</v>
          </cell>
          <cell r="BM71">
            <v>2.6</v>
          </cell>
          <cell r="BN71">
            <v>3</v>
          </cell>
          <cell r="BO71">
            <v>2.3</v>
          </cell>
          <cell r="BP71">
            <v>2.7</v>
          </cell>
          <cell r="BQ71">
            <v>3</v>
          </cell>
          <cell r="BR71">
            <v>3.3</v>
          </cell>
          <cell r="BS71">
            <v>3.6</v>
          </cell>
          <cell r="BT71">
            <v>4</v>
          </cell>
          <cell r="BU71">
            <v>4.4</v>
          </cell>
          <cell r="BV71">
            <v>5</v>
          </cell>
          <cell r="BW71">
            <v>5.5</v>
          </cell>
          <cell r="BX71">
            <v>5.9</v>
          </cell>
          <cell r="BY71">
            <v>6.4</v>
          </cell>
          <cell r="BZ71">
            <v>7</v>
          </cell>
          <cell r="CA71">
            <v>7.1</v>
          </cell>
          <cell r="CB71">
            <v>8</v>
          </cell>
          <cell r="CC71">
            <v>8.7</v>
          </cell>
          <cell r="CD71">
            <v>9.4</v>
          </cell>
          <cell r="CE71">
            <v>10</v>
          </cell>
          <cell r="CF71">
            <v>10.8</v>
          </cell>
          <cell r="CG71">
            <v>-1.6</v>
          </cell>
          <cell r="CH71">
            <v>-0.9</v>
          </cell>
          <cell r="CI71">
            <v>-0.4</v>
          </cell>
          <cell r="CJ71">
            <v>0.1</v>
          </cell>
          <cell r="CK71">
            <v>0.5</v>
          </cell>
          <cell r="CL71">
            <v>1</v>
          </cell>
          <cell r="CM71">
            <v>-4.41717410307514e-6</v>
          </cell>
          <cell r="CN71">
            <v>1.1455263669332e-8</v>
          </cell>
          <cell r="CO71">
            <v>-2.23829944264608e-11</v>
          </cell>
          <cell r="CP71">
            <v>1.23194213382598e-6</v>
          </cell>
          <cell r="CQ71">
            <v>2.01176987200336e-9</v>
          </cell>
          <cell r="CR71">
            <v>0.318741255417137</v>
          </cell>
          <cell r="CS71">
            <v>1</v>
          </cell>
          <cell r="CT71">
            <v>1</v>
          </cell>
          <cell r="CU71">
            <v>1</v>
          </cell>
          <cell r="CV71">
            <v>1</v>
          </cell>
          <cell r="CW71">
            <v>1</v>
          </cell>
          <cell r="CX71">
            <v>1</v>
          </cell>
          <cell r="CY71">
            <v>0</v>
          </cell>
          <cell r="CZ71">
            <v>0</v>
          </cell>
          <cell r="DA71">
            <v>639</v>
          </cell>
          <cell r="DB71">
            <v>678</v>
          </cell>
          <cell r="DC71">
            <v>585</v>
          </cell>
          <cell r="DD71">
            <v>634</v>
          </cell>
          <cell r="DE71">
            <v>66</v>
          </cell>
          <cell r="DF71">
            <v>0</v>
          </cell>
          <cell r="DG71">
            <v>82</v>
          </cell>
          <cell r="DH71">
            <v>0</v>
          </cell>
          <cell r="DI71">
            <v>297</v>
          </cell>
          <cell r="DJ71">
            <v>0</v>
          </cell>
          <cell r="DK71">
            <v>488</v>
          </cell>
          <cell r="DL71">
            <v>206</v>
          </cell>
          <cell r="DM71">
            <v>9820</v>
          </cell>
          <cell r="DN71">
            <v>3928</v>
          </cell>
          <cell r="DO71">
            <v>0.25</v>
          </cell>
          <cell r="DP71">
            <v>0</v>
          </cell>
          <cell r="DQ71" t="str">
            <v>(440)/385</v>
          </cell>
          <cell r="DR71">
            <v>414</v>
          </cell>
          <cell r="DS71">
            <v>389</v>
          </cell>
          <cell r="DT71">
            <v>3.57</v>
          </cell>
          <cell r="DU71">
            <v>0.983</v>
          </cell>
          <cell r="DV71">
            <v>0.995</v>
          </cell>
          <cell r="DW71">
            <v>0.997</v>
          </cell>
          <cell r="DX71">
            <v>0.997</v>
          </cell>
          <cell r="DY71">
            <v>0.997</v>
          </cell>
          <cell r="DZ71">
            <v>0.997</v>
          </cell>
          <cell r="EA71">
            <v>0.997</v>
          </cell>
          <cell r="EB71">
            <v>0.997</v>
          </cell>
          <cell r="EC71">
            <v>0.997</v>
          </cell>
          <cell r="ED71">
            <v>0.997</v>
          </cell>
          <cell r="EE71">
            <v>0.997</v>
          </cell>
          <cell r="EF71">
            <v>0.997</v>
          </cell>
          <cell r="EG71">
            <v>0.997</v>
          </cell>
          <cell r="EH71">
            <v>0.997</v>
          </cell>
          <cell r="EI71">
            <v>0.997</v>
          </cell>
          <cell r="EJ71">
            <v>0.997</v>
          </cell>
          <cell r="EK71">
            <v>0.997</v>
          </cell>
          <cell r="EL71">
            <v>0.99</v>
          </cell>
          <cell r="EM71">
            <v>0.973</v>
          </cell>
          <cell r="EN71">
            <v>0.966</v>
          </cell>
          <cell r="EO71">
            <v>0.954</v>
          </cell>
          <cell r="EP71">
            <v>0.933</v>
          </cell>
          <cell r="EQ71">
            <v>0.89</v>
          </cell>
          <cell r="ER71">
            <v>0.642</v>
          </cell>
          <cell r="ES71">
            <v>0.253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0.966</v>
          </cell>
          <cell r="FF71">
            <v>0.99</v>
          </cell>
          <cell r="FG71">
            <v>0.994</v>
          </cell>
          <cell r="FH71">
            <v>0.994</v>
          </cell>
          <cell r="FI71">
            <v>0.994</v>
          </cell>
          <cell r="FJ71">
            <v>0.994</v>
          </cell>
          <cell r="FK71">
            <v>0.994</v>
          </cell>
          <cell r="FL71">
            <v>0.994</v>
          </cell>
          <cell r="FM71">
            <v>0.994</v>
          </cell>
          <cell r="FN71">
            <v>0.994</v>
          </cell>
          <cell r="FO71">
            <v>0.994</v>
          </cell>
          <cell r="FP71">
            <v>0.994</v>
          </cell>
          <cell r="FQ71">
            <v>0.994</v>
          </cell>
          <cell r="FR71">
            <v>0.994</v>
          </cell>
          <cell r="FS71">
            <v>0.994</v>
          </cell>
          <cell r="FT71">
            <v>0.994</v>
          </cell>
          <cell r="FU71">
            <v>0.994</v>
          </cell>
          <cell r="FV71">
            <v>0.981</v>
          </cell>
          <cell r="FW71">
            <v>0.954</v>
          </cell>
          <cell r="FX71">
            <v>0.938</v>
          </cell>
          <cell r="FY71">
            <v>0.915</v>
          </cell>
          <cell r="FZ71">
            <v>0.875</v>
          </cell>
          <cell r="GA71">
            <v>0.788</v>
          </cell>
          <cell r="GB71">
            <v>0.41</v>
          </cell>
          <cell r="GC71">
            <v>0.066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</row>
        <row r="72">
          <cell r="B72" t="str">
            <v>H-ZF75A</v>
          </cell>
          <cell r="C72">
            <v>946180</v>
          </cell>
          <cell r="D72">
            <v>17.98</v>
          </cell>
          <cell r="E72">
            <v>17.84</v>
          </cell>
          <cell r="F72">
            <v>0.0526</v>
          </cell>
          <cell r="G72">
            <v>0.053718</v>
          </cell>
          <cell r="H72">
            <v>1.85978</v>
          </cell>
          <cell r="I72">
            <v>1.86908</v>
          </cell>
          <cell r="J72">
            <v>1.88034</v>
          </cell>
          <cell r="K72">
            <v>1.89291</v>
          </cell>
          <cell r="L72">
            <v>1.89802</v>
          </cell>
          <cell r="M72">
            <v>1.90816</v>
          </cell>
          <cell r="N72">
            <v>1.91585</v>
          </cell>
          <cell r="O72">
            <v>1.92337</v>
          </cell>
          <cell r="P72">
            <v>1.93123</v>
          </cell>
          <cell r="Q72">
            <v>1.9335</v>
          </cell>
          <cell r="R72">
            <v>1.93564</v>
          </cell>
          <cell r="S72">
            <v>1.9455</v>
          </cell>
          <cell r="T72">
            <v>1.94595</v>
          </cell>
          <cell r="U72">
            <v>1.95825</v>
          </cell>
          <cell r="V72">
            <v>1.98383</v>
          </cell>
          <cell r="W72">
            <v>1.98722</v>
          </cell>
          <cell r="X72">
            <v>2.01828</v>
          </cell>
          <cell r="Y72">
            <v>2.0511</v>
          </cell>
          <cell r="Z72">
            <v>0</v>
          </cell>
          <cell r="AA72">
            <v>3.55084508</v>
          </cell>
          <cell r="AB72">
            <v>-0.0193992631</v>
          </cell>
          <cell r="AC72">
            <v>0.0682201738</v>
          </cell>
          <cell r="AD72">
            <v>0.00585319322</v>
          </cell>
          <cell r="AE72">
            <v>-0.000421740063</v>
          </cell>
          <cell r="AF72">
            <v>8.66214086e-5</v>
          </cell>
          <cell r="AG72">
            <v>0.279847908745249</v>
          </cell>
          <cell r="AH72">
            <v>0.233840304182509</v>
          </cell>
          <cell r="AI72">
            <v>0.654942965779465</v>
          </cell>
          <cell r="AJ72">
            <v>0.231757259865973</v>
          </cell>
          <cell r="AK72">
            <v>0.228965003723008</v>
          </cell>
          <cell r="AL72">
            <v>0.578183172002976</v>
          </cell>
          <cell r="AM72">
            <v>0.00603674707224229</v>
          </cell>
          <cell r="AN72">
            <v>0.0412077457794655</v>
          </cell>
          <cell r="AO72">
            <v>0.00413774129277514</v>
          </cell>
          <cell r="AP72">
            <v>-0.00495884410646516</v>
          </cell>
          <cell r="AQ72">
            <v>0.6</v>
          </cell>
          <cell r="AR72">
            <v>0.7</v>
          </cell>
          <cell r="AS72">
            <v>0.8</v>
          </cell>
          <cell r="AT72">
            <v>1</v>
          </cell>
          <cell r="AU72">
            <v>1.3</v>
          </cell>
          <cell r="AV72">
            <v>1.6</v>
          </cell>
          <cell r="AW72">
            <v>1.9</v>
          </cell>
          <cell r="AX72">
            <v>2.2</v>
          </cell>
          <cell r="AY72">
            <v>2.4</v>
          </cell>
          <cell r="AZ72">
            <v>2.7</v>
          </cell>
          <cell r="BA72">
            <v>3.1</v>
          </cell>
          <cell r="BB72">
            <v>3.5</v>
          </cell>
          <cell r="BC72">
            <v>2</v>
          </cell>
          <cell r="BD72">
            <v>2.3</v>
          </cell>
          <cell r="BE72">
            <v>2.6</v>
          </cell>
          <cell r="BF72">
            <v>2.9</v>
          </cell>
          <cell r="BG72">
            <v>3.3</v>
          </cell>
          <cell r="BH72">
            <v>3.7</v>
          </cell>
          <cell r="BI72">
            <v>2.5</v>
          </cell>
          <cell r="BJ72">
            <v>2.9</v>
          </cell>
          <cell r="BK72">
            <v>3.2</v>
          </cell>
          <cell r="BL72">
            <v>3.5</v>
          </cell>
          <cell r="BM72">
            <v>4</v>
          </cell>
          <cell r="BN72">
            <v>4.4</v>
          </cell>
          <cell r="BO72">
            <v>3.3</v>
          </cell>
          <cell r="BP72">
            <v>3.8</v>
          </cell>
          <cell r="BQ72">
            <v>4.1</v>
          </cell>
          <cell r="BR72">
            <v>4.5</v>
          </cell>
          <cell r="BS72">
            <v>5</v>
          </cell>
          <cell r="BT72">
            <v>5.6</v>
          </cell>
          <cell r="BU72">
            <v>5.6</v>
          </cell>
          <cell r="BV72">
            <v>6.2</v>
          </cell>
          <cell r="BW72">
            <v>6.8</v>
          </cell>
          <cell r="BX72">
            <v>7.4</v>
          </cell>
          <cell r="BY72">
            <v>8</v>
          </cell>
          <cell r="BZ72">
            <v>8.8</v>
          </cell>
          <cell r="CA72">
            <v>8.6</v>
          </cell>
          <cell r="CB72">
            <v>9.5</v>
          </cell>
          <cell r="CC72">
            <v>10.4</v>
          </cell>
          <cell r="CD72">
            <v>11.1</v>
          </cell>
          <cell r="CE72">
            <v>12.1</v>
          </cell>
          <cell r="CF72">
            <v>13</v>
          </cell>
          <cell r="CG72">
            <v>-0.6</v>
          </cell>
          <cell r="CH72">
            <v>0</v>
          </cell>
          <cell r="CI72">
            <v>0.6</v>
          </cell>
          <cell r="CJ72">
            <v>1.2</v>
          </cell>
          <cell r="CK72">
            <v>1.8</v>
          </cell>
          <cell r="CL72">
            <v>2.3</v>
          </cell>
          <cell r="CM72">
            <v>-2.78275049862725e-6</v>
          </cell>
          <cell r="CN72">
            <v>1.36385004776611e-8</v>
          </cell>
          <cell r="CO72">
            <v>1.95353060504921e-13</v>
          </cell>
          <cell r="CP72">
            <v>1.16856404121318e-6</v>
          </cell>
          <cell r="CQ72">
            <v>2.05196141033298e-9</v>
          </cell>
          <cell r="CR72">
            <v>0.32900307649998</v>
          </cell>
          <cell r="CS72">
            <v>1</v>
          </cell>
          <cell r="CT72">
            <v>1</v>
          </cell>
          <cell r="CU72">
            <v>1</v>
          </cell>
          <cell r="CV72">
            <v>1</v>
          </cell>
          <cell r="CW72">
            <v>1</v>
          </cell>
          <cell r="CX72">
            <v>1</v>
          </cell>
          <cell r="CY72">
            <v>0</v>
          </cell>
          <cell r="CZ72">
            <v>0</v>
          </cell>
          <cell r="DA72">
            <v>658</v>
          </cell>
          <cell r="DB72">
            <v>703</v>
          </cell>
          <cell r="DC72">
            <v>603</v>
          </cell>
          <cell r="DD72">
            <v>654</v>
          </cell>
          <cell r="DE72">
            <v>55</v>
          </cell>
          <cell r="DF72">
            <v>0</v>
          </cell>
          <cell r="DG72">
            <v>70</v>
          </cell>
          <cell r="DH72">
            <v>0</v>
          </cell>
          <cell r="DI72">
            <v>295</v>
          </cell>
          <cell r="DJ72">
            <v>0</v>
          </cell>
          <cell r="DK72">
            <v>510</v>
          </cell>
          <cell r="DL72">
            <v>199</v>
          </cell>
          <cell r="DM72">
            <v>9513</v>
          </cell>
          <cell r="DN72">
            <v>3820</v>
          </cell>
          <cell r="DO72">
            <v>0.245</v>
          </cell>
          <cell r="DP72">
            <v>0</v>
          </cell>
          <cell r="DQ72" t="str">
            <v>(460)/395</v>
          </cell>
          <cell r="DR72">
            <v>419</v>
          </cell>
          <cell r="DS72">
            <v>392</v>
          </cell>
          <cell r="DT72">
            <v>3.53</v>
          </cell>
          <cell r="DU72">
            <v>0.972</v>
          </cell>
          <cell r="DV72">
            <v>0.982</v>
          </cell>
          <cell r="DW72">
            <v>0.995</v>
          </cell>
          <cell r="DX72">
            <v>0.995</v>
          </cell>
          <cell r="DY72">
            <v>0.995</v>
          </cell>
          <cell r="DZ72">
            <v>0.995</v>
          </cell>
          <cell r="EA72">
            <v>0.995</v>
          </cell>
          <cell r="EB72">
            <v>0.995</v>
          </cell>
          <cell r="EC72">
            <v>0.995</v>
          </cell>
          <cell r="ED72">
            <v>0.995</v>
          </cell>
          <cell r="EE72">
            <v>0.995</v>
          </cell>
          <cell r="EF72">
            <v>0.995</v>
          </cell>
          <cell r="EG72">
            <v>0.995</v>
          </cell>
          <cell r="EH72">
            <v>0.995</v>
          </cell>
          <cell r="EI72">
            <v>0.995</v>
          </cell>
          <cell r="EJ72">
            <v>0.995</v>
          </cell>
          <cell r="EK72">
            <v>0.991</v>
          </cell>
          <cell r="EL72">
            <v>0.983</v>
          </cell>
          <cell r="EM72">
            <v>0.959</v>
          </cell>
          <cell r="EN72">
            <v>0.946</v>
          </cell>
          <cell r="EO72">
            <v>0.926</v>
          </cell>
          <cell r="EP72">
            <v>0.898</v>
          </cell>
          <cell r="EQ72">
            <v>0.842</v>
          </cell>
          <cell r="ER72">
            <v>0.508</v>
          </cell>
          <cell r="ES72">
            <v>0.126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0.945</v>
          </cell>
          <cell r="FF72">
            <v>0.964</v>
          </cell>
          <cell r="FG72">
            <v>0.99</v>
          </cell>
          <cell r="FH72">
            <v>0.99</v>
          </cell>
          <cell r="FI72">
            <v>0.99</v>
          </cell>
          <cell r="FJ72">
            <v>0.99</v>
          </cell>
          <cell r="FK72">
            <v>0.99</v>
          </cell>
          <cell r="FL72">
            <v>0.99</v>
          </cell>
          <cell r="FM72">
            <v>0.99</v>
          </cell>
          <cell r="FN72">
            <v>0.99</v>
          </cell>
          <cell r="FO72">
            <v>0.99</v>
          </cell>
          <cell r="FP72">
            <v>0.99</v>
          </cell>
          <cell r="FQ72">
            <v>0.99</v>
          </cell>
          <cell r="FR72">
            <v>0.99</v>
          </cell>
          <cell r="FS72">
            <v>0.99</v>
          </cell>
          <cell r="FT72">
            <v>0.99</v>
          </cell>
          <cell r="FU72">
            <v>0.984</v>
          </cell>
          <cell r="FV72">
            <v>0.969</v>
          </cell>
          <cell r="FW72">
            <v>0.919</v>
          </cell>
          <cell r="FX72">
            <v>0.898</v>
          </cell>
          <cell r="FY72">
            <v>0.865</v>
          </cell>
          <cell r="FZ72">
            <v>0.814</v>
          </cell>
          <cell r="GA72">
            <v>0.71</v>
          </cell>
          <cell r="GB72">
            <v>0.265</v>
          </cell>
          <cell r="GC72">
            <v>0.026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</row>
        <row r="73">
          <cell r="B73" t="str">
            <v>H-TF3L</v>
          </cell>
          <cell r="C73">
            <v>613443</v>
          </cell>
          <cell r="D73">
            <v>44.27</v>
          </cell>
          <cell r="E73">
            <v>44.04</v>
          </cell>
          <cell r="F73">
            <v>0.013857</v>
          </cell>
          <cell r="G73">
            <v>0.014002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1.60691</v>
          </cell>
          <cell r="P73">
            <v>1.60925</v>
          </cell>
          <cell r="Q73">
            <v>1.60991</v>
          </cell>
          <cell r="R73">
            <v>1.61052</v>
          </cell>
          <cell r="S73">
            <v>1.61327</v>
          </cell>
          <cell r="T73">
            <v>1.6134</v>
          </cell>
          <cell r="U73">
            <v>1.61669</v>
          </cell>
          <cell r="V73">
            <v>1.62311</v>
          </cell>
          <cell r="W73">
            <v>1.62391</v>
          </cell>
          <cell r="X73">
            <v>1.6309</v>
          </cell>
          <cell r="Y73">
            <v>1.63752</v>
          </cell>
          <cell r="Z73">
            <v>1.64927</v>
          </cell>
          <cell r="AA73">
            <v>2.54840756</v>
          </cell>
          <cell r="AB73">
            <v>-0.01180237791</v>
          </cell>
          <cell r="AC73">
            <v>0.01867785647</v>
          </cell>
          <cell r="AD73">
            <v>0.000592248139</v>
          </cell>
          <cell r="AE73">
            <v>-2.332660249e-5</v>
          </cell>
          <cell r="AF73">
            <v>3.014808831e-6</v>
          </cell>
          <cell r="AG73">
            <v>0.299422799422791</v>
          </cell>
          <cell r="AH73">
            <v>0.237373737373739</v>
          </cell>
          <cell r="AI73">
            <v>0.56204906204906</v>
          </cell>
          <cell r="AJ73">
            <v>0.249285714285714</v>
          </cell>
          <cell r="AK73">
            <v>0.235000000000001</v>
          </cell>
          <cell r="AL73">
            <v>0.499285714285718</v>
          </cell>
          <cell r="AM73">
            <v>-0.00255949679652964</v>
          </cell>
          <cell r="AN73">
            <v>-0.00801846795093981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1</v>
          </cell>
          <cell r="CT73">
            <v>1</v>
          </cell>
          <cell r="CU73">
            <v>1</v>
          </cell>
          <cell r="CV73">
            <v>1</v>
          </cell>
          <cell r="CW73">
            <v>1</v>
          </cell>
          <cell r="CX73">
            <v>1</v>
          </cell>
          <cell r="CY73">
            <v>0</v>
          </cell>
          <cell r="CZ73">
            <v>0</v>
          </cell>
          <cell r="DA73">
            <v>566</v>
          </cell>
          <cell r="DB73">
            <v>629</v>
          </cell>
          <cell r="DC73">
            <v>509</v>
          </cell>
          <cell r="DD73">
            <v>552</v>
          </cell>
          <cell r="DE73">
            <v>62</v>
          </cell>
          <cell r="DF73">
            <v>0</v>
          </cell>
          <cell r="DG73">
            <v>78</v>
          </cell>
          <cell r="DH73">
            <v>0</v>
          </cell>
          <cell r="DI73">
            <v>0</v>
          </cell>
          <cell r="DJ73">
            <v>0</v>
          </cell>
          <cell r="DK73">
            <v>560</v>
          </cell>
          <cell r="DL73">
            <v>111</v>
          </cell>
          <cell r="DM73">
            <v>8804</v>
          </cell>
          <cell r="DN73">
            <v>3579</v>
          </cell>
          <cell r="DO73">
            <v>0.23</v>
          </cell>
          <cell r="DP73">
            <v>0</v>
          </cell>
          <cell r="DQ73" t="str">
            <v>360/320</v>
          </cell>
          <cell r="DR73">
            <v>0</v>
          </cell>
          <cell r="DS73">
            <v>0</v>
          </cell>
          <cell r="DT73">
            <v>2.84</v>
          </cell>
          <cell r="DU73">
            <v>0.885</v>
          </cell>
          <cell r="DV73">
            <v>0.953</v>
          </cell>
          <cell r="DW73">
            <v>0.994</v>
          </cell>
          <cell r="DX73">
            <v>0.998</v>
          </cell>
          <cell r="DY73">
            <v>0.998</v>
          </cell>
          <cell r="DZ73">
            <v>0.998</v>
          </cell>
          <cell r="EA73">
            <v>0.998</v>
          </cell>
          <cell r="EB73">
            <v>0.998</v>
          </cell>
          <cell r="EC73">
            <v>0.998</v>
          </cell>
          <cell r="ED73">
            <v>0.998</v>
          </cell>
          <cell r="EE73">
            <v>0.998</v>
          </cell>
          <cell r="EF73">
            <v>0.998</v>
          </cell>
          <cell r="EG73">
            <v>0.998</v>
          </cell>
          <cell r="EH73">
            <v>0.998</v>
          </cell>
          <cell r="EI73">
            <v>0.998</v>
          </cell>
          <cell r="EJ73">
            <v>0.998</v>
          </cell>
          <cell r="EK73">
            <v>0.998</v>
          </cell>
          <cell r="EL73">
            <v>0.998</v>
          </cell>
          <cell r="EM73">
            <v>0.996</v>
          </cell>
          <cell r="EN73">
            <v>0.993</v>
          </cell>
          <cell r="EO73">
            <v>0.989</v>
          </cell>
          <cell r="EP73">
            <v>0.985</v>
          </cell>
          <cell r="EQ73">
            <v>0.981</v>
          </cell>
          <cell r="ER73">
            <v>0.975</v>
          </cell>
          <cell r="ES73">
            <v>0.969</v>
          </cell>
          <cell r="ET73">
            <v>0.961</v>
          </cell>
          <cell r="EU73">
            <v>0.945</v>
          </cell>
          <cell r="EV73">
            <v>0.928</v>
          </cell>
          <cell r="EW73">
            <v>0.892</v>
          </cell>
          <cell r="EX73">
            <v>0.825</v>
          </cell>
          <cell r="EY73">
            <v>0.647</v>
          </cell>
          <cell r="EZ73">
            <v>0.235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0.782</v>
          </cell>
          <cell r="FF73">
            <v>0.907</v>
          </cell>
          <cell r="FG73">
            <v>0.988</v>
          </cell>
          <cell r="FH73">
            <v>0.996</v>
          </cell>
          <cell r="FI73">
            <v>0.996</v>
          </cell>
          <cell r="FJ73">
            <v>0.996</v>
          </cell>
          <cell r="FK73">
            <v>0.996</v>
          </cell>
          <cell r="FL73">
            <v>0.996</v>
          </cell>
          <cell r="FM73">
            <v>0.996</v>
          </cell>
          <cell r="FN73">
            <v>0.996</v>
          </cell>
          <cell r="FO73">
            <v>0.996</v>
          </cell>
          <cell r="FP73">
            <v>0.996</v>
          </cell>
          <cell r="FQ73">
            <v>0.996</v>
          </cell>
          <cell r="FR73">
            <v>0.996</v>
          </cell>
          <cell r="FS73">
            <v>0.996</v>
          </cell>
          <cell r="FT73">
            <v>0.996</v>
          </cell>
          <cell r="FU73">
            <v>0.996</v>
          </cell>
          <cell r="FV73">
            <v>0.996</v>
          </cell>
          <cell r="FW73">
            <v>0.99</v>
          </cell>
          <cell r="FX73">
            <v>0.984</v>
          </cell>
          <cell r="FY73">
            <v>0.978</v>
          </cell>
          <cell r="FZ73">
            <v>0.972</v>
          </cell>
          <cell r="GA73">
            <v>0.966</v>
          </cell>
          <cell r="GB73">
            <v>0.959</v>
          </cell>
          <cell r="GC73">
            <v>0.939</v>
          </cell>
          <cell r="GD73">
            <v>0.922</v>
          </cell>
          <cell r="GE73">
            <v>0.897</v>
          </cell>
          <cell r="GF73">
            <v>0.863</v>
          </cell>
          <cell r="GG73">
            <v>0.798</v>
          </cell>
          <cell r="GH73">
            <v>0.685</v>
          </cell>
          <cell r="GI73">
            <v>0.418</v>
          </cell>
          <cell r="GJ73">
            <v>0.057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</row>
        <row r="74">
          <cell r="B74" t="str">
            <v>H-TF7</v>
          </cell>
          <cell r="C74">
            <v>638424</v>
          </cell>
          <cell r="D74">
            <v>42.41</v>
          </cell>
          <cell r="E74">
            <v>42.2</v>
          </cell>
          <cell r="F74">
            <v>0.015038</v>
          </cell>
          <cell r="G74">
            <v>0.015198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1.63069</v>
          </cell>
          <cell r="P74">
            <v>1.63324</v>
          </cell>
          <cell r="Q74">
            <v>1.63395</v>
          </cell>
          <cell r="R74">
            <v>1.63462</v>
          </cell>
          <cell r="S74">
            <v>1.63762</v>
          </cell>
          <cell r="T74">
            <v>1.63775</v>
          </cell>
          <cell r="U74">
            <v>1.64132</v>
          </cell>
          <cell r="V74">
            <v>1.64828</v>
          </cell>
          <cell r="W74">
            <v>1.64915</v>
          </cell>
          <cell r="X74">
            <v>1.6567</v>
          </cell>
          <cell r="Y74">
            <v>1.66385</v>
          </cell>
          <cell r="Z74">
            <v>1.67636</v>
          </cell>
          <cell r="AA74">
            <v>2.62115073</v>
          </cell>
          <cell r="AB74">
            <v>-0.0132041803</v>
          </cell>
          <cell r="AC74">
            <v>0.0215377322</v>
          </cell>
          <cell r="AD74">
            <v>0.00029732836</v>
          </cell>
          <cell r="AE74">
            <v>3.19312087e-5</v>
          </cell>
          <cell r="AF74">
            <v>-3.49692462e-7</v>
          </cell>
          <cell r="AG74">
            <v>0.299867021276598</v>
          </cell>
          <cell r="AH74">
            <v>0.237367021276587</v>
          </cell>
          <cell r="AI74">
            <v>0.559840425531923</v>
          </cell>
          <cell r="AJ74">
            <v>0.250000000000004</v>
          </cell>
          <cell r="AK74">
            <v>0.234868421052624</v>
          </cell>
          <cell r="AL74">
            <v>0.496710526315804</v>
          </cell>
          <cell r="AM74">
            <v>-0.0040237225531846</v>
          </cell>
          <cell r="AN74">
            <v>-0.0133165644680767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1</v>
          </cell>
          <cell r="CT74">
            <v>2</v>
          </cell>
          <cell r="CU74">
            <v>3</v>
          </cell>
          <cell r="CV74">
            <v>3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567</v>
          </cell>
          <cell r="DB74">
            <v>616</v>
          </cell>
          <cell r="DC74">
            <v>531</v>
          </cell>
          <cell r="DD74">
            <v>560</v>
          </cell>
          <cell r="DE74">
            <v>0</v>
          </cell>
          <cell r="DF74">
            <v>62</v>
          </cell>
          <cell r="DG74">
            <v>71</v>
          </cell>
          <cell r="DH74">
            <v>0</v>
          </cell>
          <cell r="DI74">
            <v>0</v>
          </cell>
          <cell r="DJ74">
            <v>0</v>
          </cell>
          <cell r="DK74">
            <v>548</v>
          </cell>
          <cell r="DL74">
            <v>127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 t="str">
            <v>370/320</v>
          </cell>
          <cell r="DR74">
            <v>0</v>
          </cell>
          <cell r="DS74">
            <v>0</v>
          </cell>
          <cell r="DT74">
            <v>2.92</v>
          </cell>
          <cell r="DU74">
            <v>0.827</v>
          </cell>
          <cell r="DV74">
            <v>0.925</v>
          </cell>
          <cell r="DW74">
            <v>0.972</v>
          </cell>
          <cell r="DX74">
            <v>0.982</v>
          </cell>
          <cell r="DY74">
            <v>0.996</v>
          </cell>
          <cell r="DZ74">
            <v>0.996</v>
          </cell>
          <cell r="EA74">
            <v>0.996</v>
          </cell>
          <cell r="EB74">
            <v>0.996</v>
          </cell>
          <cell r="EC74">
            <v>0.996</v>
          </cell>
          <cell r="ED74">
            <v>0.996</v>
          </cell>
          <cell r="EE74">
            <v>0.996</v>
          </cell>
          <cell r="EF74">
            <v>0.996</v>
          </cell>
          <cell r="EG74">
            <v>0.996</v>
          </cell>
          <cell r="EH74">
            <v>0.996</v>
          </cell>
          <cell r="EI74">
            <v>0.996</v>
          </cell>
          <cell r="EJ74">
            <v>0.996</v>
          </cell>
          <cell r="EK74">
            <v>0.996</v>
          </cell>
          <cell r="EL74">
            <v>0.996</v>
          </cell>
          <cell r="EM74">
            <v>0.996</v>
          </cell>
          <cell r="EN74">
            <v>0.993</v>
          </cell>
          <cell r="EO74">
            <v>0.99</v>
          </cell>
          <cell r="EP74">
            <v>0.987</v>
          </cell>
          <cell r="EQ74">
            <v>0.983</v>
          </cell>
          <cell r="ER74">
            <v>0.977</v>
          </cell>
          <cell r="ES74">
            <v>0.969</v>
          </cell>
          <cell r="ET74">
            <v>0.954</v>
          </cell>
          <cell r="EU74">
            <v>0.927</v>
          </cell>
          <cell r="EV74">
            <v>0.878</v>
          </cell>
          <cell r="EW74">
            <v>0.779</v>
          </cell>
          <cell r="EX74">
            <v>0.591</v>
          </cell>
          <cell r="EY74">
            <v>0.273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0.684</v>
          </cell>
          <cell r="FF74">
            <v>0.856</v>
          </cell>
          <cell r="FG74">
            <v>0.945</v>
          </cell>
          <cell r="FH74">
            <v>0.964</v>
          </cell>
          <cell r="FI74">
            <v>0.992</v>
          </cell>
          <cell r="FJ74">
            <v>0.992</v>
          </cell>
          <cell r="FK74">
            <v>0.992</v>
          </cell>
          <cell r="FL74">
            <v>0.992</v>
          </cell>
          <cell r="FM74">
            <v>0.992</v>
          </cell>
          <cell r="FN74">
            <v>0.992</v>
          </cell>
          <cell r="FO74">
            <v>0.992</v>
          </cell>
          <cell r="FP74">
            <v>0.992</v>
          </cell>
          <cell r="FQ74">
            <v>0.992</v>
          </cell>
          <cell r="FR74">
            <v>0.992</v>
          </cell>
          <cell r="FS74">
            <v>0.992</v>
          </cell>
          <cell r="FT74">
            <v>0.992</v>
          </cell>
          <cell r="FU74">
            <v>0.992</v>
          </cell>
          <cell r="FV74">
            <v>0.992</v>
          </cell>
          <cell r="FW74">
            <v>0.992</v>
          </cell>
          <cell r="FX74">
            <v>0.986</v>
          </cell>
          <cell r="FY74">
            <v>0.98</v>
          </cell>
          <cell r="FZ74">
            <v>0.974</v>
          </cell>
          <cell r="GA74">
            <v>0.966</v>
          </cell>
          <cell r="GB74">
            <v>0.955</v>
          </cell>
          <cell r="GC74">
            <v>0.939</v>
          </cell>
          <cell r="GD74">
            <v>0.91</v>
          </cell>
          <cell r="GE74">
            <v>0.859</v>
          </cell>
          <cell r="GF74">
            <v>0.771</v>
          </cell>
          <cell r="GG74">
            <v>0.607</v>
          </cell>
          <cell r="GH74">
            <v>0.349</v>
          </cell>
          <cell r="GI74">
            <v>0.075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</row>
        <row r="75">
          <cell r="B75" t="str">
            <v>H-ZBaF3</v>
          </cell>
          <cell r="C75">
            <v>657511</v>
          </cell>
          <cell r="D75">
            <v>51.12</v>
          </cell>
          <cell r="E75">
            <v>50.88</v>
          </cell>
          <cell r="F75">
            <v>0.01285</v>
          </cell>
          <cell r="G75">
            <v>0.01297</v>
          </cell>
          <cell r="H75">
            <v>1.62663</v>
          </cell>
          <cell r="I75">
            <v>1.63127</v>
          </cell>
          <cell r="J75">
            <v>1.63649</v>
          </cell>
          <cell r="K75">
            <v>1.64148</v>
          </cell>
          <cell r="L75">
            <v>1.64326</v>
          </cell>
          <cell r="M75">
            <v>1.64648</v>
          </cell>
          <cell r="N75">
            <v>1.64877</v>
          </cell>
          <cell r="O75">
            <v>1.65091</v>
          </cell>
          <cell r="P75">
            <v>1.65306</v>
          </cell>
          <cell r="Q75">
            <v>1.65368</v>
          </cell>
          <cell r="R75">
            <v>1.65424</v>
          </cell>
          <cell r="S75">
            <v>1.6568</v>
          </cell>
          <cell r="T75">
            <v>1.65691</v>
          </cell>
          <cell r="U75">
            <v>1.65996</v>
          </cell>
          <cell r="V75">
            <v>1.66591</v>
          </cell>
          <cell r="W75">
            <v>1.66665</v>
          </cell>
          <cell r="X75">
            <v>1.67306</v>
          </cell>
          <cell r="Y75">
            <v>1.67907</v>
          </cell>
          <cell r="Z75">
            <v>1.68947</v>
          </cell>
          <cell r="AA75">
            <v>2.69121166</v>
          </cell>
          <cell r="AB75">
            <v>-0.00900413519</v>
          </cell>
          <cell r="AC75">
            <v>0.0183609733</v>
          </cell>
          <cell r="AD75">
            <v>0.000531180896</v>
          </cell>
          <cell r="AE75">
            <v>-2.10926709e-5</v>
          </cell>
          <cell r="AF75">
            <v>1.72686254e-6</v>
          </cell>
          <cell r="AG75">
            <v>0.299610894941644</v>
          </cell>
          <cell r="AH75">
            <v>0.237354085603112</v>
          </cell>
          <cell r="AI75">
            <v>0.556420233463033</v>
          </cell>
          <cell r="AJ75">
            <v>0.249036237471094</v>
          </cell>
          <cell r="AK75">
            <v>0.235158057054743</v>
          </cell>
          <cell r="AL75">
            <v>0.494217424826528</v>
          </cell>
          <cell r="AM75">
            <v>0.00105325945524409</v>
          </cell>
          <cell r="AN75">
            <v>-0.00226944653696691</v>
          </cell>
          <cell r="AO75">
            <v>-0.0251816056031121</v>
          </cell>
          <cell r="AP75">
            <v>-0.0110257431906601</v>
          </cell>
          <cell r="AQ75">
            <v>2.3</v>
          </cell>
          <cell r="AR75">
            <v>2.2</v>
          </cell>
          <cell r="AS75">
            <v>2.2</v>
          </cell>
          <cell r="AT75">
            <v>2.2</v>
          </cell>
          <cell r="AU75">
            <v>2.3</v>
          </cell>
          <cell r="AV75">
            <v>2.4</v>
          </cell>
          <cell r="AW75">
            <v>2.8</v>
          </cell>
          <cell r="AX75">
            <v>2.8</v>
          </cell>
          <cell r="AY75">
            <v>2.8</v>
          </cell>
          <cell r="AZ75">
            <v>2.8</v>
          </cell>
          <cell r="BA75">
            <v>2.9</v>
          </cell>
          <cell r="BB75">
            <v>3.1</v>
          </cell>
          <cell r="BC75">
            <v>2.8</v>
          </cell>
          <cell r="BD75">
            <v>2.8</v>
          </cell>
          <cell r="BE75">
            <v>2.8</v>
          </cell>
          <cell r="BF75">
            <v>2.8</v>
          </cell>
          <cell r="BG75">
            <v>2.9</v>
          </cell>
          <cell r="BH75">
            <v>3.1</v>
          </cell>
          <cell r="BI75">
            <v>3</v>
          </cell>
          <cell r="BJ75">
            <v>3</v>
          </cell>
          <cell r="BK75">
            <v>3</v>
          </cell>
          <cell r="BL75">
            <v>3</v>
          </cell>
          <cell r="BM75">
            <v>3.1</v>
          </cell>
          <cell r="BN75">
            <v>3.3</v>
          </cell>
          <cell r="BO75">
            <v>3.2</v>
          </cell>
          <cell r="BP75">
            <v>3.2</v>
          </cell>
          <cell r="BQ75">
            <v>3.2</v>
          </cell>
          <cell r="BR75">
            <v>3.3</v>
          </cell>
          <cell r="BS75">
            <v>3.4</v>
          </cell>
          <cell r="BT75">
            <v>3.5</v>
          </cell>
          <cell r="BU75">
            <v>3.7</v>
          </cell>
          <cell r="BV75">
            <v>3.7</v>
          </cell>
          <cell r="BW75">
            <v>3.7</v>
          </cell>
          <cell r="BX75">
            <v>3.8</v>
          </cell>
          <cell r="BY75">
            <v>3.9</v>
          </cell>
          <cell r="BZ75">
            <v>4.1</v>
          </cell>
          <cell r="CA75">
            <v>4.2</v>
          </cell>
          <cell r="CB75">
            <v>4.2</v>
          </cell>
          <cell r="CC75">
            <v>4.3</v>
          </cell>
          <cell r="CD75">
            <v>4.3</v>
          </cell>
          <cell r="CE75">
            <v>4.4</v>
          </cell>
          <cell r="CF75">
            <v>4.7</v>
          </cell>
          <cell r="CG75">
            <v>0.6</v>
          </cell>
          <cell r="CH75">
            <v>0.9</v>
          </cell>
          <cell r="CI75">
            <v>1.2</v>
          </cell>
          <cell r="CJ75">
            <v>1.4</v>
          </cell>
          <cell r="CK75">
            <v>1.7</v>
          </cell>
          <cell r="CL75">
            <v>2</v>
          </cell>
          <cell r="CM75">
            <v>4.7e-7</v>
          </cell>
          <cell r="CN75">
            <v>9.98e-9</v>
          </cell>
          <cell r="CO75">
            <v>5.23e-12</v>
          </cell>
          <cell r="CP75">
            <v>7.54e-7</v>
          </cell>
          <cell r="CQ75">
            <v>9.865e-10</v>
          </cell>
          <cell r="CR75">
            <v>0.139</v>
          </cell>
          <cell r="CS75">
            <v>1</v>
          </cell>
          <cell r="CT75">
            <v>3</v>
          </cell>
          <cell r="CU75">
            <v>1</v>
          </cell>
          <cell r="CV75">
            <v>3</v>
          </cell>
          <cell r="CW75">
            <v>2</v>
          </cell>
          <cell r="CX75">
            <v>2</v>
          </cell>
          <cell r="CY75">
            <v>0</v>
          </cell>
          <cell r="CZ75">
            <v>0</v>
          </cell>
          <cell r="DA75">
            <v>637</v>
          </cell>
          <cell r="DB75">
            <v>689</v>
          </cell>
          <cell r="DC75">
            <v>590</v>
          </cell>
          <cell r="DD75">
            <v>631</v>
          </cell>
          <cell r="DE75">
            <v>74</v>
          </cell>
          <cell r="DF75">
            <v>0</v>
          </cell>
          <cell r="DG75">
            <v>88</v>
          </cell>
          <cell r="DH75">
            <v>0</v>
          </cell>
          <cell r="DI75">
            <v>105</v>
          </cell>
          <cell r="DJ75">
            <v>0</v>
          </cell>
          <cell r="DK75">
            <v>520</v>
          </cell>
          <cell r="DL75">
            <v>139</v>
          </cell>
          <cell r="DM75">
            <v>8859</v>
          </cell>
          <cell r="DN75">
            <v>3461</v>
          </cell>
          <cell r="DO75">
            <v>0.28</v>
          </cell>
          <cell r="DP75">
            <v>0</v>
          </cell>
          <cell r="DQ75" t="str">
            <v>375/335</v>
          </cell>
          <cell r="DR75">
            <v>361</v>
          </cell>
          <cell r="DS75">
            <v>330</v>
          </cell>
          <cell r="DT75">
            <v>3.89</v>
          </cell>
          <cell r="DU75">
            <v>0.938</v>
          </cell>
          <cell r="DV75">
            <v>0.973</v>
          </cell>
          <cell r="DW75">
            <v>0.99</v>
          </cell>
          <cell r="DX75">
            <v>0.999</v>
          </cell>
          <cell r="DY75">
            <v>0.999</v>
          </cell>
          <cell r="DZ75">
            <v>0.999</v>
          </cell>
          <cell r="EA75">
            <v>0.999</v>
          </cell>
          <cell r="EB75">
            <v>0.999</v>
          </cell>
          <cell r="EC75">
            <v>0.999</v>
          </cell>
          <cell r="ED75">
            <v>0.999</v>
          </cell>
          <cell r="EE75">
            <v>0.999</v>
          </cell>
          <cell r="EF75">
            <v>0.999</v>
          </cell>
          <cell r="EG75">
            <v>0.999</v>
          </cell>
          <cell r="EH75">
            <v>0.999</v>
          </cell>
          <cell r="EI75">
            <v>0.999</v>
          </cell>
          <cell r="EJ75">
            <v>0.999</v>
          </cell>
          <cell r="EK75">
            <v>0.999</v>
          </cell>
          <cell r="EL75">
            <v>0.999</v>
          </cell>
          <cell r="EM75">
            <v>0.999</v>
          </cell>
          <cell r="EN75">
            <v>0.999</v>
          </cell>
          <cell r="EO75">
            <v>0.999</v>
          </cell>
          <cell r="EP75">
            <v>0.997</v>
          </cell>
          <cell r="EQ75">
            <v>0.994</v>
          </cell>
          <cell r="ER75">
            <v>0.991</v>
          </cell>
          <cell r="ES75">
            <v>0.987</v>
          </cell>
          <cell r="ET75">
            <v>0.976</v>
          </cell>
          <cell r="EU75">
            <v>0.952</v>
          </cell>
          <cell r="EV75">
            <v>0.894</v>
          </cell>
          <cell r="EW75">
            <v>0.782</v>
          </cell>
          <cell r="EX75">
            <v>0.555</v>
          </cell>
          <cell r="EY75">
            <v>0.217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0.88</v>
          </cell>
          <cell r="FF75">
            <v>0.947</v>
          </cell>
          <cell r="FG75">
            <v>0.98</v>
          </cell>
          <cell r="FH75">
            <v>0.998</v>
          </cell>
          <cell r="FI75">
            <v>0.998</v>
          </cell>
          <cell r="FJ75">
            <v>0.998</v>
          </cell>
          <cell r="FK75">
            <v>0.998</v>
          </cell>
          <cell r="FL75">
            <v>0.998</v>
          </cell>
          <cell r="FM75">
            <v>0.998</v>
          </cell>
          <cell r="FN75">
            <v>0.998</v>
          </cell>
          <cell r="FO75">
            <v>0.998</v>
          </cell>
          <cell r="FP75">
            <v>0.998</v>
          </cell>
          <cell r="FQ75">
            <v>0.998</v>
          </cell>
          <cell r="FR75">
            <v>0.998</v>
          </cell>
          <cell r="FS75">
            <v>0.998</v>
          </cell>
          <cell r="FT75">
            <v>0.998</v>
          </cell>
          <cell r="FU75">
            <v>0.998</v>
          </cell>
          <cell r="FV75">
            <v>0.998</v>
          </cell>
          <cell r="FW75">
            <v>0.998</v>
          </cell>
          <cell r="FX75">
            <v>0.998</v>
          </cell>
          <cell r="FY75">
            <v>0.998</v>
          </cell>
          <cell r="FZ75">
            <v>0.994</v>
          </cell>
          <cell r="GA75">
            <v>0.988</v>
          </cell>
          <cell r="GB75">
            <v>0.981</v>
          </cell>
          <cell r="GC75">
            <v>0.968</v>
          </cell>
          <cell r="GD75">
            <v>0.945</v>
          </cell>
          <cell r="GE75">
            <v>0.899</v>
          </cell>
          <cell r="GF75">
            <v>0.798</v>
          </cell>
          <cell r="GG75">
            <v>0.611</v>
          </cell>
          <cell r="GH75">
            <v>0.308</v>
          </cell>
          <cell r="GI75">
            <v>0.05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</row>
        <row r="76">
          <cell r="B76" t="str">
            <v>H-ZBaF5</v>
          </cell>
          <cell r="C76">
            <v>671473</v>
          </cell>
          <cell r="D76">
            <v>47.29</v>
          </cell>
          <cell r="E76">
            <v>46.99</v>
          </cell>
          <cell r="F76">
            <v>0.01419</v>
          </cell>
          <cell r="G76">
            <v>0.014353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1.66441</v>
          </cell>
          <cell r="P76">
            <v>1.66679</v>
          </cell>
          <cell r="Q76">
            <v>1.66745</v>
          </cell>
          <cell r="R76">
            <v>1.66808</v>
          </cell>
          <cell r="S76">
            <v>1.6709</v>
          </cell>
          <cell r="T76">
            <v>1.67103</v>
          </cell>
          <cell r="U76">
            <v>1.6744</v>
          </cell>
          <cell r="V76">
            <v>1.68098</v>
          </cell>
          <cell r="W76">
            <v>1.68181</v>
          </cell>
          <cell r="X76">
            <v>1.68897</v>
          </cell>
          <cell r="Y76">
            <v>1.69576</v>
          </cell>
          <cell r="Z76">
            <v>1.70771</v>
          </cell>
          <cell r="AA76">
            <v>2.7300125</v>
          </cell>
          <cell r="AB76">
            <v>-0.00862342957</v>
          </cell>
          <cell r="AC76">
            <v>0.0217479143</v>
          </cell>
          <cell r="AD76">
            <v>0.000184221782</v>
          </cell>
          <cell r="AE76">
            <v>2.98785909e-5</v>
          </cell>
          <cell r="AF76">
            <v>3.68808076e-7</v>
          </cell>
          <cell r="AG76">
            <v>0.298801973220581</v>
          </cell>
          <cell r="AH76">
            <v>0.237491190979571</v>
          </cell>
          <cell r="AI76">
            <v>0.563072586328415</v>
          </cell>
          <cell r="AJ76">
            <v>0.249303621169912</v>
          </cell>
          <cell r="AK76">
            <v>0.234679665738169</v>
          </cell>
          <cell r="AL76">
            <v>0.498607242339839</v>
          </cell>
          <cell r="AM76">
            <v>-0.000389084200152021</v>
          </cell>
          <cell r="AN76">
            <v>-0.00197872367158512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1</v>
          </cell>
          <cell r="CT76">
            <v>3</v>
          </cell>
          <cell r="CU76">
            <v>1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583</v>
          </cell>
          <cell r="DB76">
            <v>652</v>
          </cell>
          <cell r="DC76">
            <v>540</v>
          </cell>
          <cell r="DD76">
            <v>580</v>
          </cell>
          <cell r="DE76">
            <v>0</v>
          </cell>
          <cell r="DF76">
            <v>73</v>
          </cell>
          <cell r="DG76">
            <v>94</v>
          </cell>
          <cell r="DH76">
            <v>0</v>
          </cell>
          <cell r="DI76">
            <v>0</v>
          </cell>
          <cell r="DJ76">
            <v>0</v>
          </cell>
          <cell r="DK76">
            <v>626</v>
          </cell>
          <cell r="DL76">
            <v>0</v>
          </cell>
          <cell r="DM76">
            <v>9696</v>
          </cell>
          <cell r="DN76">
            <v>3807</v>
          </cell>
          <cell r="DO76">
            <v>0.273</v>
          </cell>
          <cell r="DP76">
            <v>0</v>
          </cell>
          <cell r="DQ76" t="str">
            <v>380/340</v>
          </cell>
          <cell r="DR76">
            <v>0</v>
          </cell>
          <cell r="DS76">
            <v>0</v>
          </cell>
          <cell r="DT76">
            <v>3.58</v>
          </cell>
          <cell r="DU76">
            <v>0.943</v>
          </cell>
          <cell r="DV76">
            <v>0.971</v>
          </cell>
          <cell r="DW76">
            <v>0.986</v>
          </cell>
          <cell r="DX76">
            <v>0.992</v>
          </cell>
          <cell r="DY76">
            <v>0.998</v>
          </cell>
          <cell r="DZ76">
            <v>0.999</v>
          </cell>
          <cell r="EA76">
            <v>0.999</v>
          </cell>
          <cell r="EB76">
            <v>0.999</v>
          </cell>
          <cell r="EC76">
            <v>0.999</v>
          </cell>
          <cell r="ED76">
            <v>0.999</v>
          </cell>
          <cell r="EE76">
            <v>0.998</v>
          </cell>
          <cell r="EF76">
            <v>0.998</v>
          </cell>
          <cell r="EG76">
            <v>0.995</v>
          </cell>
          <cell r="EH76">
            <v>0.995</v>
          </cell>
          <cell r="EI76">
            <v>0.995</v>
          </cell>
          <cell r="EJ76">
            <v>0.995</v>
          </cell>
          <cell r="EK76">
            <v>0.994</v>
          </cell>
          <cell r="EL76">
            <v>0.994</v>
          </cell>
          <cell r="EM76">
            <v>0.992</v>
          </cell>
          <cell r="EN76">
            <v>0.991</v>
          </cell>
          <cell r="EO76">
            <v>0.99</v>
          </cell>
          <cell r="EP76">
            <v>0.988</v>
          </cell>
          <cell r="EQ76">
            <v>0.985</v>
          </cell>
          <cell r="ER76">
            <v>0.976</v>
          </cell>
          <cell r="ES76">
            <v>0.964</v>
          </cell>
          <cell r="ET76">
            <v>0.941</v>
          </cell>
          <cell r="EU76">
            <v>0.89</v>
          </cell>
          <cell r="EV76">
            <v>0.79</v>
          </cell>
          <cell r="EW76">
            <v>0.58</v>
          </cell>
          <cell r="EX76">
            <v>0.23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0.889</v>
          </cell>
          <cell r="FF76">
            <v>0.942</v>
          </cell>
          <cell r="FG76">
            <v>0.972</v>
          </cell>
          <cell r="FH76">
            <v>0.984</v>
          </cell>
          <cell r="FI76">
            <v>0.997</v>
          </cell>
          <cell r="FJ76">
            <v>0.998</v>
          </cell>
          <cell r="FK76">
            <v>0.998</v>
          </cell>
          <cell r="FL76">
            <v>0.998</v>
          </cell>
          <cell r="FM76">
            <v>0.998</v>
          </cell>
          <cell r="FN76">
            <v>0.998</v>
          </cell>
          <cell r="FO76">
            <v>0.997</v>
          </cell>
          <cell r="FP76">
            <v>0.996</v>
          </cell>
          <cell r="FQ76">
            <v>0.991</v>
          </cell>
          <cell r="FR76">
            <v>0.991</v>
          </cell>
          <cell r="FS76">
            <v>0.99</v>
          </cell>
          <cell r="FT76">
            <v>0.99</v>
          </cell>
          <cell r="FU76">
            <v>0.989</v>
          </cell>
          <cell r="FV76">
            <v>0.989</v>
          </cell>
          <cell r="FW76">
            <v>0.985</v>
          </cell>
          <cell r="FX76">
            <v>0.983</v>
          </cell>
          <cell r="FY76">
            <v>0.98</v>
          </cell>
          <cell r="FZ76">
            <v>0.976</v>
          </cell>
          <cell r="GA76">
            <v>0.971</v>
          </cell>
          <cell r="GB76">
            <v>0.953</v>
          </cell>
          <cell r="GC76">
            <v>0.93</v>
          </cell>
          <cell r="GD76">
            <v>0.886</v>
          </cell>
          <cell r="GE76">
            <v>0.8</v>
          </cell>
          <cell r="GF76">
            <v>0.63</v>
          </cell>
          <cell r="GG76">
            <v>0.34</v>
          </cell>
          <cell r="GH76">
            <v>0.06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</row>
        <row r="77">
          <cell r="B77" t="str">
            <v>H-ZBaF10</v>
          </cell>
          <cell r="C77">
            <v>618498</v>
          </cell>
          <cell r="D77">
            <v>49.83</v>
          </cell>
          <cell r="E77">
            <v>49.54</v>
          </cell>
          <cell r="F77">
            <v>0.012397</v>
          </cell>
          <cell r="G77">
            <v>0.012529</v>
          </cell>
          <cell r="H77">
            <v>1.5864</v>
          </cell>
          <cell r="I77">
            <v>1.59159</v>
          </cell>
          <cell r="J77">
            <v>1.59734</v>
          </cell>
          <cell r="K77">
            <v>1.60261</v>
          </cell>
          <cell r="L77">
            <v>1.60441</v>
          </cell>
          <cell r="M77">
            <v>1.60761</v>
          </cell>
          <cell r="N77">
            <v>1.60985</v>
          </cell>
          <cell r="O77">
            <v>1.61192</v>
          </cell>
          <cell r="P77">
            <v>1.61401</v>
          </cell>
          <cell r="Q77">
            <v>1.6146</v>
          </cell>
          <cell r="R77">
            <v>1.61515</v>
          </cell>
          <cell r="S77">
            <v>1.61762</v>
          </cell>
          <cell r="T77">
            <v>1.61773</v>
          </cell>
          <cell r="U77">
            <v>1.62068</v>
          </cell>
          <cell r="V77">
            <v>1.62641</v>
          </cell>
          <cell r="W77">
            <v>1.62713</v>
          </cell>
          <cell r="X77">
            <v>1.63335</v>
          </cell>
          <cell r="Y77">
            <v>1.63923</v>
          </cell>
          <cell r="Z77">
            <v>1.64953</v>
          </cell>
          <cell r="AA77">
            <v>2.56767884</v>
          </cell>
          <cell r="AB77">
            <v>-0.0100060261</v>
          </cell>
          <cell r="AC77">
            <v>0.0166107744</v>
          </cell>
          <cell r="AD77">
            <v>0.000651052393</v>
          </cell>
          <cell r="AE77">
            <v>-4.11297812e-5</v>
          </cell>
          <cell r="AF77">
            <v>3.35427062e-6</v>
          </cell>
          <cell r="AG77">
            <v>0.299999999999996</v>
          </cell>
          <cell r="AH77">
            <v>0.237903225806453</v>
          </cell>
          <cell r="AI77">
            <v>0.559677419354854</v>
          </cell>
          <cell r="AJ77">
            <v>0.249800478850748</v>
          </cell>
          <cell r="AK77">
            <v>0.235434956105349</v>
          </cell>
          <cell r="AL77">
            <v>0.496408619313659</v>
          </cell>
          <cell r="AM77">
            <v>-0.000597065806449363</v>
          </cell>
          <cell r="AN77">
            <v>-0.00115495064514613</v>
          </cell>
          <cell r="AO77">
            <v>-0.00738263161289693</v>
          </cell>
          <cell r="AP77">
            <v>-0.00386296774193713</v>
          </cell>
          <cell r="AQ77">
            <v>2.1</v>
          </cell>
          <cell r="AR77">
            <v>2.1</v>
          </cell>
          <cell r="AS77">
            <v>2.1</v>
          </cell>
          <cell r="AT77">
            <v>2.1</v>
          </cell>
          <cell r="AU77">
            <v>2.2</v>
          </cell>
          <cell r="AV77">
            <v>2.3</v>
          </cell>
          <cell r="AW77">
            <v>2.5</v>
          </cell>
          <cell r="AX77">
            <v>2.6</v>
          </cell>
          <cell r="AY77">
            <v>2.6</v>
          </cell>
          <cell r="AZ77">
            <v>2.6</v>
          </cell>
          <cell r="BA77">
            <v>2.7</v>
          </cell>
          <cell r="BB77">
            <v>2.9</v>
          </cell>
          <cell r="BC77">
            <v>2.6</v>
          </cell>
          <cell r="BD77">
            <v>2.6</v>
          </cell>
          <cell r="BE77">
            <v>2.6</v>
          </cell>
          <cell r="BF77">
            <v>2.7</v>
          </cell>
          <cell r="BG77">
            <v>2.7</v>
          </cell>
          <cell r="BH77">
            <v>2.9</v>
          </cell>
          <cell r="BI77">
            <v>2.7</v>
          </cell>
          <cell r="BJ77">
            <v>2.7</v>
          </cell>
          <cell r="BK77">
            <v>2.8</v>
          </cell>
          <cell r="BL77">
            <v>2.8</v>
          </cell>
          <cell r="BM77">
            <v>2.9</v>
          </cell>
          <cell r="BN77">
            <v>3.1</v>
          </cell>
          <cell r="BO77">
            <v>2.9</v>
          </cell>
          <cell r="BP77">
            <v>2.9</v>
          </cell>
          <cell r="BQ77">
            <v>3</v>
          </cell>
          <cell r="BR77">
            <v>3</v>
          </cell>
          <cell r="BS77">
            <v>3.1</v>
          </cell>
          <cell r="BT77">
            <v>3.3</v>
          </cell>
          <cell r="BU77">
            <v>3.3</v>
          </cell>
          <cell r="BV77">
            <v>3.4</v>
          </cell>
          <cell r="BW77">
            <v>3.5</v>
          </cell>
          <cell r="BX77">
            <v>3.5</v>
          </cell>
          <cell r="BY77">
            <v>3.6</v>
          </cell>
          <cell r="BZ77">
            <v>3.8</v>
          </cell>
          <cell r="CA77">
            <v>3.8</v>
          </cell>
          <cell r="CB77">
            <v>3.9</v>
          </cell>
          <cell r="CC77">
            <v>3.9</v>
          </cell>
          <cell r="CD77">
            <v>4</v>
          </cell>
          <cell r="CE77">
            <v>4.2</v>
          </cell>
          <cell r="CF77">
            <v>4.4</v>
          </cell>
          <cell r="CG77">
            <v>0.4</v>
          </cell>
          <cell r="CH77">
            <v>0.7</v>
          </cell>
          <cell r="CI77">
            <v>1</v>
          </cell>
          <cell r="CJ77">
            <v>1.3</v>
          </cell>
          <cell r="CK77">
            <v>1.5</v>
          </cell>
          <cell r="CL77">
            <v>1.8</v>
          </cell>
          <cell r="CM77">
            <v>7.6e-7</v>
          </cell>
          <cell r="CN77">
            <v>1.227e-8</v>
          </cell>
          <cell r="CO77">
            <v>1.43e-12</v>
          </cell>
          <cell r="CP77">
            <v>4.93e-7</v>
          </cell>
          <cell r="CQ77">
            <v>6.733e-10</v>
          </cell>
          <cell r="CR77">
            <v>0.255</v>
          </cell>
          <cell r="CS77">
            <v>1</v>
          </cell>
          <cell r="CT77">
            <v>1</v>
          </cell>
          <cell r="CU77">
            <v>1</v>
          </cell>
          <cell r="CV77">
            <v>2</v>
          </cell>
          <cell r="CW77">
            <v>2</v>
          </cell>
          <cell r="CX77">
            <v>1</v>
          </cell>
          <cell r="CY77">
            <v>0</v>
          </cell>
          <cell r="CZ77">
            <v>0</v>
          </cell>
          <cell r="DA77">
            <v>607</v>
          </cell>
          <cell r="DB77">
            <v>673</v>
          </cell>
          <cell r="DC77">
            <v>548</v>
          </cell>
          <cell r="DD77">
            <v>590</v>
          </cell>
          <cell r="DE77">
            <v>72</v>
          </cell>
          <cell r="DF77">
            <v>0</v>
          </cell>
          <cell r="DG77">
            <v>86</v>
          </cell>
          <cell r="DH77">
            <v>0</v>
          </cell>
          <cell r="DI77">
            <v>136</v>
          </cell>
          <cell r="DJ77">
            <v>0</v>
          </cell>
          <cell r="DK77">
            <v>539</v>
          </cell>
          <cell r="DL77">
            <v>142</v>
          </cell>
          <cell r="DM77">
            <v>8211</v>
          </cell>
          <cell r="DN77">
            <v>3284</v>
          </cell>
          <cell r="DO77">
            <v>0.25</v>
          </cell>
          <cell r="DP77">
            <v>0</v>
          </cell>
          <cell r="DQ77" t="str">
            <v>385/345</v>
          </cell>
          <cell r="DR77">
            <v>0</v>
          </cell>
          <cell r="DS77">
            <v>0</v>
          </cell>
          <cell r="DT77">
            <v>3.16</v>
          </cell>
          <cell r="DU77">
            <v>0.918</v>
          </cell>
          <cell r="DV77">
            <v>0.952</v>
          </cell>
          <cell r="DW77">
            <v>0.982</v>
          </cell>
          <cell r="DX77">
            <v>0.992</v>
          </cell>
          <cell r="DY77">
            <v>0.999</v>
          </cell>
          <cell r="DZ77">
            <v>0.999</v>
          </cell>
          <cell r="EA77">
            <v>0.999</v>
          </cell>
          <cell r="EB77">
            <v>0.999</v>
          </cell>
          <cell r="EC77">
            <v>0.999</v>
          </cell>
          <cell r="ED77">
            <v>0.999</v>
          </cell>
          <cell r="EE77">
            <v>0.999</v>
          </cell>
          <cell r="EF77">
            <v>0.999</v>
          </cell>
          <cell r="EG77">
            <v>0.999</v>
          </cell>
          <cell r="EH77">
            <v>0.999</v>
          </cell>
          <cell r="EI77">
            <v>0.999</v>
          </cell>
          <cell r="EJ77">
            <v>0.999</v>
          </cell>
          <cell r="EK77">
            <v>0.999</v>
          </cell>
          <cell r="EL77">
            <v>0.999</v>
          </cell>
          <cell r="EM77">
            <v>0.999</v>
          </cell>
          <cell r="EN77">
            <v>0.997</v>
          </cell>
          <cell r="EO77">
            <v>0.995</v>
          </cell>
          <cell r="EP77">
            <v>0.993</v>
          </cell>
          <cell r="EQ77">
            <v>0.99</v>
          </cell>
          <cell r="ER77">
            <v>0.984</v>
          </cell>
          <cell r="ES77">
            <v>0.972</v>
          </cell>
          <cell r="ET77">
            <v>0.944</v>
          </cell>
          <cell r="EU77">
            <v>0.892</v>
          </cell>
          <cell r="EV77">
            <v>0.77</v>
          </cell>
          <cell r="EW77">
            <v>0.518</v>
          </cell>
          <cell r="EX77">
            <v>0.167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0.844</v>
          </cell>
          <cell r="FF77">
            <v>0.908</v>
          </cell>
          <cell r="FG77">
            <v>0.965</v>
          </cell>
          <cell r="FH77">
            <v>0.984</v>
          </cell>
          <cell r="FI77">
            <v>0.998</v>
          </cell>
          <cell r="FJ77">
            <v>0.998</v>
          </cell>
          <cell r="FK77">
            <v>0.998</v>
          </cell>
          <cell r="FL77">
            <v>0.998</v>
          </cell>
          <cell r="FM77">
            <v>0.998</v>
          </cell>
          <cell r="FN77">
            <v>0.998</v>
          </cell>
          <cell r="FO77">
            <v>0.998</v>
          </cell>
          <cell r="FP77">
            <v>0.998</v>
          </cell>
          <cell r="FQ77">
            <v>0.998</v>
          </cell>
          <cell r="FR77">
            <v>0.998</v>
          </cell>
          <cell r="FS77">
            <v>0.998</v>
          </cell>
          <cell r="FT77">
            <v>0.998</v>
          </cell>
          <cell r="FU77">
            <v>0.998</v>
          </cell>
          <cell r="FV77">
            <v>0.998</v>
          </cell>
          <cell r="FW77">
            <v>0.998</v>
          </cell>
          <cell r="FX77">
            <v>0.994</v>
          </cell>
          <cell r="FY77">
            <v>0.992</v>
          </cell>
          <cell r="FZ77">
            <v>0.988</v>
          </cell>
          <cell r="GA77">
            <v>0.982</v>
          </cell>
          <cell r="GB77">
            <v>0.97</v>
          </cell>
          <cell r="GC77">
            <v>0.947</v>
          </cell>
          <cell r="GD77">
            <v>0.893</v>
          </cell>
          <cell r="GE77">
            <v>0.8</v>
          </cell>
          <cell r="GF77">
            <v>0.597</v>
          </cell>
          <cell r="GG77">
            <v>0.273</v>
          </cell>
          <cell r="GH77">
            <v>0.038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</row>
        <row r="78">
          <cell r="B78" t="str">
            <v>H-ZBaF16</v>
          </cell>
          <cell r="C78">
            <v>667484</v>
          </cell>
          <cell r="D78">
            <v>48.42</v>
          </cell>
          <cell r="E78">
            <v>48.13</v>
          </cell>
          <cell r="F78">
            <v>0.013769</v>
          </cell>
          <cell r="G78">
            <v>0.01392</v>
          </cell>
          <cell r="H78">
            <v>1.63548</v>
          </cell>
          <cell r="I78">
            <v>1.64006</v>
          </cell>
          <cell r="J78">
            <v>1.64527</v>
          </cell>
          <cell r="K78">
            <v>1.65037</v>
          </cell>
          <cell r="L78">
            <v>1.65221</v>
          </cell>
          <cell r="M78">
            <v>1.65561</v>
          </cell>
          <cell r="N78">
            <v>1.65803</v>
          </cell>
          <cell r="O78">
            <v>1.6603</v>
          </cell>
          <cell r="P78">
            <v>1.6626</v>
          </cell>
          <cell r="Q78">
            <v>1.66325</v>
          </cell>
          <cell r="R78">
            <v>1.66386</v>
          </cell>
          <cell r="S78">
            <v>1.6666</v>
          </cell>
          <cell r="T78">
            <v>1.66672</v>
          </cell>
          <cell r="U78">
            <v>1.67</v>
          </cell>
          <cell r="V78">
            <v>1.67637</v>
          </cell>
          <cell r="W78">
            <v>1.67717</v>
          </cell>
          <cell r="X78">
            <v>1.68412</v>
          </cell>
          <cell r="Y78">
            <v>1.69065</v>
          </cell>
          <cell r="Z78">
            <v>1.70204</v>
          </cell>
          <cell r="AA78">
            <v>2.7189518</v>
          </cell>
          <cell r="AB78">
            <v>-0.00885402223</v>
          </cell>
          <cell r="AC78">
            <v>0.0200773116</v>
          </cell>
          <cell r="AD78">
            <v>0.000462134195</v>
          </cell>
          <cell r="AE78">
            <v>-2.90064565e-6</v>
          </cell>
          <cell r="AF78">
            <v>1.15588784e-6</v>
          </cell>
          <cell r="AG78">
            <v>0.299201161946256</v>
          </cell>
          <cell r="AH78">
            <v>0.238198983297022</v>
          </cell>
          <cell r="AI78">
            <v>0.562817719680482</v>
          </cell>
          <cell r="AJ78">
            <v>0.249281609195406</v>
          </cell>
          <cell r="AK78">
            <v>0.23563218390804</v>
          </cell>
          <cell r="AL78">
            <v>0.499281609195398</v>
          </cell>
          <cell r="AM78">
            <v>-0.00087230524327803</v>
          </cell>
          <cell r="AN78">
            <v>-0.000356660319517949</v>
          </cell>
          <cell r="AO78">
            <v>-0.0202044674219141</v>
          </cell>
          <cell r="AP78">
            <v>-0.00898272766883558</v>
          </cell>
          <cell r="AQ78">
            <v>3.5</v>
          </cell>
          <cell r="AR78">
            <v>3.4</v>
          </cell>
          <cell r="AS78">
            <v>3.4</v>
          </cell>
          <cell r="AT78">
            <v>3.3</v>
          </cell>
          <cell r="AU78">
            <v>3.3</v>
          </cell>
          <cell r="AV78">
            <v>3.4</v>
          </cell>
          <cell r="AW78">
            <v>4.1</v>
          </cell>
          <cell r="AX78">
            <v>4.1</v>
          </cell>
          <cell r="AY78">
            <v>4.1</v>
          </cell>
          <cell r="AZ78">
            <v>4</v>
          </cell>
          <cell r="BA78">
            <v>4.1</v>
          </cell>
          <cell r="BB78">
            <v>4.2</v>
          </cell>
          <cell r="BC78">
            <v>4.1</v>
          </cell>
          <cell r="BD78">
            <v>4.1</v>
          </cell>
          <cell r="BE78">
            <v>4.1</v>
          </cell>
          <cell r="BF78">
            <v>4.1</v>
          </cell>
          <cell r="BG78">
            <v>4.1</v>
          </cell>
          <cell r="BH78">
            <v>4.2</v>
          </cell>
          <cell r="BI78">
            <v>4.3</v>
          </cell>
          <cell r="BJ78">
            <v>4.3</v>
          </cell>
          <cell r="BK78">
            <v>4.3</v>
          </cell>
          <cell r="BL78">
            <v>4.3</v>
          </cell>
          <cell r="BM78">
            <v>4.3</v>
          </cell>
          <cell r="BN78">
            <v>4.5</v>
          </cell>
          <cell r="BO78">
            <v>4.5</v>
          </cell>
          <cell r="BP78">
            <v>4.6</v>
          </cell>
          <cell r="BQ78">
            <v>4.6</v>
          </cell>
          <cell r="BR78">
            <v>4.5</v>
          </cell>
          <cell r="BS78">
            <v>4.6</v>
          </cell>
          <cell r="BT78">
            <v>4.8</v>
          </cell>
          <cell r="BU78">
            <v>5.1</v>
          </cell>
          <cell r="BV78">
            <v>5.1</v>
          </cell>
          <cell r="BW78">
            <v>5.1</v>
          </cell>
          <cell r="BX78">
            <v>5.1</v>
          </cell>
          <cell r="BY78">
            <v>5.2</v>
          </cell>
          <cell r="BZ78">
            <v>5.4</v>
          </cell>
          <cell r="CA78">
            <v>5.6</v>
          </cell>
          <cell r="CB78">
            <v>5.7</v>
          </cell>
          <cell r="CC78">
            <v>5.7</v>
          </cell>
          <cell r="CD78">
            <v>5.8</v>
          </cell>
          <cell r="CE78">
            <v>5.9</v>
          </cell>
          <cell r="CF78">
            <v>6.1</v>
          </cell>
          <cell r="CG78">
            <v>1.9</v>
          </cell>
          <cell r="CH78">
            <v>2.2</v>
          </cell>
          <cell r="CI78">
            <v>2.4</v>
          </cell>
          <cell r="CJ78">
            <v>2.6</v>
          </cell>
          <cell r="CK78">
            <v>2.8</v>
          </cell>
          <cell r="CL78">
            <v>3.1</v>
          </cell>
          <cell r="CM78">
            <v>2.73e-6</v>
          </cell>
          <cell r="CN78">
            <v>1.009e-8</v>
          </cell>
          <cell r="CO78">
            <v>-6.45e-12</v>
          </cell>
          <cell r="CP78">
            <v>7.1e-7</v>
          </cell>
          <cell r="CQ78">
            <v>6.497e-10</v>
          </cell>
          <cell r="CR78">
            <v>0.209</v>
          </cell>
          <cell r="CS78">
            <v>1</v>
          </cell>
          <cell r="CT78">
            <v>1</v>
          </cell>
          <cell r="CU78">
            <v>1</v>
          </cell>
          <cell r="CV78">
            <v>3</v>
          </cell>
          <cell r="CW78">
            <v>2</v>
          </cell>
          <cell r="CX78">
            <v>1</v>
          </cell>
          <cell r="CY78">
            <v>0</v>
          </cell>
          <cell r="CZ78">
            <v>0</v>
          </cell>
          <cell r="DA78">
            <v>564</v>
          </cell>
          <cell r="DB78">
            <v>626</v>
          </cell>
          <cell r="DC78">
            <v>516</v>
          </cell>
          <cell r="DD78">
            <v>545</v>
          </cell>
          <cell r="DE78">
            <v>74</v>
          </cell>
          <cell r="DF78">
            <v>0</v>
          </cell>
          <cell r="DG78">
            <v>93</v>
          </cell>
          <cell r="DH78">
            <v>0</v>
          </cell>
          <cell r="DI78">
            <v>80</v>
          </cell>
          <cell r="DJ78">
            <v>0</v>
          </cell>
          <cell r="DK78">
            <v>555</v>
          </cell>
          <cell r="DL78">
            <v>153</v>
          </cell>
          <cell r="DM78">
            <v>7648</v>
          </cell>
          <cell r="DN78">
            <v>3000</v>
          </cell>
          <cell r="DO78">
            <v>0.275</v>
          </cell>
          <cell r="DP78">
            <v>0</v>
          </cell>
          <cell r="DQ78" t="str">
            <v>370/330</v>
          </cell>
          <cell r="DR78">
            <v>0</v>
          </cell>
          <cell r="DS78">
            <v>0</v>
          </cell>
          <cell r="DT78">
            <v>3.67</v>
          </cell>
          <cell r="DU78">
            <v>0.924</v>
          </cell>
          <cell r="DV78">
            <v>0.959</v>
          </cell>
          <cell r="DW78">
            <v>0.98</v>
          </cell>
          <cell r="DX78">
            <v>0.988</v>
          </cell>
          <cell r="DY78">
            <v>0.999</v>
          </cell>
          <cell r="DZ78">
            <v>0.999</v>
          </cell>
          <cell r="EA78">
            <v>0.999</v>
          </cell>
          <cell r="EB78">
            <v>0.999</v>
          </cell>
          <cell r="EC78">
            <v>0.999</v>
          </cell>
          <cell r="ED78">
            <v>0.999</v>
          </cell>
          <cell r="EE78">
            <v>0.999</v>
          </cell>
          <cell r="EF78">
            <v>0.999</v>
          </cell>
          <cell r="EG78">
            <v>0.999</v>
          </cell>
          <cell r="EH78">
            <v>0.999</v>
          </cell>
          <cell r="EI78">
            <v>0.999</v>
          </cell>
          <cell r="EJ78">
            <v>0.999</v>
          </cell>
          <cell r="EK78">
            <v>0.999</v>
          </cell>
          <cell r="EL78">
            <v>0.999</v>
          </cell>
          <cell r="EM78">
            <v>0.999</v>
          </cell>
          <cell r="EN78">
            <v>0.999</v>
          </cell>
          <cell r="EO78">
            <v>0.999</v>
          </cell>
          <cell r="EP78">
            <v>0.996</v>
          </cell>
          <cell r="EQ78">
            <v>0.993</v>
          </cell>
          <cell r="ER78">
            <v>0.987</v>
          </cell>
          <cell r="ES78">
            <v>0.979</v>
          </cell>
          <cell r="ET78">
            <v>0.963</v>
          </cell>
          <cell r="EU78">
            <v>0.931</v>
          </cell>
          <cell r="EV78">
            <v>0.858</v>
          </cell>
          <cell r="EW78">
            <v>0.71</v>
          </cell>
          <cell r="EX78">
            <v>0.44</v>
          </cell>
          <cell r="EY78">
            <v>0.148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0.87</v>
          </cell>
          <cell r="FF78">
            <v>0.935</v>
          </cell>
          <cell r="FG78">
            <v>0.97</v>
          </cell>
          <cell r="FH78">
            <v>0.982</v>
          </cell>
          <cell r="FI78">
            <v>0.998</v>
          </cell>
          <cell r="FJ78">
            <v>0.998</v>
          </cell>
          <cell r="FK78">
            <v>0.998</v>
          </cell>
          <cell r="FL78">
            <v>0.998</v>
          </cell>
          <cell r="FM78">
            <v>0.998</v>
          </cell>
          <cell r="FN78">
            <v>0.998</v>
          </cell>
          <cell r="FO78">
            <v>0.998</v>
          </cell>
          <cell r="FP78">
            <v>0.998</v>
          </cell>
          <cell r="FQ78">
            <v>0.998</v>
          </cell>
          <cell r="FR78">
            <v>0.998</v>
          </cell>
          <cell r="FS78">
            <v>0.998</v>
          </cell>
          <cell r="FT78">
            <v>0.998</v>
          </cell>
          <cell r="FU78">
            <v>0.998</v>
          </cell>
          <cell r="FV78">
            <v>0.998</v>
          </cell>
          <cell r="FW78">
            <v>0.998</v>
          </cell>
          <cell r="FX78">
            <v>0.998</v>
          </cell>
          <cell r="FY78">
            <v>0.994</v>
          </cell>
          <cell r="FZ78">
            <v>0.99</v>
          </cell>
          <cell r="GA78">
            <v>0.985</v>
          </cell>
          <cell r="GB78">
            <v>0.975</v>
          </cell>
          <cell r="GC78">
            <v>0.959</v>
          </cell>
          <cell r="GD78">
            <v>0.925</v>
          </cell>
          <cell r="GE78">
            <v>0.854</v>
          </cell>
          <cell r="GF78">
            <v>0.724</v>
          </cell>
          <cell r="GG78">
            <v>0.486</v>
          </cell>
          <cell r="GH78">
            <v>0.177</v>
          </cell>
          <cell r="GI78">
            <v>0.023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</row>
        <row r="79">
          <cell r="B79" t="str">
            <v>H-ZBaF20</v>
          </cell>
          <cell r="C79">
            <v>702412</v>
          </cell>
          <cell r="D79">
            <v>41.15</v>
          </cell>
          <cell r="E79">
            <v>40.86</v>
          </cell>
          <cell r="F79">
            <v>0.017049</v>
          </cell>
          <cell r="G79">
            <v>0.01727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1.69372</v>
          </cell>
          <cell r="P79">
            <v>1.69651</v>
          </cell>
          <cell r="Q79">
            <v>1.6973</v>
          </cell>
          <cell r="R79">
            <v>1.69804</v>
          </cell>
          <cell r="S79">
            <v>1.70139</v>
          </cell>
          <cell r="T79">
            <v>1.70154</v>
          </cell>
          <cell r="U79">
            <v>1.70559</v>
          </cell>
          <cell r="V79">
            <v>1.71356</v>
          </cell>
          <cell r="W79">
            <v>1.71457</v>
          </cell>
          <cell r="X79">
            <v>1.72339</v>
          </cell>
          <cell r="Y79">
            <v>1.73189</v>
          </cell>
          <cell r="Z79">
            <v>1.74719</v>
          </cell>
          <cell r="AA79">
            <v>2.81669473</v>
          </cell>
          <cell r="AB79">
            <v>-0.0061159107</v>
          </cell>
          <cell r="AC79">
            <v>0.0270206971</v>
          </cell>
          <cell r="AD79">
            <v>0.000107241344</v>
          </cell>
          <cell r="AE79">
            <v>5.8540811e-5</v>
          </cell>
          <cell r="AF79">
            <v>1.00740939e-6</v>
          </cell>
          <cell r="AG79">
            <v>0.295014662756603</v>
          </cell>
          <cell r="AH79">
            <v>0.237536656891489</v>
          </cell>
          <cell r="AI79">
            <v>0.576539589442815</v>
          </cell>
          <cell r="AJ79">
            <v>0.245512449334108</v>
          </cell>
          <cell r="AK79">
            <v>0.234510712217713</v>
          </cell>
          <cell r="AL79">
            <v>0.510712217718593</v>
          </cell>
          <cell r="AM79">
            <v>-3.65196480922418e-5</v>
          </cell>
          <cell r="AN79">
            <v>0.0012897394428153</v>
          </cell>
          <cell r="AO79">
            <v>98.7625398859237</v>
          </cell>
          <cell r="AP79">
            <v>99.0028927859237</v>
          </cell>
          <cell r="AQ79">
            <v>2.7</v>
          </cell>
          <cell r="AR79">
            <v>2.9</v>
          </cell>
          <cell r="AS79">
            <v>3.6</v>
          </cell>
          <cell r="AT79">
            <v>4</v>
          </cell>
          <cell r="AU79">
            <v>4.3</v>
          </cell>
          <cell r="AV79">
            <v>4.5</v>
          </cell>
          <cell r="AW79">
            <v>3.9</v>
          </cell>
          <cell r="AX79">
            <v>4.1</v>
          </cell>
          <cell r="AY79">
            <v>4.3</v>
          </cell>
          <cell r="AZ79">
            <v>4.7</v>
          </cell>
          <cell r="BA79">
            <v>4.6</v>
          </cell>
          <cell r="BB79">
            <v>4.8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5</v>
          </cell>
          <cell r="BP79">
            <v>4.8</v>
          </cell>
          <cell r="BQ79">
            <v>4.9</v>
          </cell>
          <cell r="BR79">
            <v>5</v>
          </cell>
          <cell r="BS79">
            <v>5.3</v>
          </cell>
          <cell r="BT79">
            <v>5.3</v>
          </cell>
          <cell r="BU79">
            <v>5.7</v>
          </cell>
          <cell r="BV79">
            <v>5.6</v>
          </cell>
          <cell r="BW79">
            <v>5.5</v>
          </cell>
          <cell r="BX79">
            <v>5.8</v>
          </cell>
          <cell r="BY79">
            <v>6</v>
          </cell>
          <cell r="BZ79">
            <v>6.6</v>
          </cell>
          <cell r="CA79">
            <v>6.3</v>
          </cell>
          <cell r="CB79">
            <v>6.2</v>
          </cell>
          <cell r="CC79">
            <v>6.2</v>
          </cell>
          <cell r="CD79">
            <v>6.9</v>
          </cell>
          <cell r="CE79">
            <v>7.1</v>
          </cell>
          <cell r="CF79">
            <v>7.8</v>
          </cell>
          <cell r="CG79">
            <v>1.73226248647237</v>
          </cell>
          <cell r="CH79">
            <v>2.20496194158726</v>
          </cell>
          <cell r="CI79">
            <v>2.66660119499875</v>
          </cell>
          <cell r="CJ79">
            <v>3.11718024670684</v>
          </cell>
          <cell r="CK79">
            <v>3.55669909671154</v>
          </cell>
          <cell r="CL79">
            <v>3.98515774501284</v>
          </cell>
          <cell r="CM79">
            <v>3.06e-6</v>
          </cell>
          <cell r="CN79">
            <v>2.07e-8</v>
          </cell>
          <cell r="CO79">
            <v>-8.31e-12</v>
          </cell>
          <cell r="CP79">
            <v>7.29e-7</v>
          </cell>
          <cell r="CQ79">
            <v>-1.31e-10</v>
          </cell>
          <cell r="CR79">
            <v>0.25</v>
          </cell>
          <cell r="CS79">
            <v>1</v>
          </cell>
          <cell r="CT79">
            <v>1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0</v>
          </cell>
          <cell r="DA79">
            <v>577</v>
          </cell>
          <cell r="DB79">
            <v>640</v>
          </cell>
          <cell r="DC79">
            <v>550</v>
          </cell>
          <cell r="DD79">
            <v>570</v>
          </cell>
          <cell r="DE79">
            <v>70</v>
          </cell>
          <cell r="DF79">
            <v>0</v>
          </cell>
          <cell r="DG79">
            <v>88</v>
          </cell>
          <cell r="DH79">
            <v>0</v>
          </cell>
          <cell r="DI79">
            <v>150</v>
          </cell>
          <cell r="DJ79">
            <v>0</v>
          </cell>
          <cell r="DK79">
            <v>620</v>
          </cell>
          <cell r="DL79">
            <v>125</v>
          </cell>
          <cell r="DM79">
            <v>9679</v>
          </cell>
          <cell r="DN79">
            <v>3820</v>
          </cell>
          <cell r="DO79">
            <v>0.267</v>
          </cell>
          <cell r="DP79">
            <v>0</v>
          </cell>
          <cell r="DQ79" t="str">
            <v>390/350</v>
          </cell>
          <cell r="DR79">
            <v>0</v>
          </cell>
          <cell r="DS79">
            <v>0</v>
          </cell>
          <cell r="DT79">
            <v>3.64</v>
          </cell>
          <cell r="DU79">
            <v>0.93</v>
          </cell>
          <cell r="DV79">
            <v>0.964</v>
          </cell>
          <cell r="DW79">
            <v>0.993</v>
          </cell>
          <cell r="DX79">
            <v>0.997</v>
          </cell>
          <cell r="DY79">
            <v>0.999</v>
          </cell>
          <cell r="DZ79">
            <v>0.999</v>
          </cell>
          <cell r="EA79">
            <v>0.999</v>
          </cell>
          <cell r="EB79">
            <v>0.999</v>
          </cell>
          <cell r="EC79">
            <v>0.999</v>
          </cell>
          <cell r="ED79">
            <v>0.999</v>
          </cell>
          <cell r="EE79">
            <v>0.999</v>
          </cell>
          <cell r="EF79">
            <v>0.999</v>
          </cell>
          <cell r="EG79">
            <v>0.999</v>
          </cell>
          <cell r="EH79">
            <v>0.999</v>
          </cell>
          <cell r="EI79">
            <v>0.999</v>
          </cell>
          <cell r="EJ79">
            <v>0.999</v>
          </cell>
          <cell r="EK79">
            <v>0.999</v>
          </cell>
          <cell r="EL79">
            <v>0.999</v>
          </cell>
          <cell r="EM79">
            <v>0.999</v>
          </cell>
          <cell r="EN79">
            <v>0.996</v>
          </cell>
          <cell r="EO79">
            <v>0.993</v>
          </cell>
          <cell r="EP79">
            <v>0.99</v>
          </cell>
          <cell r="EQ79">
            <v>0.986</v>
          </cell>
          <cell r="ER79">
            <v>0.974</v>
          </cell>
          <cell r="ES79">
            <v>0.959</v>
          </cell>
          <cell r="ET79">
            <v>0.927</v>
          </cell>
          <cell r="EU79">
            <v>0.85</v>
          </cell>
          <cell r="EV79">
            <v>0.657</v>
          </cell>
          <cell r="EW79">
            <v>0.277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0.865</v>
          </cell>
          <cell r="FF79">
            <v>0.929</v>
          </cell>
          <cell r="FG79">
            <v>0.986</v>
          </cell>
          <cell r="FH79">
            <v>0.994</v>
          </cell>
          <cell r="FI79">
            <v>0.998</v>
          </cell>
          <cell r="FJ79">
            <v>0.998</v>
          </cell>
          <cell r="FK79">
            <v>0.998</v>
          </cell>
          <cell r="FL79">
            <v>0.998</v>
          </cell>
          <cell r="FM79">
            <v>0.998</v>
          </cell>
          <cell r="FN79">
            <v>0.998</v>
          </cell>
          <cell r="FO79">
            <v>0.998</v>
          </cell>
          <cell r="FP79">
            <v>0.998</v>
          </cell>
          <cell r="FQ79">
            <v>0.998</v>
          </cell>
          <cell r="FR79">
            <v>0.998</v>
          </cell>
          <cell r="FS79">
            <v>0.998</v>
          </cell>
          <cell r="FT79">
            <v>0.998</v>
          </cell>
          <cell r="FU79">
            <v>0.998</v>
          </cell>
          <cell r="FV79">
            <v>0.998</v>
          </cell>
          <cell r="FW79">
            <v>0.998</v>
          </cell>
          <cell r="FX79">
            <v>0.992</v>
          </cell>
          <cell r="FY79">
            <v>0.986</v>
          </cell>
          <cell r="FZ79">
            <v>0.98</v>
          </cell>
          <cell r="GA79">
            <v>0.973</v>
          </cell>
          <cell r="GB79">
            <v>0.949</v>
          </cell>
          <cell r="GC79">
            <v>0.921</v>
          </cell>
          <cell r="GD79">
            <v>0.861</v>
          </cell>
          <cell r="GE79">
            <v>0.725</v>
          </cell>
          <cell r="GF79">
            <v>0.437</v>
          </cell>
          <cell r="GG79">
            <v>0.082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</row>
        <row r="80">
          <cell r="B80" t="str">
            <v>H-ZBaF21</v>
          </cell>
          <cell r="C80">
            <v>723380</v>
          </cell>
          <cell r="D80">
            <v>37.99</v>
          </cell>
          <cell r="E80">
            <v>37.72</v>
          </cell>
          <cell r="F80">
            <v>0.019041</v>
          </cell>
          <cell r="G80">
            <v>0.019297</v>
          </cell>
          <cell r="H80">
            <v>1.68318</v>
          </cell>
          <cell r="I80">
            <v>1.68884</v>
          </cell>
          <cell r="J80">
            <v>1.69529</v>
          </cell>
          <cell r="K80">
            <v>1.7017</v>
          </cell>
          <cell r="L80">
            <v>1.70407</v>
          </cell>
          <cell r="M80">
            <v>1.7085</v>
          </cell>
          <cell r="N80">
            <v>1.71169</v>
          </cell>
          <cell r="O80">
            <v>1.71471</v>
          </cell>
          <cell r="P80">
            <v>1.71781</v>
          </cell>
          <cell r="Q80">
            <v>1.71869</v>
          </cell>
          <cell r="R80">
            <v>1.71952</v>
          </cell>
          <cell r="S80">
            <v>1.72325</v>
          </cell>
          <cell r="T80">
            <v>1.72341</v>
          </cell>
          <cell r="U80">
            <v>1.72793</v>
          </cell>
          <cell r="V80">
            <v>1.73685</v>
          </cell>
          <cell r="W80">
            <v>1.73798</v>
          </cell>
          <cell r="X80">
            <v>1.74793</v>
          </cell>
          <cell r="Y80">
            <v>1.75759</v>
          </cell>
          <cell r="Z80">
            <v>1.77526</v>
          </cell>
          <cell r="AA80">
            <v>2.88881294</v>
          </cell>
          <cell r="AB80">
            <v>-0.0112014238</v>
          </cell>
          <cell r="AC80">
            <v>0.0261117044</v>
          </cell>
          <cell r="AD80">
            <v>0.00131652955</v>
          </cell>
          <cell r="AE80">
            <v>-9.02985011e-5</v>
          </cell>
          <cell r="AF80">
            <v>1.01643068e-5</v>
          </cell>
          <cell r="AG80">
            <v>0.294117647058827</v>
          </cell>
          <cell r="AH80">
            <v>0.237394957983186</v>
          </cell>
          <cell r="AI80">
            <v>0.581932773109244</v>
          </cell>
          <cell r="AJ80">
            <v>0.244686365992745</v>
          </cell>
          <cell r="AK80">
            <v>0.23431829963711</v>
          </cell>
          <cell r="AL80">
            <v>0.515811301192322</v>
          </cell>
          <cell r="AM80">
            <v>-0.000742125042013445</v>
          </cell>
          <cell r="AN80">
            <v>0.00143416310924424</v>
          </cell>
          <cell r="AO80">
            <v>-0.00256088453780862</v>
          </cell>
          <cell r="AP80">
            <v>-0.00260541176469649</v>
          </cell>
          <cell r="AQ80">
            <v>3.7</v>
          </cell>
          <cell r="AR80">
            <v>3.6</v>
          </cell>
          <cell r="AS80">
            <v>3.6</v>
          </cell>
          <cell r="AT80">
            <v>3.6</v>
          </cell>
          <cell r="AU80">
            <v>3.7</v>
          </cell>
          <cell r="AV80">
            <v>3.8</v>
          </cell>
          <cell r="AW80">
            <v>4.4</v>
          </cell>
          <cell r="AX80">
            <v>4.4</v>
          </cell>
          <cell r="AY80">
            <v>4.4</v>
          </cell>
          <cell r="AZ80">
            <v>4.4</v>
          </cell>
          <cell r="BA80">
            <v>4.5</v>
          </cell>
          <cell r="BB80">
            <v>4.7</v>
          </cell>
          <cell r="BC80">
            <v>4.5</v>
          </cell>
          <cell r="BD80">
            <v>4.5</v>
          </cell>
          <cell r="BE80">
            <v>4.5</v>
          </cell>
          <cell r="BF80">
            <v>4.5</v>
          </cell>
          <cell r="BG80">
            <v>4.6</v>
          </cell>
          <cell r="BH80">
            <v>4.8</v>
          </cell>
          <cell r="BI80">
            <v>4.7</v>
          </cell>
          <cell r="BJ80">
            <v>4.7</v>
          </cell>
          <cell r="BK80">
            <v>4.7</v>
          </cell>
          <cell r="BL80">
            <v>4.8</v>
          </cell>
          <cell r="BM80">
            <v>4.9</v>
          </cell>
          <cell r="BN80">
            <v>5.1</v>
          </cell>
          <cell r="BO80">
            <v>5</v>
          </cell>
          <cell r="BP80">
            <v>5.1</v>
          </cell>
          <cell r="BQ80">
            <v>5.1</v>
          </cell>
          <cell r="BR80">
            <v>5.1</v>
          </cell>
          <cell r="BS80">
            <v>5.3</v>
          </cell>
          <cell r="BT80">
            <v>5.5</v>
          </cell>
          <cell r="BU80">
            <v>5.8</v>
          </cell>
          <cell r="BV80">
            <v>5.8</v>
          </cell>
          <cell r="BW80">
            <v>5.9</v>
          </cell>
          <cell r="BX80">
            <v>6</v>
          </cell>
          <cell r="BY80">
            <v>6.1</v>
          </cell>
          <cell r="BZ80">
            <v>6.4</v>
          </cell>
          <cell r="CA80">
            <v>6.6</v>
          </cell>
          <cell r="CB80">
            <v>6.7</v>
          </cell>
          <cell r="CC80">
            <v>6.8</v>
          </cell>
          <cell r="CD80">
            <v>6.9</v>
          </cell>
          <cell r="CE80">
            <v>7.1</v>
          </cell>
          <cell r="CF80">
            <v>7.4</v>
          </cell>
          <cell r="CG80">
            <v>2.2</v>
          </cell>
          <cell r="CH80">
            <v>2.5</v>
          </cell>
          <cell r="CI80">
            <v>2.7</v>
          </cell>
          <cell r="CJ80">
            <v>3</v>
          </cell>
          <cell r="CK80">
            <v>3.3</v>
          </cell>
          <cell r="CL80">
            <v>3.6</v>
          </cell>
          <cell r="CM80">
            <v>2.67e-6</v>
          </cell>
          <cell r="CN80">
            <v>1.043e-8</v>
          </cell>
          <cell r="CO80">
            <v>9.73e-12</v>
          </cell>
          <cell r="CP80">
            <v>7.98e-7</v>
          </cell>
          <cell r="CQ80">
            <v>8.541e-10</v>
          </cell>
          <cell r="CR80">
            <v>0.244</v>
          </cell>
          <cell r="CS80">
            <v>1</v>
          </cell>
          <cell r="CT80">
            <v>1</v>
          </cell>
          <cell r="CU80">
            <v>1</v>
          </cell>
          <cell r="CV80">
            <v>2</v>
          </cell>
          <cell r="CW80">
            <v>1</v>
          </cell>
          <cell r="CX80">
            <v>1</v>
          </cell>
          <cell r="CY80">
            <v>0</v>
          </cell>
          <cell r="CZ80">
            <v>0</v>
          </cell>
          <cell r="DA80">
            <v>603</v>
          </cell>
          <cell r="DB80">
            <v>667</v>
          </cell>
          <cell r="DC80">
            <v>558</v>
          </cell>
          <cell r="DD80">
            <v>596</v>
          </cell>
          <cell r="DE80">
            <v>67</v>
          </cell>
          <cell r="DF80">
            <v>0</v>
          </cell>
          <cell r="DG80">
            <v>83</v>
          </cell>
          <cell r="DH80">
            <v>0</v>
          </cell>
          <cell r="DI80">
            <v>170</v>
          </cell>
          <cell r="DJ80">
            <v>0</v>
          </cell>
          <cell r="DK80">
            <v>565</v>
          </cell>
          <cell r="DL80">
            <v>158</v>
          </cell>
          <cell r="DM80">
            <v>10179</v>
          </cell>
          <cell r="DN80">
            <v>4017</v>
          </cell>
          <cell r="DO80">
            <v>0.267</v>
          </cell>
          <cell r="DP80">
            <v>0</v>
          </cell>
          <cell r="DQ80" t="str">
            <v>400/355</v>
          </cell>
          <cell r="DR80">
            <v>0</v>
          </cell>
          <cell r="DS80">
            <v>0</v>
          </cell>
          <cell r="DT80">
            <v>3.61</v>
          </cell>
          <cell r="DU80">
            <v>0.949</v>
          </cell>
          <cell r="DV80">
            <v>0.98</v>
          </cell>
          <cell r="DW80">
            <v>0.992</v>
          </cell>
          <cell r="DX80">
            <v>0.999</v>
          </cell>
          <cell r="DY80">
            <v>0.999</v>
          </cell>
          <cell r="DZ80">
            <v>0.999</v>
          </cell>
          <cell r="EA80">
            <v>0.999</v>
          </cell>
          <cell r="EB80">
            <v>0.999</v>
          </cell>
          <cell r="EC80">
            <v>0.999</v>
          </cell>
          <cell r="ED80">
            <v>0.999</v>
          </cell>
          <cell r="EE80">
            <v>0.999</v>
          </cell>
          <cell r="EF80">
            <v>0.999</v>
          </cell>
          <cell r="EG80">
            <v>0.999</v>
          </cell>
          <cell r="EH80">
            <v>0.999</v>
          </cell>
          <cell r="EI80">
            <v>0.999</v>
          </cell>
          <cell r="EJ80">
            <v>0.999</v>
          </cell>
          <cell r="EK80">
            <v>0.999</v>
          </cell>
          <cell r="EL80">
            <v>0.997</v>
          </cell>
          <cell r="EM80">
            <v>0.994</v>
          </cell>
          <cell r="EN80">
            <v>0.991</v>
          </cell>
          <cell r="EO80">
            <v>0.988</v>
          </cell>
          <cell r="EP80">
            <v>0.984</v>
          </cell>
          <cell r="EQ80">
            <v>0.976</v>
          </cell>
          <cell r="ER80">
            <v>0.949</v>
          </cell>
          <cell r="ES80">
            <v>0.914</v>
          </cell>
          <cell r="ET80">
            <v>0.845</v>
          </cell>
          <cell r="EU80">
            <v>0.694</v>
          </cell>
          <cell r="EV80">
            <v>0.397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0.901</v>
          </cell>
          <cell r="FF80">
            <v>0.96</v>
          </cell>
          <cell r="FG80">
            <v>0.984</v>
          </cell>
          <cell r="FH80">
            <v>0.998</v>
          </cell>
          <cell r="FI80">
            <v>0.998</v>
          </cell>
          <cell r="FJ80">
            <v>0.998</v>
          </cell>
          <cell r="FK80">
            <v>0.998</v>
          </cell>
          <cell r="FL80">
            <v>0.998</v>
          </cell>
          <cell r="FM80">
            <v>0.998</v>
          </cell>
          <cell r="FN80">
            <v>0.998</v>
          </cell>
          <cell r="FO80">
            <v>0.998</v>
          </cell>
          <cell r="FP80">
            <v>0.998</v>
          </cell>
          <cell r="FQ80">
            <v>0.998</v>
          </cell>
          <cell r="FR80">
            <v>0.998</v>
          </cell>
          <cell r="FS80">
            <v>0.998</v>
          </cell>
          <cell r="FT80">
            <v>0.998</v>
          </cell>
          <cell r="FU80">
            <v>0.998</v>
          </cell>
          <cell r="FV80">
            <v>0.994</v>
          </cell>
          <cell r="FW80">
            <v>0.989</v>
          </cell>
          <cell r="FX80">
            <v>0.985</v>
          </cell>
          <cell r="FY80">
            <v>0.979</v>
          </cell>
          <cell r="FZ80">
            <v>0.972</v>
          </cell>
          <cell r="GA80">
            <v>0.952</v>
          </cell>
          <cell r="GB80">
            <v>0.901</v>
          </cell>
          <cell r="GC80">
            <v>0.836</v>
          </cell>
          <cell r="GD80">
            <v>0.714</v>
          </cell>
          <cell r="GE80">
            <v>0.484</v>
          </cell>
          <cell r="GF80">
            <v>0.161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</row>
        <row r="81">
          <cell r="B81" t="str">
            <v>H-ZBaF50</v>
          </cell>
          <cell r="C81">
            <v>658509</v>
          </cell>
          <cell r="D81">
            <v>50.85</v>
          </cell>
          <cell r="E81">
            <v>50.57</v>
          </cell>
          <cell r="F81">
            <v>0.012948</v>
          </cell>
          <cell r="G81">
            <v>0.013082</v>
          </cell>
          <cell r="H81">
            <v>1.62814</v>
          </cell>
          <cell r="I81">
            <v>1.63271</v>
          </cell>
          <cell r="J81">
            <v>1.63788</v>
          </cell>
          <cell r="K81">
            <v>1.64287</v>
          </cell>
          <cell r="L81">
            <v>1.64465</v>
          </cell>
          <cell r="M81">
            <v>1.64791</v>
          </cell>
          <cell r="N81">
            <v>1.65022</v>
          </cell>
          <cell r="O81">
            <v>1.65237</v>
          </cell>
          <cell r="P81">
            <v>1.65455</v>
          </cell>
          <cell r="Q81">
            <v>1.65517</v>
          </cell>
          <cell r="R81">
            <v>1.65574</v>
          </cell>
          <cell r="S81">
            <v>1.65832</v>
          </cell>
          <cell r="T81">
            <v>1.65844</v>
          </cell>
          <cell r="U81">
            <v>1.66152</v>
          </cell>
          <cell r="V81">
            <v>1.6675</v>
          </cell>
          <cell r="W81">
            <v>1.66825</v>
          </cell>
          <cell r="X81">
            <v>1.67474</v>
          </cell>
          <cell r="Y81">
            <v>1.68083</v>
          </cell>
          <cell r="Z81">
            <v>1.69138</v>
          </cell>
          <cell r="AA81">
            <v>2.69509646</v>
          </cell>
          <cell r="AB81">
            <v>-0.00883641184</v>
          </cell>
          <cell r="AC81">
            <v>0.0190568938</v>
          </cell>
          <cell r="AD81">
            <v>0.000356927846</v>
          </cell>
          <cell r="AE81">
            <v>4.98046796e-6</v>
          </cell>
          <cell r="AF81">
            <v>5.04893095e-7</v>
          </cell>
          <cell r="AG81">
            <v>0.300386100386096</v>
          </cell>
          <cell r="AH81">
            <v>0.237837837837852</v>
          </cell>
          <cell r="AI81">
            <v>0.559073359073352</v>
          </cell>
          <cell r="AJ81">
            <v>0.249999999999992</v>
          </cell>
          <cell r="AK81">
            <v>0.235474006116223</v>
          </cell>
          <cell r="AL81">
            <v>0.496177370030573</v>
          </cell>
          <cell r="AM81">
            <v>-0.000354738223948565</v>
          </cell>
          <cell r="AN81">
            <v>-6.47909266482949e-5</v>
          </cell>
          <cell r="AO81">
            <v>-0.0220403355212349</v>
          </cell>
          <cell r="AP81">
            <v>-0.00969868725868946</v>
          </cell>
          <cell r="AQ81">
            <v>2.4</v>
          </cell>
          <cell r="AR81">
            <v>2.4</v>
          </cell>
          <cell r="AS81">
            <v>2.4</v>
          </cell>
          <cell r="AT81">
            <v>2.4</v>
          </cell>
          <cell r="AU81">
            <v>2.4</v>
          </cell>
          <cell r="AV81">
            <v>2.5</v>
          </cell>
          <cell r="AW81">
            <v>3</v>
          </cell>
          <cell r="AX81">
            <v>3</v>
          </cell>
          <cell r="AY81">
            <v>3</v>
          </cell>
          <cell r="AZ81">
            <v>3</v>
          </cell>
          <cell r="BA81">
            <v>3.1</v>
          </cell>
          <cell r="BB81">
            <v>3.2</v>
          </cell>
          <cell r="BC81">
            <v>3</v>
          </cell>
          <cell r="BD81">
            <v>3.1</v>
          </cell>
          <cell r="BE81">
            <v>3.1</v>
          </cell>
          <cell r="BF81">
            <v>3</v>
          </cell>
          <cell r="BG81">
            <v>3.1</v>
          </cell>
          <cell r="BH81">
            <v>3.2</v>
          </cell>
          <cell r="BI81">
            <v>3.2</v>
          </cell>
          <cell r="BJ81">
            <v>3.2</v>
          </cell>
          <cell r="BK81">
            <v>3.2</v>
          </cell>
          <cell r="BL81">
            <v>3.2</v>
          </cell>
          <cell r="BM81">
            <v>3.3</v>
          </cell>
          <cell r="BN81">
            <v>3.4</v>
          </cell>
          <cell r="BO81">
            <v>3.4</v>
          </cell>
          <cell r="BP81">
            <v>3.5</v>
          </cell>
          <cell r="BQ81">
            <v>3.5</v>
          </cell>
          <cell r="BR81">
            <v>3.5</v>
          </cell>
          <cell r="BS81">
            <v>3.5</v>
          </cell>
          <cell r="BT81">
            <v>3.7</v>
          </cell>
          <cell r="BU81">
            <v>3.9</v>
          </cell>
          <cell r="BV81">
            <v>3.9</v>
          </cell>
          <cell r="BW81">
            <v>4</v>
          </cell>
          <cell r="BX81">
            <v>4</v>
          </cell>
          <cell r="BY81">
            <v>4.1</v>
          </cell>
          <cell r="BZ81">
            <v>4.3</v>
          </cell>
          <cell r="CA81">
            <v>4.4</v>
          </cell>
          <cell r="CB81">
            <v>4.5</v>
          </cell>
          <cell r="CC81">
            <v>4.5</v>
          </cell>
          <cell r="CD81">
            <v>4.5</v>
          </cell>
          <cell r="CE81">
            <v>4.6</v>
          </cell>
          <cell r="CF81">
            <v>4.9</v>
          </cell>
          <cell r="CG81">
            <v>0.8</v>
          </cell>
          <cell r="CH81">
            <v>1.1</v>
          </cell>
          <cell r="CI81">
            <v>1.4</v>
          </cell>
          <cell r="CJ81">
            <v>1.6</v>
          </cell>
          <cell r="CK81">
            <v>1.8</v>
          </cell>
          <cell r="CL81">
            <v>2.1</v>
          </cell>
          <cell r="CM81">
            <v>1.06e-6</v>
          </cell>
          <cell r="CN81">
            <v>1.05e-8</v>
          </cell>
          <cell r="CO81">
            <v>-2.59e-12</v>
          </cell>
          <cell r="CP81">
            <v>6.41e-7</v>
          </cell>
          <cell r="CQ81">
            <v>6.435e-10</v>
          </cell>
          <cell r="CR81">
            <v>0.208</v>
          </cell>
          <cell r="CS81">
            <v>1</v>
          </cell>
          <cell r="CT81">
            <v>3</v>
          </cell>
          <cell r="CU81">
            <v>1</v>
          </cell>
          <cell r="CV81">
            <v>3</v>
          </cell>
          <cell r="CW81">
            <v>2</v>
          </cell>
          <cell r="CX81">
            <v>2</v>
          </cell>
          <cell r="CY81">
            <v>0</v>
          </cell>
          <cell r="CZ81">
            <v>0</v>
          </cell>
          <cell r="DA81">
            <v>634</v>
          </cell>
          <cell r="DB81">
            <v>691</v>
          </cell>
          <cell r="DC81">
            <v>572</v>
          </cell>
          <cell r="DD81">
            <v>630</v>
          </cell>
          <cell r="DE81">
            <v>0</v>
          </cell>
          <cell r="DF81">
            <v>77</v>
          </cell>
          <cell r="DG81">
            <v>89</v>
          </cell>
          <cell r="DH81">
            <v>0</v>
          </cell>
          <cell r="DI81">
            <v>100</v>
          </cell>
          <cell r="DJ81">
            <v>0</v>
          </cell>
          <cell r="DK81">
            <v>520</v>
          </cell>
          <cell r="DL81">
            <v>132</v>
          </cell>
          <cell r="DM81">
            <v>8633</v>
          </cell>
          <cell r="DN81">
            <v>3370</v>
          </cell>
          <cell r="DO81">
            <v>0.281</v>
          </cell>
          <cell r="DP81">
            <v>2.34</v>
          </cell>
          <cell r="DQ81" t="str">
            <v>380/335</v>
          </cell>
          <cell r="DR81">
            <v>360</v>
          </cell>
          <cell r="DS81">
            <v>330</v>
          </cell>
          <cell r="DT81">
            <v>3.9</v>
          </cell>
          <cell r="DU81">
            <v>0.937</v>
          </cell>
          <cell r="DV81">
            <v>0.971</v>
          </cell>
          <cell r="DW81">
            <v>0.993</v>
          </cell>
          <cell r="DX81">
            <v>0.995</v>
          </cell>
          <cell r="DY81">
            <v>0.999</v>
          </cell>
          <cell r="DZ81">
            <v>0.999</v>
          </cell>
          <cell r="EA81">
            <v>0.999</v>
          </cell>
          <cell r="EB81">
            <v>0.999</v>
          </cell>
          <cell r="EC81">
            <v>0.999</v>
          </cell>
          <cell r="ED81">
            <v>0.999</v>
          </cell>
          <cell r="EE81">
            <v>0.999</v>
          </cell>
          <cell r="EF81">
            <v>0.999</v>
          </cell>
          <cell r="EG81">
            <v>0.999</v>
          </cell>
          <cell r="EH81">
            <v>0.999</v>
          </cell>
          <cell r="EI81">
            <v>0.999</v>
          </cell>
          <cell r="EJ81">
            <v>0.999</v>
          </cell>
          <cell r="EK81">
            <v>0.999</v>
          </cell>
          <cell r="EL81">
            <v>0.999</v>
          </cell>
          <cell r="EM81">
            <v>0.999</v>
          </cell>
          <cell r="EN81">
            <v>0.999</v>
          </cell>
          <cell r="EO81">
            <v>0.998</v>
          </cell>
          <cell r="EP81">
            <v>0.997</v>
          </cell>
          <cell r="EQ81">
            <v>0.996</v>
          </cell>
          <cell r="ER81">
            <v>0.994</v>
          </cell>
          <cell r="ES81">
            <v>0.984</v>
          </cell>
          <cell r="ET81">
            <v>0.966</v>
          </cell>
          <cell r="EU81">
            <v>0.93</v>
          </cell>
          <cell r="EV81">
            <v>0.858</v>
          </cell>
          <cell r="EW81">
            <v>0.716</v>
          </cell>
          <cell r="EX81">
            <v>0.471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0.88</v>
          </cell>
          <cell r="FF81">
            <v>0.946</v>
          </cell>
          <cell r="FG81">
            <v>0.982</v>
          </cell>
          <cell r="FH81">
            <v>0.992</v>
          </cell>
          <cell r="FI81">
            <v>0.998</v>
          </cell>
          <cell r="FJ81">
            <v>0.998</v>
          </cell>
          <cell r="FK81">
            <v>0.998</v>
          </cell>
          <cell r="FL81">
            <v>0.998</v>
          </cell>
          <cell r="FM81">
            <v>0.998</v>
          </cell>
          <cell r="FN81">
            <v>0.998</v>
          </cell>
          <cell r="FO81">
            <v>0.998</v>
          </cell>
          <cell r="FP81">
            <v>0.998</v>
          </cell>
          <cell r="FQ81">
            <v>0.998</v>
          </cell>
          <cell r="FR81">
            <v>0.998</v>
          </cell>
          <cell r="FS81">
            <v>0.998</v>
          </cell>
          <cell r="FT81">
            <v>0.998</v>
          </cell>
          <cell r="FU81">
            <v>0.998</v>
          </cell>
          <cell r="FV81">
            <v>0.998</v>
          </cell>
          <cell r="FW81">
            <v>0.998</v>
          </cell>
          <cell r="FX81">
            <v>0.998</v>
          </cell>
          <cell r="FY81">
            <v>0.996</v>
          </cell>
          <cell r="FZ81">
            <v>0.994</v>
          </cell>
          <cell r="GA81">
            <v>0.992</v>
          </cell>
          <cell r="GB81">
            <v>0.989</v>
          </cell>
          <cell r="GC81">
            <v>0.968</v>
          </cell>
          <cell r="GD81">
            <v>0.933</v>
          </cell>
          <cell r="GE81">
            <v>0.866</v>
          </cell>
          <cell r="GF81">
            <v>0.738</v>
          </cell>
          <cell r="GG81">
            <v>0.513</v>
          </cell>
          <cell r="GH81">
            <v>0.223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</row>
        <row r="82">
          <cell r="B82" t="str">
            <v>H-ZBaF52</v>
          </cell>
          <cell r="C82">
            <v>670472</v>
          </cell>
          <cell r="D82">
            <v>47.2</v>
          </cell>
          <cell r="E82">
            <v>46.9</v>
          </cell>
          <cell r="F82">
            <v>0.014197</v>
          </cell>
          <cell r="G82">
            <v>0.014358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1.66342</v>
          </cell>
          <cell r="P82">
            <v>1.66579</v>
          </cell>
          <cell r="Q82">
            <v>1.66646</v>
          </cell>
          <cell r="R82">
            <v>1.66709</v>
          </cell>
          <cell r="S82">
            <v>1.6699</v>
          </cell>
          <cell r="T82">
            <v>1.67003</v>
          </cell>
          <cell r="U82">
            <v>1.6734</v>
          </cell>
          <cell r="V82">
            <v>1.67999</v>
          </cell>
          <cell r="W82">
            <v>1.68082</v>
          </cell>
          <cell r="X82">
            <v>1.68799</v>
          </cell>
          <cell r="Y82">
            <v>1.6948</v>
          </cell>
          <cell r="Z82">
            <v>1.7068</v>
          </cell>
          <cell r="AA82">
            <v>2.7305799</v>
          </cell>
          <cell r="AB82">
            <v>-0.0110284053</v>
          </cell>
          <cell r="AC82">
            <v>0.0194915648</v>
          </cell>
          <cell r="AD82">
            <v>0.000780705026</v>
          </cell>
          <cell r="AE82">
            <v>-4.36714473e-5</v>
          </cell>
          <cell r="AF82">
            <v>3.85772481e-6</v>
          </cell>
          <cell r="AG82">
            <v>0.298591549295761</v>
          </cell>
          <cell r="AH82">
            <v>0.237323943661979</v>
          </cell>
          <cell r="AI82">
            <v>0.563380281690142</v>
          </cell>
          <cell r="AJ82">
            <v>0.248607242339824</v>
          </cell>
          <cell r="AK82">
            <v>0.234679665738169</v>
          </cell>
          <cell r="AL82">
            <v>0.499303621169927</v>
          </cell>
          <cell r="AM82">
            <v>-6.10929577394594e-5</v>
          </cell>
          <cell r="AN82">
            <v>-0.00182051830985819</v>
          </cell>
          <cell r="AO82">
            <v>0</v>
          </cell>
          <cell r="AP82">
            <v>0</v>
          </cell>
          <cell r="AQ82">
            <v>3.6</v>
          </cell>
          <cell r="AR82">
            <v>3.6</v>
          </cell>
          <cell r="AS82">
            <v>3.6</v>
          </cell>
          <cell r="AT82">
            <v>3.5</v>
          </cell>
          <cell r="AU82">
            <v>3.5</v>
          </cell>
          <cell r="AV82">
            <v>3.6</v>
          </cell>
          <cell r="AW82">
            <v>4.2</v>
          </cell>
          <cell r="AX82">
            <v>4.2</v>
          </cell>
          <cell r="AY82">
            <v>4.2</v>
          </cell>
          <cell r="AZ82">
            <v>4.2</v>
          </cell>
          <cell r="BA82">
            <v>4.2</v>
          </cell>
          <cell r="BB82">
            <v>4.4</v>
          </cell>
          <cell r="BC82">
            <v>4.3</v>
          </cell>
          <cell r="BD82">
            <v>4.3</v>
          </cell>
          <cell r="BE82">
            <v>4.2</v>
          </cell>
          <cell r="BF82">
            <v>4.2</v>
          </cell>
          <cell r="BG82">
            <v>4.3</v>
          </cell>
          <cell r="BH82">
            <v>4.4</v>
          </cell>
          <cell r="BI82">
            <v>4.5</v>
          </cell>
          <cell r="BJ82">
            <v>4.4</v>
          </cell>
          <cell r="BK82">
            <v>4.4</v>
          </cell>
          <cell r="BL82">
            <v>4.4</v>
          </cell>
          <cell r="BM82">
            <v>4.5</v>
          </cell>
          <cell r="BN82">
            <v>4.6</v>
          </cell>
          <cell r="BO82">
            <v>4.7</v>
          </cell>
          <cell r="BP82">
            <v>4.7</v>
          </cell>
          <cell r="BQ82">
            <v>4.7</v>
          </cell>
          <cell r="BR82">
            <v>4.7</v>
          </cell>
          <cell r="BS82">
            <v>4.8</v>
          </cell>
          <cell r="BT82">
            <v>4.9</v>
          </cell>
          <cell r="BU82">
            <v>5.2</v>
          </cell>
          <cell r="BV82">
            <v>5.2</v>
          </cell>
          <cell r="BW82">
            <v>5.3</v>
          </cell>
          <cell r="BX82">
            <v>5.3</v>
          </cell>
          <cell r="BY82">
            <v>5.4</v>
          </cell>
          <cell r="BZ82">
            <v>5.5</v>
          </cell>
          <cell r="CA82">
            <v>5.7</v>
          </cell>
          <cell r="CB82">
            <v>5.8</v>
          </cell>
          <cell r="CC82">
            <v>5.9</v>
          </cell>
          <cell r="CD82">
            <v>5.9</v>
          </cell>
          <cell r="CE82">
            <v>6</v>
          </cell>
          <cell r="CF82">
            <v>6.2</v>
          </cell>
          <cell r="CG82">
            <v>2</v>
          </cell>
          <cell r="CH82">
            <v>2.3</v>
          </cell>
          <cell r="CI82">
            <v>2.6</v>
          </cell>
          <cell r="CJ82">
            <v>2.8</v>
          </cell>
          <cell r="CK82">
            <v>3</v>
          </cell>
          <cell r="CL82">
            <v>3.3</v>
          </cell>
          <cell r="CM82">
            <v>2.82e-6</v>
          </cell>
          <cell r="CN82">
            <v>9.24e-9</v>
          </cell>
          <cell r="CO82">
            <v>6e-14</v>
          </cell>
          <cell r="CP82">
            <v>8.01e-7</v>
          </cell>
          <cell r="CQ82">
            <v>9.117e-10</v>
          </cell>
          <cell r="CR82">
            <v>0.159</v>
          </cell>
          <cell r="CS82">
            <v>1</v>
          </cell>
          <cell r="CT82">
            <v>3</v>
          </cell>
          <cell r="CU82">
            <v>1</v>
          </cell>
          <cell r="CV82">
            <v>1</v>
          </cell>
          <cell r="CW82">
            <v>1</v>
          </cell>
          <cell r="CX82">
            <v>1</v>
          </cell>
          <cell r="CY82">
            <v>0</v>
          </cell>
          <cell r="CZ82">
            <v>0</v>
          </cell>
          <cell r="DA82">
            <v>583</v>
          </cell>
          <cell r="DB82">
            <v>654</v>
          </cell>
          <cell r="DC82">
            <v>539</v>
          </cell>
          <cell r="DD82">
            <v>580</v>
          </cell>
          <cell r="DE82">
            <v>0</v>
          </cell>
          <cell r="DF82">
            <v>71</v>
          </cell>
          <cell r="DG82">
            <v>83</v>
          </cell>
          <cell r="DH82">
            <v>0</v>
          </cell>
          <cell r="DI82">
            <v>112</v>
          </cell>
          <cell r="DJ82">
            <v>0</v>
          </cell>
          <cell r="DK82">
            <v>626</v>
          </cell>
          <cell r="DL82">
            <v>151</v>
          </cell>
          <cell r="DM82">
            <v>9448</v>
          </cell>
          <cell r="DN82">
            <v>3704</v>
          </cell>
          <cell r="DO82">
            <v>0.275</v>
          </cell>
          <cell r="DP82">
            <v>0</v>
          </cell>
          <cell r="DQ82" t="str">
            <v>380/340</v>
          </cell>
          <cell r="DR82">
            <v>0</v>
          </cell>
          <cell r="DS82">
            <v>0</v>
          </cell>
          <cell r="DT82">
            <v>3.49</v>
          </cell>
          <cell r="DU82">
            <v>0.938</v>
          </cell>
          <cell r="DV82">
            <v>0.97</v>
          </cell>
          <cell r="DW82">
            <v>0.989</v>
          </cell>
          <cell r="DX82">
            <v>0.993</v>
          </cell>
          <cell r="DY82">
            <v>0.999</v>
          </cell>
          <cell r="DZ82">
            <v>0.999</v>
          </cell>
          <cell r="EA82">
            <v>0.999</v>
          </cell>
          <cell r="EB82">
            <v>0.999</v>
          </cell>
          <cell r="EC82">
            <v>0.999</v>
          </cell>
          <cell r="ED82">
            <v>0.999</v>
          </cell>
          <cell r="EE82">
            <v>0.999</v>
          </cell>
          <cell r="EF82">
            <v>0.999</v>
          </cell>
          <cell r="EG82">
            <v>0.999</v>
          </cell>
          <cell r="EH82">
            <v>0.999</v>
          </cell>
          <cell r="EI82">
            <v>0.999</v>
          </cell>
          <cell r="EJ82">
            <v>0.999</v>
          </cell>
          <cell r="EK82">
            <v>0.999</v>
          </cell>
          <cell r="EL82">
            <v>0.999</v>
          </cell>
          <cell r="EM82">
            <v>0.998</v>
          </cell>
          <cell r="EN82">
            <v>0.996</v>
          </cell>
          <cell r="EO82">
            <v>0.993</v>
          </cell>
          <cell r="EP82">
            <v>0.991</v>
          </cell>
          <cell r="EQ82">
            <v>0.985</v>
          </cell>
          <cell r="ER82">
            <v>0.967</v>
          </cell>
          <cell r="ES82">
            <v>0.948</v>
          </cell>
          <cell r="ET82">
            <v>0.911</v>
          </cell>
          <cell r="EU82">
            <v>0.837</v>
          </cell>
          <cell r="EV82">
            <v>0.693</v>
          </cell>
          <cell r="EW82">
            <v>0.444</v>
          </cell>
          <cell r="EX82">
            <v>0.145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0.877</v>
          </cell>
          <cell r="FF82">
            <v>0.944</v>
          </cell>
          <cell r="FG82">
            <v>0.978</v>
          </cell>
          <cell r="FH82">
            <v>0.987</v>
          </cell>
          <cell r="FI82">
            <v>0.998</v>
          </cell>
          <cell r="FJ82">
            <v>0.998</v>
          </cell>
          <cell r="FK82">
            <v>0.998</v>
          </cell>
          <cell r="FL82">
            <v>0.998</v>
          </cell>
          <cell r="FM82">
            <v>0.998</v>
          </cell>
          <cell r="FN82">
            <v>0.998</v>
          </cell>
          <cell r="FO82">
            <v>0.998</v>
          </cell>
          <cell r="FP82">
            <v>0.998</v>
          </cell>
          <cell r="FQ82">
            <v>0.998</v>
          </cell>
          <cell r="FR82">
            <v>0.998</v>
          </cell>
          <cell r="FS82">
            <v>0.998</v>
          </cell>
          <cell r="FT82">
            <v>0.998</v>
          </cell>
          <cell r="FU82">
            <v>0.998</v>
          </cell>
          <cell r="FV82">
            <v>0.998</v>
          </cell>
          <cell r="FW82">
            <v>0.996</v>
          </cell>
          <cell r="FX82">
            <v>0.993</v>
          </cell>
          <cell r="FY82">
            <v>0.99</v>
          </cell>
          <cell r="FZ82">
            <v>0.984</v>
          </cell>
          <cell r="GA82">
            <v>0.972</v>
          </cell>
          <cell r="GB82">
            <v>0.942</v>
          </cell>
          <cell r="GC82">
            <v>0.903</v>
          </cell>
          <cell r="GD82">
            <v>0.833</v>
          </cell>
          <cell r="GE82">
            <v>0.707</v>
          </cell>
          <cell r="GF82">
            <v>0.492</v>
          </cell>
          <cell r="GG82">
            <v>0.206</v>
          </cell>
          <cell r="GH82">
            <v>0.03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</row>
        <row r="83">
          <cell r="B83" t="str">
            <v>H-ZBaF65</v>
          </cell>
          <cell r="C83">
            <v>654397</v>
          </cell>
          <cell r="D83">
            <v>39.68</v>
          </cell>
          <cell r="E83">
            <v>39.46</v>
          </cell>
          <cell r="F83">
            <v>0.016484</v>
          </cell>
          <cell r="G83">
            <v>0.016678</v>
          </cell>
          <cell r="H83">
            <v>1.61564</v>
          </cell>
          <cell r="I83">
            <v>1.62166</v>
          </cell>
          <cell r="J83">
            <v>1.62838</v>
          </cell>
          <cell r="K83">
            <v>1.63471</v>
          </cell>
          <cell r="L83">
            <v>1.63693</v>
          </cell>
          <cell r="M83">
            <v>1.64096</v>
          </cell>
          <cell r="N83">
            <v>1.64382</v>
          </cell>
          <cell r="O83">
            <v>1.6465</v>
          </cell>
          <cell r="P83">
            <v>1.64922</v>
          </cell>
          <cell r="Q83">
            <v>1.65</v>
          </cell>
          <cell r="R83">
            <v>1.65072</v>
          </cell>
          <cell r="S83">
            <v>1.65397</v>
          </cell>
          <cell r="T83">
            <v>1.65412</v>
          </cell>
          <cell r="U83">
            <v>1.65803</v>
          </cell>
          <cell r="V83">
            <v>1.66571</v>
          </cell>
          <cell r="W83">
            <v>1.66668</v>
          </cell>
          <cell r="X83">
            <v>1.67517</v>
          </cell>
          <cell r="Y83">
            <v>1.68329</v>
          </cell>
          <cell r="Z83">
            <v>1.69785</v>
          </cell>
          <cell r="AA83">
            <v>2.66953059</v>
          </cell>
          <cell r="AB83">
            <v>-0.01170103</v>
          </cell>
          <cell r="AC83">
            <v>0.0216799005</v>
          </cell>
          <cell r="AD83">
            <v>0.00106864792</v>
          </cell>
          <cell r="AE83">
            <v>-6.64150432e-5</v>
          </cell>
          <cell r="AF83">
            <v>6.26541466e-6</v>
          </cell>
          <cell r="AG83">
            <v>0.297149787750157</v>
          </cell>
          <cell r="AH83">
            <v>0.237113402061845</v>
          </cell>
          <cell r="AI83">
            <v>0.57368101879927</v>
          </cell>
          <cell r="AJ83">
            <v>0.247002398081542</v>
          </cell>
          <cell r="AK83">
            <v>0.234412470023972</v>
          </cell>
          <cell r="AL83">
            <v>0.508992805755401</v>
          </cell>
          <cell r="AM83">
            <v>-0.00255982981200263</v>
          </cell>
          <cell r="AN83">
            <v>-0.00401050120073027</v>
          </cell>
          <cell r="AO83">
            <v>0.0129109019284309</v>
          </cell>
          <cell r="AP83">
            <v>0.0052776422073909</v>
          </cell>
          <cell r="AQ83">
            <v>2.1</v>
          </cell>
          <cell r="AR83">
            <v>2.4</v>
          </cell>
          <cell r="AS83">
            <v>2.6</v>
          </cell>
          <cell r="AT83">
            <v>2.8</v>
          </cell>
          <cell r="AU83">
            <v>2.8</v>
          </cell>
          <cell r="AV83">
            <v>2.8</v>
          </cell>
          <cell r="AW83">
            <v>2.8</v>
          </cell>
          <cell r="AX83">
            <v>2.9</v>
          </cell>
          <cell r="AY83">
            <v>3.1</v>
          </cell>
          <cell r="AZ83">
            <v>3.3</v>
          </cell>
          <cell r="BA83">
            <v>3.4</v>
          </cell>
          <cell r="BB83">
            <v>3.4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3.4</v>
          </cell>
          <cell r="BP83">
            <v>3.4</v>
          </cell>
          <cell r="BQ83">
            <v>3.7</v>
          </cell>
          <cell r="BR83">
            <v>3.8</v>
          </cell>
          <cell r="BS83">
            <v>3.9</v>
          </cell>
          <cell r="BT83">
            <v>4.2</v>
          </cell>
          <cell r="BU83">
            <v>4</v>
          </cell>
          <cell r="BV83">
            <v>4</v>
          </cell>
          <cell r="BW83">
            <v>4.1</v>
          </cell>
          <cell r="BX83">
            <v>4.3</v>
          </cell>
          <cell r="BY83">
            <v>4.6</v>
          </cell>
          <cell r="BZ83">
            <v>4.9</v>
          </cell>
          <cell r="CA83">
            <v>4.7</v>
          </cell>
          <cell r="CB83">
            <v>4.7</v>
          </cell>
          <cell r="CC83">
            <v>4.8</v>
          </cell>
          <cell r="CD83">
            <v>5.1</v>
          </cell>
          <cell r="CE83">
            <v>5.5</v>
          </cell>
          <cell r="CF83">
            <v>5.7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</v>
          </cell>
          <cell r="CU83">
            <v>1</v>
          </cell>
          <cell r="CV83">
            <v>1</v>
          </cell>
          <cell r="CW83">
            <v>1</v>
          </cell>
          <cell r="CX83">
            <v>1</v>
          </cell>
          <cell r="CY83">
            <v>0</v>
          </cell>
          <cell r="CZ83">
            <v>0</v>
          </cell>
          <cell r="DA83">
            <v>598</v>
          </cell>
          <cell r="DB83">
            <v>664</v>
          </cell>
          <cell r="DC83">
            <v>543</v>
          </cell>
          <cell r="DD83">
            <v>582</v>
          </cell>
          <cell r="DE83">
            <v>74</v>
          </cell>
          <cell r="DF83">
            <v>0</v>
          </cell>
          <cell r="DG83">
            <v>89</v>
          </cell>
          <cell r="DH83">
            <v>0</v>
          </cell>
          <cell r="DI83">
            <v>0</v>
          </cell>
          <cell r="DJ83">
            <v>0</v>
          </cell>
          <cell r="DK83">
            <v>565</v>
          </cell>
          <cell r="DL83">
            <v>141</v>
          </cell>
          <cell r="DM83">
            <v>9415</v>
          </cell>
          <cell r="DN83">
            <v>3775</v>
          </cell>
          <cell r="DO83">
            <v>0.247</v>
          </cell>
          <cell r="DP83">
            <v>0</v>
          </cell>
          <cell r="DQ83" t="str">
            <v>370/335</v>
          </cell>
          <cell r="DR83">
            <v>360</v>
          </cell>
          <cell r="DS83">
            <v>336</v>
          </cell>
          <cell r="DT83">
            <v>3.01</v>
          </cell>
          <cell r="DU83">
            <v>0.917</v>
          </cell>
          <cell r="DV83">
            <v>0.95</v>
          </cell>
          <cell r="DW83">
            <v>0.987</v>
          </cell>
          <cell r="DX83">
            <v>0.993</v>
          </cell>
          <cell r="DY83">
            <v>0.999</v>
          </cell>
          <cell r="DZ83">
            <v>0.999</v>
          </cell>
          <cell r="EA83">
            <v>0.999</v>
          </cell>
          <cell r="EB83">
            <v>0.999</v>
          </cell>
          <cell r="EC83">
            <v>0.999</v>
          </cell>
          <cell r="ED83">
            <v>0.999</v>
          </cell>
          <cell r="EE83">
            <v>0.999</v>
          </cell>
          <cell r="EF83">
            <v>0.999</v>
          </cell>
          <cell r="EG83">
            <v>0.999</v>
          </cell>
          <cell r="EH83">
            <v>0.999</v>
          </cell>
          <cell r="EI83">
            <v>0.999</v>
          </cell>
          <cell r="EJ83">
            <v>0.999</v>
          </cell>
          <cell r="EK83">
            <v>0.999</v>
          </cell>
          <cell r="EL83">
            <v>0.999</v>
          </cell>
          <cell r="EM83">
            <v>0.999</v>
          </cell>
          <cell r="EN83">
            <v>0.998</v>
          </cell>
          <cell r="EO83">
            <v>0.997</v>
          </cell>
          <cell r="EP83">
            <v>0.996</v>
          </cell>
          <cell r="EQ83">
            <v>0.994</v>
          </cell>
          <cell r="ER83">
            <v>0.991</v>
          </cell>
          <cell r="ES83">
            <v>0.988</v>
          </cell>
          <cell r="ET83">
            <v>0.977</v>
          </cell>
          <cell r="EU83">
            <v>0.957</v>
          </cell>
          <cell r="EV83">
            <v>0.899</v>
          </cell>
          <cell r="EW83">
            <v>0.751</v>
          </cell>
          <cell r="EX83">
            <v>0.401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0.84</v>
          </cell>
          <cell r="FF83">
            <v>0.9</v>
          </cell>
          <cell r="FG83">
            <v>0.974</v>
          </cell>
          <cell r="FH83">
            <v>0.986</v>
          </cell>
          <cell r="FI83">
            <v>0.998</v>
          </cell>
          <cell r="FJ83">
            <v>0.998</v>
          </cell>
          <cell r="FK83">
            <v>0.998</v>
          </cell>
          <cell r="FL83">
            <v>0.998</v>
          </cell>
          <cell r="FM83">
            <v>0.998</v>
          </cell>
          <cell r="FN83">
            <v>0.998</v>
          </cell>
          <cell r="FO83">
            <v>0.998</v>
          </cell>
          <cell r="FP83">
            <v>0.998</v>
          </cell>
          <cell r="FQ83">
            <v>0.998</v>
          </cell>
          <cell r="FR83">
            <v>0.998</v>
          </cell>
          <cell r="FS83">
            <v>0.998</v>
          </cell>
          <cell r="FT83">
            <v>0.998</v>
          </cell>
          <cell r="FU83">
            <v>0.998</v>
          </cell>
          <cell r="FV83">
            <v>0.998</v>
          </cell>
          <cell r="FW83">
            <v>0.998</v>
          </cell>
          <cell r="FX83">
            <v>0.996</v>
          </cell>
          <cell r="FY83">
            <v>0.994</v>
          </cell>
          <cell r="FZ83">
            <v>0.992</v>
          </cell>
          <cell r="GA83">
            <v>0.99</v>
          </cell>
          <cell r="GB83">
            <v>0.983</v>
          </cell>
          <cell r="GC83">
            <v>0.974</v>
          </cell>
          <cell r="GD83">
            <v>0.958</v>
          </cell>
          <cell r="GE83">
            <v>0.919</v>
          </cell>
          <cell r="GF83">
            <v>0.813</v>
          </cell>
          <cell r="GG83">
            <v>0.568</v>
          </cell>
          <cell r="GH83">
            <v>0.164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</row>
        <row r="84">
          <cell r="B84" t="str">
            <v>H-LaF1</v>
          </cell>
          <cell r="C84">
            <v>694492</v>
          </cell>
          <cell r="D84">
            <v>49.2</v>
          </cell>
          <cell r="E84">
            <v>48.85</v>
          </cell>
          <cell r="F84">
            <v>0.014099</v>
          </cell>
          <cell r="G84">
            <v>0.014266</v>
          </cell>
          <cell r="H84">
            <v>1.6599</v>
          </cell>
          <cell r="I84">
            <v>1.66516</v>
          </cell>
          <cell r="J84">
            <v>1.67106</v>
          </cell>
          <cell r="K84">
            <v>1.67666</v>
          </cell>
          <cell r="L84">
            <v>1.67863</v>
          </cell>
          <cell r="M84">
            <v>1.6822</v>
          </cell>
          <cell r="N84">
            <v>1.68471</v>
          </cell>
          <cell r="O84">
            <v>1.68705</v>
          </cell>
          <cell r="P84">
            <v>1.68941</v>
          </cell>
          <cell r="Q84">
            <v>1.69007</v>
          </cell>
          <cell r="R84">
            <v>1.6907</v>
          </cell>
          <cell r="S84">
            <v>1.6935</v>
          </cell>
          <cell r="T84">
            <v>1.69362</v>
          </cell>
          <cell r="U84">
            <v>1.69696</v>
          </cell>
          <cell r="V84">
            <v>1.70351</v>
          </cell>
          <cell r="W84">
            <v>1.70433</v>
          </cell>
          <cell r="X84">
            <v>1.71141</v>
          </cell>
          <cell r="Y84">
            <v>1.71805</v>
          </cell>
          <cell r="Z84">
            <v>1.72957</v>
          </cell>
          <cell r="AA84">
            <v>2.80794251</v>
          </cell>
          <cell r="AB84">
            <v>-0.0104533648</v>
          </cell>
          <cell r="AC84">
            <v>0.0207773005</v>
          </cell>
          <cell r="AD84">
            <v>0.000406086547</v>
          </cell>
          <cell r="AE84">
            <v>1.98268226e-5</v>
          </cell>
          <cell r="AF84">
            <v>-7.40077504e-7</v>
          </cell>
          <cell r="AG84">
            <v>0.298581560283675</v>
          </cell>
          <cell r="AH84">
            <v>0.236879432624122</v>
          </cell>
          <cell r="AI84">
            <v>0.560283687943264</v>
          </cell>
          <cell r="AJ84">
            <v>0.248948106591862</v>
          </cell>
          <cell r="AK84">
            <v>0.23422159887799</v>
          </cell>
          <cell r="AL84">
            <v>0.496493688639567</v>
          </cell>
          <cell r="AM84">
            <v>0.00149740709220245</v>
          </cell>
          <cell r="AN84">
            <v>-0.00159511205673628</v>
          </cell>
          <cell r="AO84">
            <v>-0.0139841929078007</v>
          </cell>
          <cell r="AP84">
            <v>-0.00713248226949217</v>
          </cell>
          <cell r="AQ84">
            <v>1.3</v>
          </cell>
          <cell r="AR84">
            <v>1.3</v>
          </cell>
          <cell r="AS84">
            <v>1.3</v>
          </cell>
          <cell r="AT84">
            <v>1.2</v>
          </cell>
          <cell r="AU84">
            <v>1.3</v>
          </cell>
          <cell r="AV84">
            <v>1.4</v>
          </cell>
          <cell r="AW84">
            <v>1.8</v>
          </cell>
          <cell r="AX84">
            <v>1.9</v>
          </cell>
          <cell r="AY84">
            <v>1.9</v>
          </cell>
          <cell r="AZ84">
            <v>1.8</v>
          </cell>
          <cell r="BA84">
            <v>1.9</v>
          </cell>
          <cell r="BB84">
            <v>2.1</v>
          </cell>
          <cell r="BC84">
            <v>1.9</v>
          </cell>
          <cell r="BD84">
            <v>1.9</v>
          </cell>
          <cell r="BE84">
            <v>1.9</v>
          </cell>
          <cell r="BF84">
            <v>1.9</v>
          </cell>
          <cell r="BG84">
            <v>1.9</v>
          </cell>
          <cell r="BH84">
            <v>2.1</v>
          </cell>
          <cell r="BI84">
            <v>2</v>
          </cell>
          <cell r="BJ84">
            <v>2.1</v>
          </cell>
          <cell r="BK84">
            <v>2.1</v>
          </cell>
          <cell r="BL84">
            <v>2.1</v>
          </cell>
          <cell r="BM84">
            <v>2.1</v>
          </cell>
          <cell r="BN84">
            <v>2.3</v>
          </cell>
          <cell r="BO84">
            <v>2.2</v>
          </cell>
          <cell r="BP84">
            <v>2.3</v>
          </cell>
          <cell r="BQ84">
            <v>2.3</v>
          </cell>
          <cell r="BR84">
            <v>2.3</v>
          </cell>
          <cell r="BS84">
            <v>2.4</v>
          </cell>
          <cell r="BT84">
            <v>2.5</v>
          </cell>
          <cell r="BU84">
            <v>2.7</v>
          </cell>
          <cell r="BV84">
            <v>2.8</v>
          </cell>
          <cell r="BW84">
            <v>2.8</v>
          </cell>
          <cell r="BX84">
            <v>2.8</v>
          </cell>
          <cell r="BY84">
            <v>2.9</v>
          </cell>
          <cell r="BZ84">
            <v>3.1</v>
          </cell>
          <cell r="CA84">
            <v>3.2</v>
          </cell>
          <cell r="CB84">
            <v>3.3</v>
          </cell>
          <cell r="CC84">
            <v>3.4</v>
          </cell>
          <cell r="CD84">
            <v>3.4</v>
          </cell>
          <cell r="CE84">
            <v>3.5</v>
          </cell>
          <cell r="CF84">
            <v>3.7</v>
          </cell>
          <cell r="CG84">
            <v>-0.4</v>
          </cell>
          <cell r="CH84">
            <v>-0.1</v>
          </cell>
          <cell r="CI84">
            <v>0.2</v>
          </cell>
          <cell r="CJ84">
            <v>0.4</v>
          </cell>
          <cell r="CK84">
            <v>0.7</v>
          </cell>
          <cell r="CL84">
            <v>0.9</v>
          </cell>
          <cell r="CM84">
            <v>-1.24e-6</v>
          </cell>
          <cell r="CN84">
            <v>1.097e-8</v>
          </cell>
          <cell r="CO84">
            <v>-1.25e-11</v>
          </cell>
          <cell r="CP84">
            <v>6.33e-7</v>
          </cell>
          <cell r="CQ84">
            <v>6.127e-10</v>
          </cell>
          <cell r="CR84">
            <v>0.205</v>
          </cell>
          <cell r="CS84">
            <v>1</v>
          </cell>
          <cell r="CT84">
            <v>3</v>
          </cell>
          <cell r="CU84">
            <v>1</v>
          </cell>
          <cell r="CV84">
            <v>3</v>
          </cell>
          <cell r="CW84">
            <v>1</v>
          </cell>
          <cell r="CX84">
            <v>2</v>
          </cell>
          <cell r="CY84">
            <v>0</v>
          </cell>
          <cell r="CZ84">
            <v>0</v>
          </cell>
          <cell r="DA84">
            <v>646</v>
          </cell>
          <cell r="DB84">
            <v>695</v>
          </cell>
          <cell r="DC84">
            <v>603</v>
          </cell>
          <cell r="DD84">
            <v>640</v>
          </cell>
          <cell r="DE84">
            <v>74</v>
          </cell>
          <cell r="DF84">
            <v>0</v>
          </cell>
          <cell r="DG84">
            <v>87</v>
          </cell>
          <cell r="DH84">
            <v>0</v>
          </cell>
          <cell r="DI84">
            <v>120</v>
          </cell>
          <cell r="DJ84">
            <v>0</v>
          </cell>
          <cell r="DK84">
            <v>545</v>
          </cell>
          <cell r="DL84">
            <v>159</v>
          </cell>
          <cell r="DM84">
            <v>9194</v>
          </cell>
          <cell r="DN84">
            <v>3600</v>
          </cell>
          <cell r="DO84">
            <v>0.277</v>
          </cell>
          <cell r="DP84">
            <v>0</v>
          </cell>
          <cell r="DQ84" t="str">
            <v>380/330</v>
          </cell>
          <cell r="DR84">
            <v>363</v>
          </cell>
          <cell r="DS84">
            <v>335</v>
          </cell>
          <cell r="DT84">
            <v>3.97</v>
          </cell>
          <cell r="DU84">
            <v>0.922</v>
          </cell>
          <cell r="DV84">
            <v>0.976</v>
          </cell>
          <cell r="DW84">
            <v>0.99</v>
          </cell>
          <cell r="DX84">
            <v>0.999</v>
          </cell>
          <cell r="DY84">
            <v>0.999</v>
          </cell>
          <cell r="DZ84">
            <v>0.999</v>
          </cell>
          <cell r="EA84">
            <v>0.999</v>
          </cell>
          <cell r="EB84">
            <v>0.999</v>
          </cell>
          <cell r="EC84">
            <v>0.999</v>
          </cell>
          <cell r="ED84">
            <v>0.999</v>
          </cell>
          <cell r="EE84">
            <v>0.999</v>
          </cell>
          <cell r="EF84">
            <v>0.999</v>
          </cell>
          <cell r="EG84">
            <v>0.999</v>
          </cell>
          <cell r="EH84">
            <v>0.999</v>
          </cell>
          <cell r="EI84">
            <v>0.999</v>
          </cell>
          <cell r="EJ84">
            <v>0.999</v>
          </cell>
          <cell r="EK84">
            <v>0.999</v>
          </cell>
          <cell r="EL84">
            <v>0.999</v>
          </cell>
          <cell r="EM84">
            <v>0.999</v>
          </cell>
          <cell r="EN84">
            <v>0.997</v>
          </cell>
          <cell r="EO84">
            <v>0.995</v>
          </cell>
          <cell r="EP84">
            <v>0.992</v>
          </cell>
          <cell r="EQ84">
            <v>0.987</v>
          </cell>
          <cell r="ER84">
            <v>0.981</v>
          </cell>
          <cell r="ES84">
            <v>0.974</v>
          </cell>
          <cell r="ET84">
            <v>0.961</v>
          </cell>
          <cell r="EU84">
            <v>0.932</v>
          </cell>
          <cell r="EV84">
            <v>0.866</v>
          </cell>
          <cell r="EW84">
            <v>0.716</v>
          </cell>
          <cell r="EX84">
            <v>0.409</v>
          </cell>
          <cell r="EY84">
            <v>0.078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0.85</v>
          </cell>
          <cell r="FF84">
            <v>0.953</v>
          </cell>
          <cell r="FG84">
            <v>0.98</v>
          </cell>
          <cell r="FH84">
            <v>0.998</v>
          </cell>
          <cell r="FI84">
            <v>0.998</v>
          </cell>
          <cell r="FJ84">
            <v>0.998</v>
          </cell>
          <cell r="FK84">
            <v>0.998</v>
          </cell>
          <cell r="FL84">
            <v>0.998</v>
          </cell>
          <cell r="FM84">
            <v>0.998</v>
          </cell>
          <cell r="FN84">
            <v>0.998</v>
          </cell>
          <cell r="FO84">
            <v>0.998</v>
          </cell>
          <cell r="FP84">
            <v>0.998</v>
          </cell>
          <cell r="FQ84">
            <v>0.998</v>
          </cell>
          <cell r="FR84">
            <v>0.998</v>
          </cell>
          <cell r="FS84">
            <v>0.998</v>
          </cell>
          <cell r="FT84">
            <v>0.998</v>
          </cell>
          <cell r="FU84">
            <v>0.998</v>
          </cell>
          <cell r="FV84">
            <v>0.998</v>
          </cell>
          <cell r="FW84">
            <v>0.998</v>
          </cell>
          <cell r="FX84">
            <v>0.994</v>
          </cell>
          <cell r="FY84">
            <v>0.99</v>
          </cell>
          <cell r="FZ84">
            <v>0.986</v>
          </cell>
          <cell r="GA84">
            <v>0.982</v>
          </cell>
          <cell r="GB84">
            <v>0.971</v>
          </cell>
          <cell r="GC84">
            <v>0.957</v>
          </cell>
          <cell r="GD84">
            <v>0.931</v>
          </cell>
          <cell r="GE84">
            <v>0.876</v>
          </cell>
          <cell r="GF84">
            <v>0.759</v>
          </cell>
          <cell r="GG84">
            <v>0.521</v>
          </cell>
          <cell r="GH84">
            <v>0.174</v>
          </cell>
          <cell r="GI84">
            <v>0.01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</row>
        <row r="85">
          <cell r="B85" t="str">
            <v>H-LaF2</v>
          </cell>
          <cell r="C85">
            <v>717479</v>
          </cell>
          <cell r="D85">
            <v>47.89</v>
          </cell>
          <cell r="E85">
            <v>47.65</v>
          </cell>
          <cell r="F85">
            <v>0.014972</v>
          </cell>
          <cell r="G85">
            <v>0.015122</v>
          </cell>
          <cell r="H85">
            <v>1.68162</v>
          </cell>
          <cell r="I85">
            <v>1.68709</v>
          </cell>
          <cell r="J85">
            <v>1.69323</v>
          </cell>
          <cell r="K85">
            <v>1.69906</v>
          </cell>
          <cell r="L85">
            <v>1.70112</v>
          </cell>
          <cell r="M85">
            <v>1.70486</v>
          </cell>
          <cell r="N85">
            <v>1.70752</v>
          </cell>
          <cell r="O85">
            <v>1.70999</v>
          </cell>
          <cell r="P85">
            <v>1.7125</v>
          </cell>
          <cell r="Q85">
            <v>1.71321</v>
          </cell>
          <cell r="R85">
            <v>1.71387</v>
          </cell>
          <cell r="S85">
            <v>1.71685</v>
          </cell>
          <cell r="T85">
            <v>1.717</v>
          </cell>
          <cell r="U85">
            <v>1.72056</v>
          </cell>
          <cell r="V85">
            <v>1.72747</v>
          </cell>
          <cell r="W85">
            <v>1.72833</v>
          </cell>
          <cell r="X85">
            <v>1.73583</v>
          </cell>
          <cell r="Y85">
            <v>1.74287</v>
          </cell>
          <cell r="Z85">
            <v>1.75517</v>
          </cell>
          <cell r="AA85">
            <v>2.88352222</v>
          </cell>
          <cell r="AB85">
            <v>-0.0110333797</v>
          </cell>
          <cell r="AC85">
            <v>0.0214058991</v>
          </cell>
          <cell r="AD85">
            <v>0.00091618854</v>
          </cell>
          <cell r="AE85">
            <v>-7.10356524e-5</v>
          </cell>
          <cell r="AF85">
            <v>5.14524697e-6</v>
          </cell>
          <cell r="AG85">
            <v>0.300601202404818</v>
          </cell>
          <cell r="AH85">
            <v>0.237808951235803</v>
          </cell>
          <cell r="AI85">
            <v>0.558450233800925</v>
          </cell>
          <cell r="AJ85">
            <v>0.250661375661387</v>
          </cell>
          <cell r="AK85">
            <v>0.235449735449736</v>
          </cell>
          <cell r="AL85">
            <v>0.496031746031749</v>
          </cell>
          <cell r="AM85">
            <v>-0.00217487364062108</v>
          </cell>
          <cell r="AN85">
            <v>-0.00560447619907543</v>
          </cell>
          <cell r="AO85">
            <v>-0.0119878992518482</v>
          </cell>
          <cell r="AP85">
            <v>-0.00498195858384816</v>
          </cell>
          <cell r="AQ85">
            <v>1.3</v>
          </cell>
          <cell r="AR85">
            <v>1.2</v>
          </cell>
          <cell r="AS85">
            <v>1.2</v>
          </cell>
          <cell r="AT85">
            <v>1.1</v>
          </cell>
          <cell r="AU85">
            <v>1.2</v>
          </cell>
          <cell r="AV85">
            <v>1.3</v>
          </cell>
          <cell r="AW85">
            <v>1.8</v>
          </cell>
          <cell r="AX85">
            <v>1.8</v>
          </cell>
          <cell r="AY85">
            <v>1.8</v>
          </cell>
          <cell r="AZ85">
            <v>1.7</v>
          </cell>
          <cell r="BA85">
            <v>1.8</v>
          </cell>
          <cell r="BB85">
            <v>1.9</v>
          </cell>
          <cell r="BC85">
            <v>1.9</v>
          </cell>
          <cell r="BD85">
            <v>1.8</v>
          </cell>
          <cell r="BE85">
            <v>1.8</v>
          </cell>
          <cell r="BF85">
            <v>1.8</v>
          </cell>
          <cell r="BG85">
            <v>1.8</v>
          </cell>
          <cell r="BH85">
            <v>2</v>
          </cell>
          <cell r="BI85">
            <v>2</v>
          </cell>
          <cell r="BJ85">
            <v>2</v>
          </cell>
          <cell r="BK85">
            <v>2</v>
          </cell>
          <cell r="BL85">
            <v>2</v>
          </cell>
          <cell r="BM85">
            <v>2</v>
          </cell>
          <cell r="BN85">
            <v>2.2</v>
          </cell>
          <cell r="BO85">
            <v>2.3</v>
          </cell>
          <cell r="BP85">
            <v>2.2</v>
          </cell>
          <cell r="BQ85">
            <v>2.2</v>
          </cell>
          <cell r="BR85">
            <v>2.2</v>
          </cell>
          <cell r="BS85">
            <v>2.3</v>
          </cell>
          <cell r="BT85">
            <v>2.4</v>
          </cell>
          <cell r="BU85">
            <v>2.8</v>
          </cell>
          <cell r="BV85">
            <v>2.7</v>
          </cell>
          <cell r="BW85">
            <v>2.7</v>
          </cell>
          <cell r="BX85">
            <v>2.7</v>
          </cell>
          <cell r="BY85">
            <v>2.8</v>
          </cell>
          <cell r="BZ85">
            <v>3</v>
          </cell>
          <cell r="CA85">
            <v>3.2</v>
          </cell>
          <cell r="CB85">
            <v>3.3</v>
          </cell>
          <cell r="CC85">
            <v>3.3</v>
          </cell>
          <cell r="CD85">
            <v>3.3</v>
          </cell>
          <cell r="CE85">
            <v>3.4</v>
          </cell>
          <cell r="CF85">
            <v>3.6</v>
          </cell>
          <cell r="CG85">
            <v>-0.5</v>
          </cell>
          <cell r="CH85">
            <v>-0.2</v>
          </cell>
          <cell r="CI85">
            <v>0.1</v>
          </cell>
          <cell r="CJ85">
            <v>0.3</v>
          </cell>
          <cell r="CK85">
            <v>0.5</v>
          </cell>
          <cell r="CL85">
            <v>0.8</v>
          </cell>
          <cell r="CM85">
            <v>-1.75e-6</v>
          </cell>
          <cell r="CN85">
            <v>9.4e-9</v>
          </cell>
          <cell r="CO85">
            <v>3.74e-12</v>
          </cell>
          <cell r="CP85">
            <v>7.71e-7</v>
          </cell>
          <cell r="CQ85">
            <v>7.637e-10</v>
          </cell>
          <cell r="CR85">
            <v>0.138</v>
          </cell>
          <cell r="CS85">
            <v>1</v>
          </cell>
          <cell r="CT85">
            <v>1</v>
          </cell>
          <cell r="CU85">
            <v>1</v>
          </cell>
          <cell r="CV85">
            <v>3</v>
          </cell>
          <cell r="CW85">
            <v>1</v>
          </cell>
          <cell r="CX85">
            <v>2</v>
          </cell>
          <cell r="CY85">
            <v>0</v>
          </cell>
          <cell r="CZ85">
            <v>0</v>
          </cell>
          <cell r="DA85">
            <v>626</v>
          </cell>
          <cell r="DB85">
            <v>681</v>
          </cell>
          <cell r="DC85">
            <v>577</v>
          </cell>
          <cell r="DD85">
            <v>618</v>
          </cell>
          <cell r="DE85">
            <v>73</v>
          </cell>
          <cell r="DF85">
            <v>0</v>
          </cell>
          <cell r="DG85">
            <v>87</v>
          </cell>
          <cell r="DH85">
            <v>0</v>
          </cell>
          <cell r="DI85">
            <v>120</v>
          </cell>
          <cell r="DJ85">
            <v>0</v>
          </cell>
          <cell r="DK85">
            <v>516</v>
          </cell>
          <cell r="DL85">
            <v>180</v>
          </cell>
          <cell r="DM85">
            <v>9005</v>
          </cell>
          <cell r="DN85">
            <v>3498</v>
          </cell>
          <cell r="DO85">
            <v>0.287</v>
          </cell>
          <cell r="DP85">
            <v>0</v>
          </cell>
          <cell r="DQ85" t="str">
            <v>370/320</v>
          </cell>
          <cell r="DR85">
            <v>350</v>
          </cell>
          <cell r="DS85">
            <v>323</v>
          </cell>
          <cell r="DT85">
            <v>4.18</v>
          </cell>
          <cell r="DU85">
            <v>0.904</v>
          </cell>
          <cell r="DV85">
            <v>0.966</v>
          </cell>
          <cell r="DW85">
            <v>0.99</v>
          </cell>
          <cell r="DX85">
            <v>0.999</v>
          </cell>
          <cell r="DY85">
            <v>0.999</v>
          </cell>
          <cell r="DZ85">
            <v>0.999</v>
          </cell>
          <cell r="EA85">
            <v>0.999</v>
          </cell>
          <cell r="EB85">
            <v>0.999</v>
          </cell>
          <cell r="EC85">
            <v>0.999</v>
          </cell>
          <cell r="ED85">
            <v>0.999</v>
          </cell>
          <cell r="EE85">
            <v>0.999</v>
          </cell>
          <cell r="EF85">
            <v>0.999</v>
          </cell>
          <cell r="EG85">
            <v>0.999</v>
          </cell>
          <cell r="EH85">
            <v>0.999</v>
          </cell>
          <cell r="EI85">
            <v>0.999</v>
          </cell>
          <cell r="EJ85">
            <v>0.999</v>
          </cell>
          <cell r="EK85">
            <v>0.999</v>
          </cell>
          <cell r="EL85">
            <v>0.999</v>
          </cell>
          <cell r="EM85">
            <v>0.999</v>
          </cell>
          <cell r="EN85">
            <v>0.999</v>
          </cell>
          <cell r="EO85">
            <v>0.999</v>
          </cell>
          <cell r="EP85">
            <v>0.999</v>
          </cell>
          <cell r="EQ85">
            <v>0.998</v>
          </cell>
          <cell r="ER85">
            <v>0.996</v>
          </cell>
          <cell r="ES85">
            <v>0.993</v>
          </cell>
          <cell r="ET85">
            <v>0.985</v>
          </cell>
          <cell r="EU85">
            <v>0.967</v>
          </cell>
          <cell r="EV85">
            <v>0.94</v>
          </cell>
          <cell r="EW85">
            <v>0.881</v>
          </cell>
          <cell r="EX85">
            <v>0.746</v>
          </cell>
          <cell r="EY85">
            <v>0.465</v>
          </cell>
          <cell r="EZ85">
            <v>0.115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0.817</v>
          </cell>
          <cell r="FF85">
            <v>0.933</v>
          </cell>
          <cell r="FG85">
            <v>0.98</v>
          </cell>
          <cell r="FH85">
            <v>0.998</v>
          </cell>
          <cell r="FI85">
            <v>0.998</v>
          </cell>
          <cell r="FJ85">
            <v>0.998</v>
          </cell>
          <cell r="FK85">
            <v>0.998</v>
          </cell>
          <cell r="FL85">
            <v>0.998</v>
          </cell>
          <cell r="FM85">
            <v>0.998</v>
          </cell>
          <cell r="FN85">
            <v>0.998</v>
          </cell>
          <cell r="FO85">
            <v>0.998</v>
          </cell>
          <cell r="FP85">
            <v>0.998</v>
          </cell>
          <cell r="FQ85">
            <v>0.998</v>
          </cell>
          <cell r="FR85">
            <v>0.998</v>
          </cell>
          <cell r="FS85">
            <v>0.998</v>
          </cell>
          <cell r="FT85">
            <v>0.998</v>
          </cell>
          <cell r="FU85">
            <v>0.998</v>
          </cell>
          <cell r="FV85">
            <v>0.998</v>
          </cell>
          <cell r="FW85">
            <v>0.998</v>
          </cell>
          <cell r="FX85">
            <v>0.998</v>
          </cell>
          <cell r="FY85">
            <v>0.998</v>
          </cell>
          <cell r="FZ85">
            <v>0.998</v>
          </cell>
          <cell r="GA85">
            <v>0.996</v>
          </cell>
          <cell r="GB85">
            <v>0.992</v>
          </cell>
          <cell r="GC85">
            <v>0.987</v>
          </cell>
          <cell r="GD85">
            <v>0.975</v>
          </cell>
          <cell r="GE85">
            <v>0.949</v>
          </cell>
          <cell r="GF85">
            <v>0.895</v>
          </cell>
          <cell r="GG85">
            <v>0.787</v>
          </cell>
          <cell r="GH85">
            <v>0.566</v>
          </cell>
          <cell r="GI85">
            <v>0.221</v>
          </cell>
          <cell r="GJ85">
            <v>0.017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</row>
        <row r="86">
          <cell r="B86" t="str">
            <v>H-LaF3B</v>
          </cell>
          <cell r="C86">
            <v>744449</v>
          </cell>
          <cell r="D86">
            <v>44.9</v>
          </cell>
          <cell r="E86">
            <v>44.63</v>
          </cell>
          <cell r="F86">
            <v>0.01657</v>
          </cell>
          <cell r="G86">
            <v>0.01676</v>
          </cell>
          <cell r="H86">
            <v>1.70713</v>
          </cell>
          <cell r="I86">
            <v>1.71244</v>
          </cell>
          <cell r="J86">
            <v>1.71852</v>
          </cell>
          <cell r="K86">
            <v>1.72451</v>
          </cell>
          <cell r="L86">
            <v>1.72667</v>
          </cell>
          <cell r="M86">
            <v>1.7307</v>
          </cell>
          <cell r="N86">
            <v>1.73359</v>
          </cell>
          <cell r="O86">
            <v>1.7363</v>
          </cell>
          <cell r="P86">
            <v>1.73906</v>
          </cell>
          <cell r="Q86">
            <v>1.73984</v>
          </cell>
          <cell r="R86">
            <v>1.74057</v>
          </cell>
          <cell r="S86">
            <v>1.74386</v>
          </cell>
          <cell r="T86">
            <v>1.744</v>
          </cell>
          <cell r="U86">
            <v>1.74794</v>
          </cell>
          <cell r="V86">
            <v>1.75563</v>
          </cell>
          <cell r="W86">
            <v>1.7566</v>
          </cell>
          <cell r="X86">
            <v>1.76496</v>
          </cell>
          <cell r="Y86">
            <v>1.77285</v>
          </cell>
          <cell r="Z86">
            <v>1.78666</v>
          </cell>
          <cell r="AA86">
            <v>2.96773191</v>
          </cell>
          <cell r="AB86">
            <v>-0.0107334025</v>
          </cell>
          <cell r="AC86">
            <v>0.0246639798</v>
          </cell>
          <cell r="AD86">
            <v>0.000796273827</v>
          </cell>
          <cell r="AE86">
            <v>-3.49870097e-5</v>
          </cell>
          <cell r="AF86">
            <v>3.36130613e-6</v>
          </cell>
          <cell r="AG86">
            <v>0.298129149064572</v>
          </cell>
          <cell r="AH86">
            <v>0.237779118889563</v>
          </cell>
          <cell r="AI86">
            <v>0.563065781532895</v>
          </cell>
          <cell r="AJ86">
            <v>0.248210023866347</v>
          </cell>
          <cell r="AK86">
            <v>0.235083532219575</v>
          </cell>
          <cell r="AL86">
            <v>0.498806682577578</v>
          </cell>
          <cell r="AM86">
            <v>-0.00132346795413479</v>
          </cell>
          <cell r="AN86">
            <v>-0.00595531846710463</v>
          </cell>
          <cell r="AO86">
            <v>-0.00994852613155445</v>
          </cell>
          <cell r="AP86">
            <v>-0.00363374773686422</v>
          </cell>
          <cell r="AQ86">
            <v>2</v>
          </cell>
          <cell r="AR86">
            <v>2</v>
          </cell>
          <cell r="AS86">
            <v>2</v>
          </cell>
          <cell r="AT86">
            <v>1.9</v>
          </cell>
          <cell r="AU86">
            <v>2</v>
          </cell>
          <cell r="AV86">
            <v>2</v>
          </cell>
          <cell r="AW86">
            <v>2.7</v>
          </cell>
          <cell r="AX86">
            <v>2.7</v>
          </cell>
          <cell r="AY86">
            <v>2.7</v>
          </cell>
          <cell r="AZ86">
            <v>2.7</v>
          </cell>
          <cell r="BA86">
            <v>2.7</v>
          </cell>
          <cell r="BB86">
            <v>2.9</v>
          </cell>
          <cell r="BC86">
            <v>2.7</v>
          </cell>
          <cell r="BD86">
            <v>2.7</v>
          </cell>
          <cell r="BE86">
            <v>2.7</v>
          </cell>
          <cell r="BF86">
            <v>2.7</v>
          </cell>
          <cell r="BG86">
            <v>2.8</v>
          </cell>
          <cell r="BH86">
            <v>2.9</v>
          </cell>
          <cell r="BI86">
            <v>2.9</v>
          </cell>
          <cell r="BJ86">
            <v>2.9</v>
          </cell>
          <cell r="BK86">
            <v>2.9</v>
          </cell>
          <cell r="BL86">
            <v>2.9</v>
          </cell>
          <cell r="BM86">
            <v>3</v>
          </cell>
          <cell r="BN86">
            <v>3.1</v>
          </cell>
          <cell r="BO86">
            <v>3.2</v>
          </cell>
          <cell r="BP86">
            <v>3.2</v>
          </cell>
          <cell r="BQ86">
            <v>3.2</v>
          </cell>
          <cell r="BR86">
            <v>3.2</v>
          </cell>
          <cell r="BS86">
            <v>3.3</v>
          </cell>
          <cell r="BT86">
            <v>3.4</v>
          </cell>
          <cell r="BU86">
            <v>3.8</v>
          </cell>
          <cell r="BV86">
            <v>3.8</v>
          </cell>
          <cell r="BW86">
            <v>3.9</v>
          </cell>
          <cell r="BX86">
            <v>3.9</v>
          </cell>
          <cell r="BY86">
            <v>4</v>
          </cell>
          <cell r="BZ86">
            <v>4.1</v>
          </cell>
          <cell r="CA86">
            <v>4.4</v>
          </cell>
          <cell r="CB86">
            <v>4.4</v>
          </cell>
          <cell r="CC86">
            <v>4.5</v>
          </cell>
          <cell r="CD86">
            <v>4.5</v>
          </cell>
          <cell r="CE86">
            <v>4.6</v>
          </cell>
          <cell r="CF86">
            <v>4.8</v>
          </cell>
          <cell r="CG86">
            <v>0.4</v>
          </cell>
          <cell r="CH86">
            <v>0.7</v>
          </cell>
          <cell r="CI86">
            <v>1</v>
          </cell>
          <cell r="CJ86">
            <v>1.2</v>
          </cell>
          <cell r="CK86">
            <v>1.4</v>
          </cell>
          <cell r="CL86">
            <v>1.7</v>
          </cell>
          <cell r="CM86">
            <v>-2.5e-7</v>
          </cell>
          <cell r="CN86">
            <v>1.019e-8</v>
          </cell>
          <cell r="CO86">
            <v>-5.84e-12</v>
          </cell>
          <cell r="CP86">
            <v>7.79e-7</v>
          </cell>
          <cell r="CQ86">
            <v>6.42e-10</v>
          </cell>
          <cell r="CR86">
            <v>0.177</v>
          </cell>
          <cell r="CS86">
            <v>1</v>
          </cell>
          <cell r="CT86">
            <v>3</v>
          </cell>
          <cell r="CU86">
            <v>1</v>
          </cell>
          <cell r="CV86">
            <v>3</v>
          </cell>
          <cell r="CW86">
            <v>1</v>
          </cell>
          <cell r="CX86">
            <v>1</v>
          </cell>
          <cell r="CY86">
            <v>0</v>
          </cell>
          <cell r="CZ86">
            <v>0</v>
          </cell>
          <cell r="DA86">
            <v>611</v>
          </cell>
          <cell r="DB86">
            <v>679</v>
          </cell>
          <cell r="DC86">
            <v>557</v>
          </cell>
          <cell r="DD86">
            <v>602</v>
          </cell>
          <cell r="DE86">
            <v>74</v>
          </cell>
          <cell r="DF86">
            <v>0</v>
          </cell>
          <cell r="DG86">
            <v>89</v>
          </cell>
          <cell r="DH86">
            <v>0</v>
          </cell>
          <cell r="DI86">
            <v>108</v>
          </cell>
          <cell r="DJ86">
            <v>0</v>
          </cell>
          <cell r="DK86">
            <v>551</v>
          </cell>
          <cell r="DL86">
            <v>149</v>
          </cell>
          <cell r="DM86">
            <v>8783</v>
          </cell>
          <cell r="DN86">
            <v>3404</v>
          </cell>
          <cell r="DO86">
            <v>0.29</v>
          </cell>
          <cell r="DP86">
            <v>0</v>
          </cell>
          <cell r="DQ86" t="str">
            <v>365/310</v>
          </cell>
          <cell r="DR86">
            <v>345</v>
          </cell>
          <cell r="DS86">
            <v>310</v>
          </cell>
          <cell r="DT86">
            <v>4.32</v>
          </cell>
          <cell r="DU86">
            <v>0.914</v>
          </cell>
          <cell r="DV86">
            <v>0.96</v>
          </cell>
          <cell r="DW86">
            <v>0.983</v>
          </cell>
          <cell r="DX86">
            <v>0.999</v>
          </cell>
          <cell r="DY86">
            <v>0.999</v>
          </cell>
          <cell r="DZ86">
            <v>0.999</v>
          </cell>
          <cell r="EA86">
            <v>0.999</v>
          </cell>
          <cell r="EB86">
            <v>0.999</v>
          </cell>
          <cell r="EC86">
            <v>0.999</v>
          </cell>
          <cell r="ED86">
            <v>0.999</v>
          </cell>
          <cell r="EE86">
            <v>0.999</v>
          </cell>
          <cell r="EF86">
            <v>0.999</v>
          </cell>
          <cell r="EG86">
            <v>0.999</v>
          </cell>
          <cell r="EH86">
            <v>0.999</v>
          </cell>
          <cell r="EI86">
            <v>0.999</v>
          </cell>
          <cell r="EJ86">
            <v>0.999</v>
          </cell>
          <cell r="EK86">
            <v>0.999</v>
          </cell>
          <cell r="EL86">
            <v>0.999</v>
          </cell>
          <cell r="EM86">
            <v>0.999</v>
          </cell>
          <cell r="EN86">
            <v>0.999</v>
          </cell>
          <cell r="EO86">
            <v>0.999</v>
          </cell>
          <cell r="EP86">
            <v>0.999</v>
          </cell>
          <cell r="EQ86">
            <v>0.997</v>
          </cell>
          <cell r="ER86">
            <v>0.994</v>
          </cell>
          <cell r="ES86">
            <v>0.99</v>
          </cell>
          <cell r="ET86">
            <v>0.987</v>
          </cell>
          <cell r="EU86">
            <v>0.977</v>
          </cell>
          <cell r="EV86">
            <v>0.954</v>
          </cell>
          <cell r="EW86">
            <v>0.922</v>
          </cell>
          <cell r="EX86">
            <v>0.864</v>
          </cell>
          <cell r="EY86">
            <v>0.759</v>
          </cell>
          <cell r="EZ86">
            <v>0.556</v>
          </cell>
          <cell r="FA86">
            <v>0.212</v>
          </cell>
          <cell r="FB86">
            <v>0</v>
          </cell>
          <cell r="FC86">
            <v>0</v>
          </cell>
          <cell r="FD86">
            <v>0</v>
          </cell>
          <cell r="FE86">
            <v>0.835</v>
          </cell>
          <cell r="FF86">
            <v>0.922</v>
          </cell>
          <cell r="FG86">
            <v>0.966</v>
          </cell>
          <cell r="FH86">
            <v>0.998</v>
          </cell>
          <cell r="FI86">
            <v>0.998</v>
          </cell>
          <cell r="FJ86">
            <v>0.998</v>
          </cell>
          <cell r="FK86">
            <v>0.998</v>
          </cell>
          <cell r="FL86">
            <v>0.998</v>
          </cell>
          <cell r="FM86">
            <v>0.998</v>
          </cell>
          <cell r="FN86">
            <v>0.998</v>
          </cell>
          <cell r="FO86">
            <v>0.998</v>
          </cell>
          <cell r="FP86">
            <v>0.998</v>
          </cell>
          <cell r="FQ86">
            <v>0.998</v>
          </cell>
          <cell r="FR86">
            <v>0.998</v>
          </cell>
          <cell r="FS86">
            <v>0.998</v>
          </cell>
          <cell r="FT86">
            <v>0.998</v>
          </cell>
          <cell r="FU86">
            <v>0.998</v>
          </cell>
          <cell r="FV86">
            <v>0.998</v>
          </cell>
          <cell r="FW86">
            <v>0.998</v>
          </cell>
          <cell r="FX86">
            <v>0.998</v>
          </cell>
          <cell r="FY86">
            <v>0.998</v>
          </cell>
          <cell r="FZ86">
            <v>0.998</v>
          </cell>
          <cell r="GA86">
            <v>0.995</v>
          </cell>
          <cell r="GB86">
            <v>0.99</v>
          </cell>
          <cell r="GC86">
            <v>0.984</v>
          </cell>
          <cell r="GD86">
            <v>0.974</v>
          </cell>
          <cell r="GE86">
            <v>0.954</v>
          </cell>
          <cell r="GF86">
            <v>0.911</v>
          </cell>
          <cell r="GG86">
            <v>0.849</v>
          </cell>
          <cell r="GH86">
            <v>0.745</v>
          </cell>
          <cell r="GI86">
            <v>0.575</v>
          </cell>
          <cell r="GJ86">
            <v>0.31</v>
          </cell>
          <cell r="GK86">
            <v>0.048</v>
          </cell>
          <cell r="GL86">
            <v>0</v>
          </cell>
          <cell r="GM86">
            <v>0</v>
          </cell>
          <cell r="GN86">
            <v>0</v>
          </cell>
        </row>
        <row r="87">
          <cell r="B87" t="str">
            <v>H-LaF4</v>
          </cell>
          <cell r="C87">
            <v>750350</v>
          </cell>
          <cell r="D87">
            <v>35.04</v>
          </cell>
          <cell r="E87">
            <v>34.77</v>
          </cell>
          <cell r="F87">
            <v>0.02139</v>
          </cell>
          <cell r="G87">
            <v>0.0217</v>
          </cell>
          <cell r="H87">
            <v>1.70492</v>
          </cell>
          <cell r="I87">
            <v>1.71111</v>
          </cell>
          <cell r="J87">
            <v>1.71821</v>
          </cell>
          <cell r="K87">
            <v>1.72529</v>
          </cell>
          <cell r="L87">
            <v>1.72791</v>
          </cell>
          <cell r="M87">
            <v>1.73282</v>
          </cell>
          <cell r="N87">
            <v>1.73638</v>
          </cell>
          <cell r="O87">
            <v>1.73976</v>
          </cell>
          <cell r="P87">
            <v>1.74324</v>
          </cell>
          <cell r="Q87">
            <v>1.74422</v>
          </cell>
          <cell r="R87">
            <v>1.74513</v>
          </cell>
          <cell r="S87">
            <v>1.74931</v>
          </cell>
          <cell r="T87">
            <v>1.7495</v>
          </cell>
          <cell r="U87">
            <v>1.75456</v>
          </cell>
          <cell r="V87">
            <v>1.76463</v>
          </cell>
          <cell r="W87">
            <v>1.76592</v>
          </cell>
          <cell r="X87">
            <v>1.77718</v>
          </cell>
          <cell r="Y87">
            <v>1.78813</v>
          </cell>
          <cell r="Z87">
            <v>1.80817</v>
          </cell>
          <cell r="AA87">
            <v>2.96835124</v>
          </cell>
          <cell r="AB87">
            <v>-0.0124121364</v>
          </cell>
          <cell r="AC87">
            <v>0.0296121393</v>
          </cell>
          <cell r="AD87">
            <v>0.00142472271</v>
          </cell>
          <cell r="AE87">
            <v>-7.04844466e-5</v>
          </cell>
          <cell r="AF87">
            <v>9.47263949e-6</v>
          </cell>
          <cell r="AG87">
            <v>0.292660121552134</v>
          </cell>
          <cell r="AH87">
            <v>0.236559139784939</v>
          </cell>
          <cell r="AI87">
            <v>0.586722767648436</v>
          </cell>
          <cell r="AJ87">
            <v>0.24331797235023</v>
          </cell>
          <cell r="AK87">
            <v>0.233179723502299</v>
          </cell>
          <cell r="AL87">
            <v>0.518894009216596</v>
          </cell>
          <cell r="AM87">
            <v>-7.7181337072782e-5</v>
          </cell>
          <cell r="AN87">
            <v>0.00132420764843616</v>
          </cell>
          <cell r="AO87">
            <v>0.00678620207572839</v>
          </cell>
          <cell r="AP87">
            <v>0.00264752501168138</v>
          </cell>
          <cell r="AQ87">
            <v>0.5</v>
          </cell>
          <cell r="AR87">
            <v>0.4</v>
          </cell>
          <cell r="AS87">
            <v>0.4</v>
          </cell>
          <cell r="AT87">
            <v>0.5</v>
          </cell>
          <cell r="AU87">
            <v>0.6</v>
          </cell>
          <cell r="AV87">
            <v>0.7</v>
          </cell>
          <cell r="AW87">
            <v>1.3</v>
          </cell>
          <cell r="AX87">
            <v>1.2</v>
          </cell>
          <cell r="AY87">
            <v>1.3</v>
          </cell>
          <cell r="AZ87">
            <v>1.4</v>
          </cell>
          <cell r="BA87">
            <v>1.5</v>
          </cell>
          <cell r="BB87">
            <v>1.7</v>
          </cell>
          <cell r="BC87">
            <v>1.3</v>
          </cell>
          <cell r="BD87">
            <v>1.3</v>
          </cell>
          <cell r="BE87">
            <v>1.3</v>
          </cell>
          <cell r="BF87">
            <v>1.4</v>
          </cell>
          <cell r="BG87">
            <v>1.6</v>
          </cell>
          <cell r="BH87">
            <v>1.7</v>
          </cell>
          <cell r="BI87">
            <v>1.5</v>
          </cell>
          <cell r="BJ87">
            <v>1.6</v>
          </cell>
          <cell r="BK87">
            <v>1.6</v>
          </cell>
          <cell r="BL87">
            <v>1.7</v>
          </cell>
          <cell r="BM87">
            <v>1.8</v>
          </cell>
          <cell r="BN87">
            <v>2</v>
          </cell>
          <cell r="BO87">
            <v>1.9</v>
          </cell>
          <cell r="BP87">
            <v>1.9</v>
          </cell>
          <cell r="BQ87">
            <v>2</v>
          </cell>
          <cell r="BR87">
            <v>2.1</v>
          </cell>
          <cell r="BS87">
            <v>2.2</v>
          </cell>
          <cell r="BT87">
            <v>2.4</v>
          </cell>
          <cell r="BU87">
            <v>2.6</v>
          </cell>
          <cell r="BV87">
            <v>2.7</v>
          </cell>
          <cell r="BW87">
            <v>2.8</v>
          </cell>
          <cell r="BX87">
            <v>3</v>
          </cell>
          <cell r="BY87">
            <v>3.2</v>
          </cell>
          <cell r="BZ87">
            <v>3.4</v>
          </cell>
          <cell r="CA87">
            <v>3.5</v>
          </cell>
          <cell r="CB87">
            <v>3.6</v>
          </cell>
          <cell r="CC87">
            <v>3.8</v>
          </cell>
          <cell r="CD87">
            <v>4</v>
          </cell>
          <cell r="CE87">
            <v>4.2</v>
          </cell>
          <cell r="CF87">
            <v>4.5</v>
          </cell>
          <cell r="CG87">
            <v>-1.1</v>
          </cell>
          <cell r="CH87">
            <v>-0.7</v>
          </cell>
          <cell r="CI87">
            <v>-0.4</v>
          </cell>
          <cell r="CJ87">
            <v>-0.1</v>
          </cell>
          <cell r="CK87">
            <v>0.2</v>
          </cell>
          <cell r="CL87">
            <v>0.5</v>
          </cell>
          <cell r="CM87">
            <v>-2.73e-6</v>
          </cell>
          <cell r="CN87">
            <v>1.007e-8</v>
          </cell>
          <cell r="CO87">
            <v>1.23e-12</v>
          </cell>
          <cell r="CP87">
            <v>7.57e-7</v>
          </cell>
          <cell r="CQ87">
            <v>1.0565e-9</v>
          </cell>
          <cell r="CR87">
            <v>0.263</v>
          </cell>
          <cell r="CS87">
            <v>1</v>
          </cell>
          <cell r="CT87">
            <v>1</v>
          </cell>
          <cell r="CU87">
            <v>1</v>
          </cell>
          <cell r="CV87">
            <v>2</v>
          </cell>
          <cell r="CW87">
            <v>1</v>
          </cell>
          <cell r="CX87">
            <v>2</v>
          </cell>
          <cell r="CY87">
            <v>0</v>
          </cell>
          <cell r="CZ87">
            <v>0</v>
          </cell>
          <cell r="DA87">
            <v>580</v>
          </cell>
          <cell r="DB87">
            <v>635</v>
          </cell>
          <cell r="DC87">
            <v>528</v>
          </cell>
          <cell r="DD87">
            <v>569</v>
          </cell>
          <cell r="DE87">
            <v>78</v>
          </cell>
          <cell r="DF87">
            <v>0</v>
          </cell>
          <cell r="DG87">
            <v>95</v>
          </cell>
          <cell r="DH87">
            <v>0</v>
          </cell>
          <cell r="DI87">
            <v>195</v>
          </cell>
          <cell r="DJ87">
            <v>0</v>
          </cell>
          <cell r="DK87">
            <v>514</v>
          </cell>
          <cell r="DL87">
            <v>173</v>
          </cell>
          <cell r="DM87">
            <v>9100</v>
          </cell>
          <cell r="DN87">
            <v>3560</v>
          </cell>
          <cell r="DO87">
            <v>0.278</v>
          </cell>
          <cell r="DP87">
            <v>0</v>
          </cell>
          <cell r="DQ87" t="str">
            <v>415/350</v>
          </cell>
          <cell r="DR87">
            <v>389</v>
          </cell>
          <cell r="DS87">
            <v>350</v>
          </cell>
          <cell r="DT87">
            <v>3.85</v>
          </cell>
          <cell r="DU87">
            <v>0.934</v>
          </cell>
          <cell r="DV87">
            <v>0.978</v>
          </cell>
          <cell r="DW87">
            <v>0.995</v>
          </cell>
          <cell r="DX87">
            <v>0.999</v>
          </cell>
          <cell r="DY87">
            <v>0.999</v>
          </cell>
          <cell r="DZ87">
            <v>0.999</v>
          </cell>
          <cell r="EA87">
            <v>0.999</v>
          </cell>
          <cell r="EB87">
            <v>0.999</v>
          </cell>
          <cell r="EC87">
            <v>0.999</v>
          </cell>
          <cell r="ED87">
            <v>0.999</v>
          </cell>
          <cell r="EE87">
            <v>0.999</v>
          </cell>
          <cell r="EF87">
            <v>0.998</v>
          </cell>
          <cell r="EG87">
            <v>0.998</v>
          </cell>
          <cell r="EH87">
            <v>0.998</v>
          </cell>
          <cell r="EI87">
            <v>0.998</v>
          </cell>
          <cell r="EJ87">
            <v>0.998</v>
          </cell>
          <cell r="EK87">
            <v>0.998</v>
          </cell>
          <cell r="EL87">
            <v>0.998</v>
          </cell>
          <cell r="EM87">
            <v>0.998</v>
          </cell>
          <cell r="EN87">
            <v>0.993</v>
          </cell>
          <cell r="EO87">
            <v>0.99</v>
          </cell>
          <cell r="EP87">
            <v>0.982</v>
          </cell>
          <cell r="EQ87">
            <v>0.966</v>
          </cell>
          <cell r="ER87">
            <v>0.924</v>
          </cell>
          <cell r="ES87">
            <v>0.888</v>
          </cell>
          <cell r="ET87">
            <v>0.819</v>
          </cell>
          <cell r="EU87">
            <v>0.707</v>
          </cell>
          <cell r="EV87">
            <v>0.506</v>
          </cell>
          <cell r="EW87">
            <v>0.202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0.872</v>
          </cell>
          <cell r="FF87">
            <v>0.956</v>
          </cell>
          <cell r="FG87">
            <v>0.99</v>
          </cell>
          <cell r="FH87">
            <v>0.998</v>
          </cell>
          <cell r="FI87">
            <v>0.998</v>
          </cell>
          <cell r="FJ87">
            <v>0.998</v>
          </cell>
          <cell r="FK87">
            <v>0.998</v>
          </cell>
          <cell r="FL87">
            <v>0.998</v>
          </cell>
          <cell r="FM87">
            <v>0.998</v>
          </cell>
          <cell r="FN87">
            <v>0.998</v>
          </cell>
          <cell r="FO87">
            <v>0.998</v>
          </cell>
          <cell r="FP87">
            <v>0.996</v>
          </cell>
          <cell r="FQ87">
            <v>0.996</v>
          </cell>
          <cell r="FR87">
            <v>0.996</v>
          </cell>
          <cell r="FS87">
            <v>0.996</v>
          </cell>
          <cell r="FT87">
            <v>0.996</v>
          </cell>
          <cell r="FU87">
            <v>0.996</v>
          </cell>
          <cell r="FV87">
            <v>0.996</v>
          </cell>
          <cell r="FW87">
            <v>0.996</v>
          </cell>
          <cell r="FX87">
            <v>0.986</v>
          </cell>
          <cell r="FY87">
            <v>0.98</v>
          </cell>
          <cell r="FZ87">
            <v>0.964</v>
          </cell>
          <cell r="GA87">
            <v>0.933</v>
          </cell>
          <cell r="GB87">
            <v>0.854</v>
          </cell>
          <cell r="GC87">
            <v>0.789</v>
          </cell>
          <cell r="GD87">
            <v>0.671</v>
          </cell>
          <cell r="GE87">
            <v>0.5</v>
          </cell>
          <cell r="GF87">
            <v>0.256</v>
          </cell>
          <cell r="GG87">
            <v>0.041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</row>
        <row r="88">
          <cell r="B88" t="str">
            <v>H-LaF6LB</v>
          </cell>
          <cell r="C88">
            <v>757477</v>
          </cell>
          <cell r="D88">
            <v>47.71</v>
          </cell>
          <cell r="E88">
            <v>47.47</v>
          </cell>
          <cell r="F88">
            <v>0.015866</v>
          </cell>
          <cell r="G88">
            <v>0.016028</v>
          </cell>
          <cell r="H88">
            <v>1.71607</v>
          </cell>
          <cell r="I88">
            <v>1.72303</v>
          </cell>
          <cell r="J88">
            <v>1.73066</v>
          </cell>
          <cell r="K88">
            <v>1.73755</v>
          </cell>
          <cell r="L88">
            <v>1.73988</v>
          </cell>
          <cell r="M88">
            <v>1.744</v>
          </cell>
          <cell r="N88">
            <v>1.74687</v>
          </cell>
          <cell r="O88">
            <v>1.74954</v>
          </cell>
          <cell r="P88">
            <v>1.75223</v>
          </cell>
          <cell r="Q88">
            <v>1.75298</v>
          </cell>
          <cell r="R88">
            <v>1.75369</v>
          </cell>
          <cell r="S88">
            <v>1.75686</v>
          </cell>
          <cell r="T88">
            <v>1.757</v>
          </cell>
          <cell r="U88">
            <v>1.76078</v>
          </cell>
          <cell r="V88">
            <v>1.76809</v>
          </cell>
          <cell r="W88">
            <v>1.76901</v>
          </cell>
          <cell r="X88">
            <v>1.7769</v>
          </cell>
          <cell r="Y88">
            <v>1.78428</v>
          </cell>
          <cell r="Z88">
            <v>1.79708</v>
          </cell>
          <cell r="AA88">
            <v>3.01960928</v>
          </cell>
          <cell r="AB88">
            <v>-0.0145733647</v>
          </cell>
          <cell r="AC88">
            <v>0.0220214983</v>
          </cell>
          <cell r="AD88">
            <v>0.00132033844</v>
          </cell>
          <cell r="AE88">
            <v>-0.000120721999</v>
          </cell>
          <cell r="AF88">
            <v>7.31457542e-6</v>
          </cell>
          <cell r="AG88">
            <v>0.300756620428748</v>
          </cell>
          <cell r="AH88">
            <v>0.238335435056754</v>
          </cell>
          <cell r="AI88">
            <v>0.555485498108448</v>
          </cell>
          <cell r="AJ88">
            <v>0.250779787897687</v>
          </cell>
          <cell r="AK88">
            <v>0.235807860262016</v>
          </cell>
          <cell r="AL88">
            <v>0.492202121023079</v>
          </cell>
          <cell r="AM88">
            <v>-0.00295613548550229</v>
          </cell>
          <cell r="AN88">
            <v>-0.00886819189155146</v>
          </cell>
          <cell r="AO88">
            <v>0.00738586459015592</v>
          </cell>
          <cell r="AP88">
            <v>0.00401151071878741</v>
          </cell>
          <cell r="AQ88">
            <v>7.3</v>
          </cell>
          <cell r="AR88">
            <v>7.3</v>
          </cell>
          <cell r="AS88">
            <v>7.4</v>
          </cell>
          <cell r="AT88">
            <v>7.4</v>
          </cell>
          <cell r="AU88">
            <v>7.5</v>
          </cell>
          <cell r="AV88">
            <v>7.7</v>
          </cell>
          <cell r="AW88">
            <v>8.1</v>
          </cell>
          <cell r="AX88">
            <v>8.1</v>
          </cell>
          <cell r="AY88">
            <v>8.1</v>
          </cell>
          <cell r="AZ88">
            <v>8.2</v>
          </cell>
          <cell r="BA88">
            <v>8.3</v>
          </cell>
          <cell r="BB88">
            <v>8.5</v>
          </cell>
          <cell r="BC88">
            <v>8.1</v>
          </cell>
          <cell r="BD88">
            <v>8.1</v>
          </cell>
          <cell r="BE88">
            <v>8.2</v>
          </cell>
          <cell r="BF88">
            <v>8.2</v>
          </cell>
          <cell r="BG88">
            <v>8.4</v>
          </cell>
          <cell r="BH88">
            <v>8.6</v>
          </cell>
          <cell r="BI88">
            <v>8.3</v>
          </cell>
          <cell r="BJ88">
            <v>8.3</v>
          </cell>
          <cell r="BK88">
            <v>8.4</v>
          </cell>
          <cell r="BL88">
            <v>8.5</v>
          </cell>
          <cell r="BM88">
            <v>8.6</v>
          </cell>
          <cell r="BN88">
            <v>8.8</v>
          </cell>
          <cell r="BO88">
            <v>8.6</v>
          </cell>
          <cell r="BP88">
            <v>8.6</v>
          </cell>
          <cell r="BQ88">
            <v>8.7</v>
          </cell>
          <cell r="BR88">
            <v>8.8</v>
          </cell>
          <cell r="BS88">
            <v>8.9</v>
          </cell>
          <cell r="BT88">
            <v>9.1</v>
          </cell>
          <cell r="BU88">
            <v>9.2</v>
          </cell>
          <cell r="BV88">
            <v>9.2</v>
          </cell>
          <cell r="BW88">
            <v>9.4</v>
          </cell>
          <cell r="BX88">
            <v>9.4</v>
          </cell>
          <cell r="BY88">
            <v>9.6</v>
          </cell>
          <cell r="BZ88">
            <v>9.9</v>
          </cell>
          <cell r="CA88">
            <v>9.8</v>
          </cell>
          <cell r="CB88">
            <v>9.9</v>
          </cell>
          <cell r="CC88">
            <v>10</v>
          </cell>
          <cell r="CD88">
            <v>10.1</v>
          </cell>
          <cell r="CE88">
            <v>10.3</v>
          </cell>
          <cell r="CF88">
            <v>10.6</v>
          </cell>
          <cell r="CG88">
            <v>5.7</v>
          </cell>
          <cell r="CH88">
            <v>6.1</v>
          </cell>
          <cell r="CI88">
            <v>6.4</v>
          </cell>
          <cell r="CJ88">
            <v>6.7</v>
          </cell>
          <cell r="CK88">
            <v>7</v>
          </cell>
          <cell r="CL88">
            <v>7.4</v>
          </cell>
          <cell r="CM88">
            <v>9.41e-6</v>
          </cell>
          <cell r="CN88">
            <v>1.135e-8</v>
          </cell>
          <cell r="CO88">
            <v>-2.3e-12</v>
          </cell>
          <cell r="CP88">
            <v>5.71e-7</v>
          </cell>
          <cell r="CQ88">
            <v>7.698e-10</v>
          </cell>
          <cell r="CR88">
            <v>0.244</v>
          </cell>
          <cell r="CS88">
            <v>1</v>
          </cell>
          <cell r="CT88">
            <v>3</v>
          </cell>
          <cell r="CU88">
            <v>1</v>
          </cell>
          <cell r="CV88">
            <v>3</v>
          </cell>
          <cell r="CW88">
            <v>1</v>
          </cell>
          <cell r="CX88">
            <v>2</v>
          </cell>
          <cell r="CY88">
            <v>0</v>
          </cell>
          <cell r="CZ88">
            <v>0</v>
          </cell>
          <cell r="DA88">
            <v>591</v>
          </cell>
          <cell r="DB88">
            <v>625</v>
          </cell>
          <cell r="DC88">
            <v>538</v>
          </cell>
          <cell r="DD88">
            <v>580</v>
          </cell>
          <cell r="DE88">
            <v>54</v>
          </cell>
          <cell r="DF88">
            <v>0</v>
          </cell>
          <cell r="DG88">
            <v>70</v>
          </cell>
          <cell r="DH88">
            <v>0</v>
          </cell>
          <cell r="DI88">
            <v>135</v>
          </cell>
          <cell r="DJ88">
            <v>0</v>
          </cell>
          <cell r="DK88">
            <v>654</v>
          </cell>
          <cell r="DL88">
            <v>78</v>
          </cell>
          <cell r="DM88">
            <v>11709</v>
          </cell>
          <cell r="DN88">
            <v>4542</v>
          </cell>
          <cell r="DO88">
            <v>0.289</v>
          </cell>
          <cell r="DP88">
            <v>2.29</v>
          </cell>
          <cell r="DQ88" t="str">
            <v>370/305</v>
          </cell>
          <cell r="DR88">
            <v>345</v>
          </cell>
          <cell r="DS88">
            <v>306</v>
          </cell>
          <cell r="DT88">
            <v>4.25</v>
          </cell>
          <cell r="DU88">
            <v>0.839</v>
          </cell>
          <cell r="DV88">
            <v>0.971</v>
          </cell>
          <cell r="DW88">
            <v>0.996</v>
          </cell>
          <cell r="DX88">
            <v>0.999</v>
          </cell>
          <cell r="DY88">
            <v>0.999</v>
          </cell>
          <cell r="DZ88">
            <v>0.999</v>
          </cell>
          <cell r="EA88">
            <v>0.999</v>
          </cell>
          <cell r="EB88">
            <v>0.999</v>
          </cell>
          <cell r="EC88">
            <v>0.999</v>
          </cell>
          <cell r="ED88">
            <v>0.999</v>
          </cell>
          <cell r="EE88">
            <v>0.999</v>
          </cell>
          <cell r="EF88">
            <v>0.999</v>
          </cell>
          <cell r="EG88">
            <v>0.999</v>
          </cell>
          <cell r="EH88">
            <v>0.999</v>
          </cell>
          <cell r="EI88">
            <v>0.999</v>
          </cell>
          <cell r="EJ88">
            <v>0.999</v>
          </cell>
          <cell r="EK88">
            <v>0.999</v>
          </cell>
          <cell r="EL88">
            <v>0.999</v>
          </cell>
          <cell r="EM88">
            <v>0.999</v>
          </cell>
          <cell r="EN88">
            <v>0.999</v>
          </cell>
          <cell r="EO88">
            <v>0.998</v>
          </cell>
          <cell r="EP88">
            <v>0.997</v>
          </cell>
          <cell r="EQ88">
            <v>0.994</v>
          </cell>
          <cell r="ER88">
            <v>0.991</v>
          </cell>
          <cell r="ES88">
            <v>0.988</v>
          </cell>
          <cell r="ET88">
            <v>0.982</v>
          </cell>
          <cell r="EU88">
            <v>0.972</v>
          </cell>
          <cell r="EV88">
            <v>0.956</v>
          </cell>
          <cell r="EW88">
            <v>0.928</v>
          </cell>
          <cell r="EX88">
            <v>0.881</v>
          </cell>
          <cell r="EY88">
            <v>0.802</v>
          </cell>
          <cell r="EZ88">
            <v>0.652</v>
          </cell>
          <cell r="FA88">
            <v>0.361</v>
          </cell>
          <cell r="FB88">
            <v>0</v>
          </cell>
          <cell r="FC88">
            <v>0</v>
          </cell>
          <cell r="FD88">
            <v>0</v>
          </cell>
          <cell r="FE88">
            <v>0.704</v>
          </cell>
          <cell r="FF88">
            <v>0.943</v>
          </cell>
          <cell r="FG88">
            <v>0.992</v>
          </cell>
          <cell r="FH88">
            <v>0.998</v>
          </cell>
          <cell r="FI88">
            <v>0.998</v>
          </cell>
          <cell r="FJ88">
            <v>0.998</v>
          </cell>
          <cell r="FK88">
            <v>0.998</v>
          </cell>
          <cell r="FL88">
            <v>0.998</v>
          </cell>
          <cell r="FM88">
            <v>0.998</v>
          </cell>
          <cell r="FN88">
            <v>0.998</v>
          </cell>
          <cell r="FO88">
            <v>0.998</v>
          </cell>
          <cell r="FP88">
            <v>0.998</v>
          </cell>
          <cell r="FQ88">
            <v>0.998</v>
          </cell>
          <cell r="FR88">
            <v>0.998</v>
          </cell>
          <cell r="FS88">
            <v>0.998</v>
          </cell>
          <cell r="FT88">
            <v>0.998</v>
          </cell>
          <cell r="FU88">
            <v>0.998</v>
          </cell>
          <cell r="FV88">
            <v>0.998</v>
          </cell>
          <cell r="FW88">
            <v>0.998</v>
          </cell>
          <cell r="FX88">
            <v>0.997</v>
          </cell>
          <cell r="FY88">
            <v>0.996</v>
          </cell>
          <cell r="FZ88">
            <v>0.994</v>
          </cell>
          <cell r="GA88">
            <v>0.989</v>
          </cell>
          <cell r="GB88">
            <v>0.981</v>
          </cell>
          <cell r="GC88">
            <v>0.974</v>
          </cell>
          <cell r="GD88">
            <v>0.961</v>
          </cell>
          <cell r="GE88">
            <v>0.939</v>
          </cell>
          <cell r="GF88">
            <v>0.895</v>
          </cell>
          <cell r="GG88">
            <v>0.841</v>
          </cell>
          <cell r="GH88">
            <v>0.758</v>
          </cell>
          <cell r="GI88">
            <v>0.627</v>
          </cell>
          <cell r="GJ88">
            <v>0.412</v>
          </cell>
          <cell r="GK88">
            <v>0.125</v>
          </cell>
          <cell r="GL88">
            <v>0</v>
          </cell>
          <cell r="GM88">
            <v>0</v>
          </cell>
          <cell r="GN88">
            <v>0</v>
          </cell>
        </row>
        <row r="89">
          <cell r="B89" t="str">
            <v>H-LaF7</v>
          </cell>
          <cell r="C89">
            <v>782371</v>
          </cell>
          <cell r="D89">
            <v>37.09</v>
          </cell>
          <cell r="E89">
            <v>36.83</v>
          </cell>
          <cell r="F89">
            <v>0.021077</v>
          </cell>
          <cell r="G89">
            <v>0.021366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1.77216</v>
          </cell>
          <cell r="P89">
            <v>1.77559</v>
          </cell>
          <cell r="Q89">
            <v>1.77657</v>
          </cell>
          <cell r="R89">
            <v>1.77748</v>
          </cell>
          <cell r="S89">
            <v>1.78161</v>
          </cell>
          <cell r="T89">
            <v>1.78179</v>
          </cell>
          <cell r="U89">
            <v>1.78679</v>
          </cell>
          <cell r="V89">
            <v>1.79667</v>
          </cell>
          <cell r="W89">
            <v>1.79793</v>
          </cell>
          <cell r="X89">
            <v>1.80891</v>
          </cell>
          <cell r="Y89">
            <v>1.8195</v>
          </cell>
          <cell r="Z89">
            <v>1.8387</v>
          </cell>
          <cell r="AA89">
            <v>3.0798693</v>
          </cell>
          <cell r="AB89">
            <v>-0.012098823</v>
          </cell>
          <cell r="AC89">
            <v>0.031337189</v>
          </cell>
          <cell r="AD89">
            <v>0.00098583688</v>
          </cell>
          <cell r="AE89">
            <v>-1.3379864e-5</v>
          </cell>
          <cell r="AF89">
            <v>5.4990762e-6</v>
          </cell>
          <cell r="AG89">
            <v>0.294117647058823</v>
          </cell>
          <cell r="AH89">
            <v>0.237191650853896</v>
          </cell>
          <cell r="AI89">
            <v>0.580645161290324</v>
          </cell>
          <cell r="AJ89">
            <v>0.24438202247191</v>
          </cell>
          <cell r="AK89">
            <v>0.23408239700375</v>
          </cell>
          <cell r="AL89">
            <v>0.514044943820223</v>
          </cell>
          <cell r="AM89">
            <v>-0.00103561791271849</v>
          </cell>
          <cell r="AN89">
            <v>-0.00134834870967566</v>
          </cell>
          <cell r="AO89">
            <v>0</v>
          </cell>
          <cell r="AP89">
            <v>0</v>
          </cell>
          <cell r="AQ89">
            <v>3.2</v>
          </cell>
          <cell r="AR89">
            <v>3.3</v>
          </cell>
          <cell r="AS89">
            <v>3.3</v>
          </cell>
          <cell r="AT89">
            <v>3.2</v>
          </cell>
          <cell r="AU89">
            <v>3.3</v>
          </cell>
          <cell r="AV89">
            <v>3.5</v>
          </cell>
          <cell r="AW89">
            <v>4</v>
          </cell>
          <cell r="AX89">
            <v>4</v>
          </cell>
          <cell r="AY89">
            <v>4.1</v>
          </cell>
          <cell r="AZ89">
            <v>4.1</v>
          </cell>
          <cell r="BA89">
            <v>4.2</v>
          </cell>
          <cell r="BB89">
            <v>4.4</v>
          </cell>
          <cell r="BC89">
            <v>4</v>
          </cell>
          <cell r="BD89">
            <v>4.1</v>
          </cell>
          <cell r="BE89">
            <v>4.1</v>
          </cell>
          <cell r="BF89">
            <v>4.2</v>
          </cell>
          <cell r="BG89">
            <v>4.3</v>
          </cell>
          <cell r="BH89">
            <v>4.5</v>
          </cell>
          <cell r="BI89">
            <v>4.3</v>
          </cell>
          <cell r="BJ89">
            <v>4.3</v>
          </cell>
          <cell r="BK89">
            <v>4.4</v>
          </cell>
          <cell r="BL89">
            <v>4.4</v>
          </cell>
          <cell r="BM89">
            <v>4.6</v>
          </cell>
          <cell r="BN89">
            <v>4.8</v>
          </cell>
          <cell r="BO89">
            <v>4.6</v>
          </cell>
          <cell r="BP89">
            <v>4.7</v>
          </cell>
          <cell r="BQ89">
            <v>4.7</v>
          </cell>
          <cell r="BR89">
            <v>4.8</v>
          </cell>
          <cell r="BS89">
            <v>5</v>
          </cell>
          <cell r="BT89">
            <v>5.2</v>
          </cell>
          <cell r="BU89">
            <v>5.4</v>
          </cell>
          <cell r="BV89">
            <v>5.5</v>
          </cell>
          <cell r="BW89">
            <v>5.6</v>
          </cell>
          <cell r="BX89">
            <v>5.7</v>
          </cell>
          <cell r="BY89">
            <v>5.9</v>
          </cell>
          <cell r="BZ89">
            <v>6.1</v>
          </cell>
          <cell r="CA89">
            <v>6.2</v>
          </cell>
          <cell r="CB89">
            <v>6.4</v>
          </cell>
          <cell r="CC89">
            <v>6.5</v>
          </cell>
          <cell r="CD89">
            <v>6.6</v>
          </cell>
          <cell r="CE89">
            <v>6.9</v>
          </cell>
          <cell r="CF89">
            <v>7.1</v>
          </cell>
          <cell r="CG89">
            <v>1.6</v>
          </cell>
          <cell r="CH89">
            <v>2</v>
          </cell>
          <cell r="CI89">
            <v>2.3</v>
          </cell>
          <cell r="CJ89">
            <v>2.6</v>
          </cell>
          <cell r="CK89">
            <v>2.9</v>
          </cell>
          <cell r="CL89">
            <v>3.2</v>
          </cell>
          <cell r="CM89">
            <v>1.63e-6</v>
          </cell>
          <cell r="CN89">
            <v>9.87e-9</v>
          </cell>
          <cell r="CO89">
            <v>-2.26e-12</v>
          </cell>
          <cell r="CP89">
            <v>8.41e-7</v>
          </cell>
          <cell r="CQ89">
            <v>1.052e-9</v>
          </cell>
          <cell r="CR89">
            <v>0.224</v>
          </cell>
          <cell r="CS89">
            <v>1</v>
          </cell>
          <cell r="CT89">
            <v>1</v>
          </cell>
          <cell r="CU89">
            <v>1</v>
          </cell>
          <cell r="CV89">
            <v>1</v>
          </cell>
          <cell r="CW89">
            <v>1</v>
          </cell>
          <cell r="CX89">
            <v>1</v>
          </cell>
          <cell r="CY89">
            <v>0</v>
          </cell>
          <cell r="CZ89">
            <v>0</v>
          </cell>
          <cell r="DA89">
            <v>643</v>
          </cell>
          <cell r="DB89">
            <v>708</v>
          </cell>
          <cell r="DC89">
            <v>581</v>
          </cell>
          <cell r="DD89">
            <v>623</v>
          </cell>
          <cell r="DE89">
            <v>0</v>
          </cell>
          <cell r="DF89">
            <v>74</v>
          </cell>
          <cell r="DG89">
            <v>82</v>
          </cell>
          <cell r="DH89">
            <v>0</v>
          </cell>
          <cell r="DI89">
            <v>162</v>
          </cell>
          <cell r="DJ89">
            <v>0</v>
          </cell>
          <cell r="DK89">
            <v>566</v>
          </cell>
          <cell r="DL89">
            <v>151</v>
          </cell>
          <cell r="DM89">
            <v>11906</v>
          </cell>
          <cell r="DN89">
            <v>4611</v>
          </cell>
          <cell r="DO89">
            <v>0.291</v>
          </cell>
          <cell r="DP89">
            <v>0</v>
          </cell>
          <cell r="DQ89" t="str">
            <v>420/350</v>
          </cell>
          <cell r="DR89">
            <v>0</v>
          </cell>
          <cell r="DS89">
            <v>0</v>
          </cell>
          <cell r="DT89">
            <v>4.13</v>
          </cell>
          <cell r="DU89">
            <v>0.939</v>
          </cell>
          <cell r="DV89">
            <v>0.98</v>
          </cell>
          <cell r="DW89">
            <v>0.997</v>
          </cell>
          <cell r="DX89">
            <v>0.999</v>
          </cell>
          <cell r="DY89">
            <v>0.999</v>
          </cell>
          <cell r="DZ89">
            <v>0.999</v>
          </cell>
          <cell r="EA89">
            <v>0.999</v>
          </cell>
          <cell r="EB89">
            <v>0.999</v>
          </cell>
          <cell r="EC89">
            <v>0.999</v>
          </cell>
          <cell r="ED89">
            <v>0.999</v>
          </cell>
          <cell r="EE89">
            <v>0.999</v>
          </cell>
          <cell r="EF89">
            <v>0.998</v>
          </cell>
          <cell r="EG89">
            <v>0.998</v>
          </cell>
          <cell r="EH89">
            <v>0.998</v>
          </cell>
          <cell r="EI89">
            <v>0.998</v>
          </cell>
          <cell r="EJ89">
            <v>0.998</v>
          </cell>
          <cell r="EK89">
            <v>0.998</v>
          </cell>
          <cell r="EL89">
            <v>0.997</v>
          </cell>
          <cell r="EM89">
            <v>0.997</v>
          </cell>
          <cell r="EN89">
            <v>0.995</v>
          </cell>
          <cell r="EO89">
            <v>0.989</v>
          </cell>
          <cell r="EP89">
            <v>0.981</v>
          </cell>
          <cell r="EQ89">
            <v>0.967</v>
          </cell>
          <cell r="ER89">
            <v>0.935</v>
          </cell>
          <cell r="ES89">
            <v>0.906</v>
          </cell>
          <cell r="ET89">
            <v>0.848</v>
          </cell>
          <cell r="EU89">
            <v>0.744</v>
          </cell>
          <cell r="EV89">
            <v>0.582</v>
          </cell>
          <cell r="EW89">
            <v>0.329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0.882</v>
          </cell>
          <cell r="FF89">
            <v>0.96</v>
          </cell>
          <cell r="FG89">
            <v>0.994</v>
          </cell>
          <cell r="FH89">
            <v>0.998</v>
          </cell>
          <cell r="FI89">
            <v>0.998</v>
          </cell>
          <cell r="FJ89">
            <v>0.998</v>
          </cell>
          <cell r="FK89">
            <v>0.998</v>
          </cell>
          <cell r="FL89">
            <v>0.998</v>
          </cell>
          <cell r="FM89">
            <v>0.998</v>
          </cell>
          <cell r="FN89">
            <v>0.998</v>
          </cell>
          <cell r="FO89">
            <v>0.998</v>
          </cell>
          <cell r="FP89">
            <v>0.996</v>
          </cell>
          <cell r="FQ89">
            <v>0.996</v>
          </cell>
          <cell r="FR89">
            <v>0.996</v>
          </cell>
          <cell r="FS89">
            <v>0.996</v>
          </cell>
          <cell r="FT89">
            <v>0.996</v>
          </cell>
          <cell r="FU89">
            <v>0.996</v>
          </cell>
          <cell r="FV89">
            <v>0.994</v>
          </cell>
          <cell r="FW89">
            <v>0.994</v>
          </cell>
          <cell r="FX89">
            <v>0.99</v>
          </cell>
          <cell r="FY89">
            <v>0.978</v>
          </cell>
          <cell r="FZ89">
            <v>0.962</v>
          </cell>
          <cell r="GA89">
            <v>0.935</v>
          </cell>
          <cell r="GB89">
            <v>0.874</v>
          </cell>
          <cell r="GC89">
            <v>0.821</v>
          </cell>
          <cell r="GD89">
            <v>0.719</v>
          </cell>
          <cell r="GE89">
            <v>0.554</v>
          </cell>
          <cell r="GF89">
            <v>0.339</v>
          </cell>
          <cell r="GG89">
            <v>0.108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</row>
        <row r="90">
          <cell r="B90" t="str">
            <v>H-LaF10A</v>
          </cell>
          <cell r="C90">
            <v>788475</v>
          </cell>
          <cell r="D90">
            <v>47.49</v>
          </cell>
          <cell r="E90">
            <v>47.26</v>
          </cell>
          <cell r="F90">
            <v>0.016592</v>
          </cell>
          <cell r="G90">
            <v>0.016758</v>
          </cell>
          <cell r="H90">
            <v>1.74466</v>
          </cell>
          <cell r="I90">
            <v>1.75204</v>
          </cell>
          <cell r="J90">
            <v>1.76016</v>
          </cell>
          <cell r="K90">
            <v>1.7675</v>
          </cell>
          <cell r="L90">
            <v>1.76996</v>
          </cell>
          <cell r="M90">
            <v>1.77435</v>
          </cell>
          <cell r="N90">
            <v>1.77738</v>
          </cell>
          <cell r="O90">
            <v>1.78018</v>
          </cell>
          <cell r="P90">
            <v>1.783</v>
          </cell>
          <cell r="Q90">
            <v>1.78379</v>
          </cell>
          <cell r="R90">
            <v>1.78453</v>
          </cell>
          <cell r="S90">
            <v>1.78785</v>
          </cell>
          <cell r="T90">
            <v>1.788</v>
          </cell>
          <cell r="U90">
            <v>1.79195</v>
          </cell>
          <cell r="V90">
            <v>1.79959</v>
          </cell>
          <cell r="W90">
            <v>1.80055</v>
          </cell>
          <cell r="X90">
            <v>1.80878</v>
          </cell>
          <cell r="Y90">
            <v>1.81649</v>
          </cell>
          <cell r="Z90">
            <v>1.82981</v>
          </cell>
          <cell r="AA90">
            <v>3.12424071</v>
          </cell>
          <cell r="AB90">
            <v>-0.0157101635</v>
          </cell>
          <cell r="AC90">
            <v>0.024483729</v>
          </cell>
          <cell r="AD90">
            <v>0.00102164022</v>
          </cell>
          <cell r="AE90">
            <v>-7.05302601e-5</v>
          </cell>
          <cell r="AF90">
            <v>4.58907154e-6</v>
          </cell>
          <cell r="AG90">
            <v>0.301386377335749</v>
          </cell>
          <cell r="AH90">
            <v>0.23809523809523</v>
          </cell>
          <cell r="AI90">
            <v>0.553948161543097</v>
          </cell>
          <cell r="AJ90">
            <v>0.251193317422436</v>
          </cell>
          <cell r="AK90">
            <v>0.23568019093078</v>
          </cell>
          <cell r="AL90">
            <v>0.491050119331737</v>
          </cell>
          <cell r="AM90">
            <v>-0.00346713543097997</v>
          </cell>
          <cell r="AN90">
            <v>-0.0107709484569033</v>
          </cell>
          <cell r="AO90">
            <v>0.0157791320916129</v>
          </cell>
          <cell r="AP90">
            <v>0.00702243279082401</v>
          </cell>
          <cell r="AQ90">
            <v>4</v>
          </cell>
          <cell r="AR90">
            <v>3.9</v>
          </cell>
          <cell r="AS90">
            <v>3.9</v>
          </cell>
          <cell r="AT90">
            <v>3.9</v>
          </cell>
          <cell r="AU90">
            <v>4</v>
          </cell>
          <cell r="AV90">
            <v>4.2</v>
          </cell>
          <cell r="AW90">
            <v>4.6</v>
          </cell>
          <cell r="AX90">
            <v>4.6</v>
          </cell>
          <cell r="AY90">
            <v>4.6</v>
          </cell>
          <cell r="AZ90">
            <v>4.6</v>
          </cell>
          <cell r="BA90">
            <v>4.8</v>
          </cell>
          <cell r="BB90">
            <v>4.9</v>
          </cell>
          <cell r="BC90">
            <v>4.6</v>
          </cell>
          <cell r="BD90">
            <v>4.6</v>
          </cell>
          <cell r="BE90">
            <v>4.6</v>
          </cell>
          <cell r="BF90">
            <v>4.7</v>
          </cell>
          <cell r="BG90">
            <v>4.8</v>
          </cell>
          <cell r="BH90">
            <v>5</v>
          </cell>
          <cell r="BI90">
            <v>4.8</v>
          </cell>
          <cell r="BJ90">
            <v>4.8</v>
          </cell>
          <cell r="BK90">
            <v>4.8</v>
          </cell>
          <cell r="BL90">
            <v>4.9</v>
          </cell>
          <cell r="BM90">
            <v>5</v>
          </cell>
          <cell r="BN90">
            <v>5.2</v>
          </cell>
          <cell r="BO90">
            <v>5.1</v>
          </cell>
          <cell r="BP90">
            <v>5.1</v>
          </cell>
          <cell r="BQ90">
            <v>5.1</v>
          </cell>
          <cell r="BR90">
            <v>5.1</v>
          </cell>
          <cell r="BS90">
            <v>5.3</v>
          </cell>
          <cell r="BT90">
            <v>5.5</v>
          </cell>
          <cell r="BU90">
            <v>5.6</v>
          </cell>
          <cell r="BV90">
            <v>5.6</v>
          </cell>
          <cell r="BW90">
            <v>5.7</v>
          </cell>
          <cell r="BX90">
            <v>5.7</v>
          </cell>
          <cell r="BY90">
            <v>5.9</v>
          </cell>
          <cell r="BZ90">
            <v>6.1</v>
          </cell>
          <cell r="CA90">
            <v>6.1</v>
          </cell>
          <cell r="CB90">
            <v>6.2</v>
          </cell>
          <cell r="CC90">
            <v>6.2</v>
          </cell>
          <cell r="CD90">
            <v>6.3</v>
          </cell>
          <cell r="CE90">
            <v>6.5</v>
          </cell>
          <cell r="CF90">
            <v>6.8</v>
          </cell>
          <cell r="CG90">
            <v>2.2</v>
          </cell>
          <cell r="CH90">
            <v>2.5</v>
          </cell>
          <cell r="CI90">
            <v>2.9</v>
          </cell>
          <cell r="CJ90">
            <v>3.1</v>
          </cell>
          <cell r="CK90">
            <v>3.4</v>
          </cell>
          <cell r="CL90">
            <v>3.8</v>
          </cell>
          <cell r="CM90">
            <v>2.94e-6</v>
          </cell>
          <cell r="CN90">
            <v>1.052e-8</v>
          </cell>
          <cell r="CO90">
            <v>6.73e-12</v>
          </cell>
          <cell r="CP90">
            <v>7.27e-7</v>
          </cell>
          <cell r="CQ90">
            <v>8.079e-10</v>
          </cell>
          <cell r="CR90">
            <v>0.137</v>
          </cell>
          <cell r="CS90">
            <v>1</v>
          </cell>
          <cell r="CT90">
            <v>3</v>
          </cell>
          <cell r="CU90">
            <v>1</v>
          </cell>
          <cell r="CV90">
            <v>3</v>
          </cell>
          <cell r="CW90">
            <v>1</v>
          </cell>
          <cell r="CX90">
            <v>1</v>
          </cell>
          <cell r="CY90">
            <v>0</v>
          </cell>
          <cell r="CZ90">
            <v>0</v>
          </cell>
          <cell r="DA90">
            <v>669</v>
          </cell>
          <cell r="DB90">
            <v>698</v>
          </cell>
          <cell r="DC90">
            <v>617</v>
          </cell>
          <cell r="DD90">
            <v>645</v>
          </cell>
          <cell r="DE90">
            <v>59</v>
          </cell>
          <cell r="DF90">
            <v>0</v>
          </cell>
          <cell r="DG90">
            <v>73</v>
          </cell>
          <cell r="DH90">
            <v>0</v>
          </cell>
          <cell r="DI90">
            <v>155</v>
          </cell>
          <cell r="DJ90">
            <v>0</v>
          </cell>
          <cell r="DK90">
            <v>718</v>
          </cell>
          <cell r="DL90">
            <v>97</v>
          </cell>
          <cell r="DM90">
            <v>12327</v>
          </cell>
          <cell r="DN90">
            <v>4759</v>
          </cell>
          <cell r="DO90">
            <v>0.295</v>
          </cell>
          <cell r="DP90">
            <v>0</v>
          </cell>
          <cell r="DQ90" t="str">
            <v>380/315</v>
          </cell>
          <cell r="DR90">
            <v>347</v>
          </cell>
          <cell r="DS90">
            <v>314</v>
          </cell>
          <cell r="DT90">
            <v>4.28</v>
          </cell>
          <cell r="DU90">
            <v>0.787</v>
          </cell>
          <cell r="DV90">
            <v>0.927</v>
          </cell>
          <cell r="DW90">
            <v>0.976</v>
          </cell>
          <cell r="DX90">
            <v>0.991</v>
          </cell>
          <cell r="DY90">
            <v>0.999</v>
          </cell>
          <cell r="DZ90">
            <v>0.999</v>
          </cell>
          <cell r="EA90">
            <v>0.999</v>
          </cell>
          <cell r="EB90">
            <v>0.999</v>
          </cell>
          <cell r="EC90">
            <v>0.999</v>
          </cell>
          <cell r="ED90">
            <v>0.999</v>
          </cell>
          <cell r="EE90">
            <v>0.999</v>
          </cell>
          <cell r="EF90">
            <v>0.999</v>
          </cell>
          <cell r="EG90">
            <v>0.999</v>
          </cell>
          <cell r="EH90">
            <v>0.999</v>
          </cell>
          <cell r="EI90">
            <v>0.999</v>
          </cell>
          <cell r="EJ90">
            <v>0.999</v>
          </cell>
          <cell r="EK90">
            <v>0.999</v>
          </cell>
          <cell r="EL90">
            <v>0.999</v>
          </cell>
          <cell r="EM90">
            <v>0.999</v>
          </cell>
          <cell r="EN90">
            <v>0.999</v>
          </cell>
          <cell r="EO90">
            <v>0.999</v>
          </cell>
          <cell r="EP90">
            <v>0.997</v>
          </cell>
          <cell r="EQ90">
            <v>0.995</v>
          </cell>
          <cell r="ER90">
            <v>0.99</v>
          </cell>
          <cell r="ES90">
            <v>0.982</v>
          </cell>
          <cell r="ET90">
            <v>0.973</v>
          </cell>
          <cell r="EU90">
            <v>0.958</v>
          </cell>
          <cell r="EV90">
            <v>0.936</v>
          </cell>
          <cell r="EW90">
            <v>0.892</v>
          </cell>
          <cell r="EX90">
            <v>0.818</v>
          </cell>
          <cell r="EY90">
            <v>0.678</v>
          </cell>
          <cell r="EZ90">
            <v>0.413</v>
          </cell>
          <cell r="FA90">
            <v>0.091</v>
          </cell>
          <cell r="FB90">
            <v>0</v>
          </cell>
          <cell r="FC90">
            <v>0</v>
          </cell>
          <cell r="FD90">
            <v>0</v>
          </cell>
          <cell r="FE90">
            <v>0.62</v>
          </cell>
          <cell r="FF90">
            <v>0.859</v>
          </cell>
          <cell r="FG90">
            <v>0.953</v>
          </cell>
          <cell r="FH90">
            <v>0.982</v>
          </cell>
          <cell r="FI90">
            <v>0.998</v>
          </cell>
          <cell r="FJ90">
            <v>0.998</v>
          </cell>
          <cell r="FK90">
            <v>0.998</v>
          </cell>
          <cell r="FL90">
            <v>0.998</v>
          </cell>
          <cell r="FM90">
            <v>0.998</v>
          </cell>
          <cell r="FN90">
            <v>0.998</v>
          </cell>
          <cell r="FO90">
            <v>0.998</v>
          </cell>
          <cell r="FP90">
            <v>0.998</v>
          </cell>
          <cell r="FQ90">
            <v>0.998</v>
          </cell>
          <cell r="FR90">
            <v>0.998</v>
          </cell>
          <cell r="FS90">
            <v>0.998</v>
          </cell>
          <cell r="FT90">
            <v>0.998</v>
          </cell>
          <cell r="FU90">
            <v>0.998</v>
          </cell>
          <cell r="FV90">
            <v>0.998</v>
          </cell>
          <cell r="FW90">
            <v>0.998</v>
          </cell>
          <cell r="FX90">
            <v>0.998</v>
          </cell>
          <cell r="FY90">
            <v>0.998</v>
          </cell>
          <cell r="FZ90">
            <v>0.994</v>
          </cell>
          <cell r="GA90">
            <v>0.99</v>
          </cell>
          <cell r="GB90">
            <v>0.982</v>
          </cell>
          <cell r="GC90">
            <v>0.972</v>
          </cell>
          <cell r="GD90">
            <v>0.955</v>
          </cell>
          <cell r="GE90">
            <v>0.927</v>
          </cell>
          <cell r="GF90">
            <v>0.882</v>
          </cell>
          <cell r="GG90">
            <v>0.803</v>
          </cell>
          <cell r="GH90">
            <v>0.677</v>
          </cell>
          <cell r="GI90">
            <v>0.468</v>
          </cell>
          <cell r="GJ90">
            <v>0.178</v>
          </cell>
          <cell r="GK90">
            <v>0.012</v>
          </cell>
          <cell r="GL90">
            <v>0</v>
          </cell>
          <cell r="GM90">
            <v>0</v>
          </cell>
          <cell r="GN90">
            <v>0</v>
          </cell>
        </row>
        <row r="91">
          <cell r="B91" t="str">
            <v>H-LaF50</v>
          </cell>
          <cell r="C91">
            <v>773496</v>
          </cell>
          <cell r="D91">
            <v>49.6</v>
          </cell>
          <cell r="E91">
            <v>49.36</v>
          </cell>
          <cell r="F91">
            <v>0.015575</v>
          </cell>
          <cell r="G91">
            <v>0.015725</v>
          </cell>
          <cell r="H91">
            <v>1.73108</v>
          </cell>
          <cell r="I91">
            <v>1.73821</v>
          </cell>
          <cell r="J91">
            <v>1.74604</v>
          </cell>
          <cell r="K91">
            <v>1.7531</v>
          </cell>
          <cell r="L91">
            <v>1.75547</v>
          </cell>
          <cell r="M91">
            <v>1.75963</v>
          </cell>
          <cell r="N91">
            <v>1.7625</v>
          </cell>
          <cell r="O91">
            <v>1.76514</v>
          </cell>
          <cell r="P91">
            <v>1.7678</v>
          </cell>
          <cell r="Q91">
            <v>1.76854</v>
          </cell>
          <cell r="R91">
            <v>1.76924</v>
          </cell>
          <cell r="S91">
            <v>1.77236</v>
          </cell>
          <cell r="T91">
            <v>1.7725</v>
          </cell>
          <cell r="U91">
            <v>1.77621</v>
          </cell>
          <cell r="V91">
            <v>1.78337</v>
          </cell>
          <cell r="W91">
            <v>1.78427</v>
          </cell>
          <cell r="X91">
            <v>1.79197</v>
          </cell>
          <cell r="Y91">
            <v>1.79916</v>
          </cell>
          <cell r="Z91">
            <v>1.81154</v>
          </cell>
          <cell r="AA91">
            <v>3.0739525</v>
          </cell>
          <cell r="AB91">
            <v>-0.0150954523</v>
          </cell>
          <cell r="AC91">
            <v>0.0231138211</v>
          </cell>
          <cell r="AD91">
            <v>0.000838501873</v>
          </cell>
          <cell r="AE91">
            <v>-5.02227252e-5</v>
          </cell>
          <cell r="AF91">
            <v>3.23074191e-6</v>
          </cell>
          <cell r="AG91">
            <v>0.301862556197814</v>
          </cell>
          <cell r="AH91">
            <v>0.238278741168923</v>
          </cell>
          <cell r="AI91">
            <v>0.552344251766232</v>
          </cell>
          <cell r="AJ91">
            <v>0.251748251748249</v>
          </cell>
          <cell r="AK91">
            <v>0.235855054036878</v>
          </cell>
          <cell r="AL91">
            <v>0.489510489510491</v>
          </cell>
          <cell r="AM91">
            <v>-0.00296209736673757</v>
          </cell>
          <cell r="AN91">
            <v>-0.00887014823376747</v>
          </cell>
          <cell r="AO91">
            <v>0.011445914450871</v>
          </cell>
          <cell r="AP91">
            <v>0.00528703917791155</v>
          </cell>
          <cell r="AQ91">
            <v>4</v>
          </cell>
          <cell r="AR91">
            <v>3.9</v>
          </cell>
          <cell r="AS91">
            <v>3.9</v>
          </cell>
          <cell r="AT91">
            <v>3.9</v>
          </cell>
          <cell r="AU91">
            <v>4</v>
          </cell>
          <cell r="AV91">
            <v>4.1</v>
          </cell>
          <cell r="AW91">
            <v>4.5</v>
          </cell>
          <cell r="AX91">
            <v>4.5</v>
          </cell>
          <cell r="AY91">
            <v>4.5</v>
          </cell>
          <cell r="AZ91">
            <v>4.5</v>
          </cell>
          <cell r="BA91">
            <v>4.7</v>
          </cell>
          <cell r="BB91">
            <v>4.8</v>
          </cell>
          <cell r="BC91">
            <v>4.6</v>
          </cell>
          <cell r="BD91">
            <v>4.5</v>
          </cell>
          <cell r="BE91">
            <v>4.5</v>
          </cell>
          <cell r="BF91">
            <v>4.6</v>
          </cell>
          <cell r="BG91">
            <v>4.7</v>
          </cell>
          <cell r="BH91">
            <v>4.9</v>
          </cell>
          <cell r="BI91">
            <v>4.7</v>
          </cell>
          <cell r="BJ91">
            <v>4.7</v>
          </cell>
          <cell r="BK91">
            <v>4.7</v>
          </cell>
          <cell r="BL91">
            <v>4.8</v>
          </cell>
          <cell r="BM91">
            <v>4.9</v>
          </cell>
          <cell r="BN91">
            <v>5.1</v>
          </cell>
          <cell r="BO91">
            <v>5</v>
          </cell>
          <cell r="BP91">
            <v>4.9</v>
          </cell>
          <cell r="BQ91">
            <v>5</v>
          </cell>
          <cell r="BR91">
            <v>5</v>
          </cell>
          <cell r="BS91">
            <v>5.2</v>
          </cell>
          <cell r="BT91">
            <v>5.3</v>
          </cell>
          <cell r="BU91">
            <v>5.5</v>
          </cell>
          <cell r="BV91">
            <v>5.4</v>
          </cell>
          <cell r="BW91">
            <v>5.5</v>
          </cell>
          <cell r="BX91">
            <v>5.6</v>
          </cell>
          <cell r="BY91">
            <v>5.7</v>
          </cell>
          <cell r="BZ91">
            <v>5.9</v>
          </cell>
          <cell r="CA91">
            <v>5.9</v>
          </cell>
          <cell r="CB91">
            <v>5.9</v>
          </cell>
          <cell r="CC91">
            <v>6</v>
          </cell>
          <cell r="CD91">
            <v>6.1</v>
          </cell>
          <cell r="CE91">
            <v>6.3</v>
          </cell>
          <cell r="CF91">
            <v>6.5</v>
          </cell>
          <cell r="CG91">
            <v>2.2</v>
          </cell>
          <cell r="CH91">
            <v>2.5</v>
          </cell>
          <cell r="CI91">
            <v>2.8</v>
          </cell>
          <cell r="CJ91">
            <v>3</v>
          </cell>
          <cell r="CK91">
            <v>3.3</v>
          </cell>
          <cell r="CL91">
            <v>3.7</v>
          </cell>
          <cell r="CM91">
            <v>2.93346301399843e-6</v>
          </cell>
          <cell r="CN91">
            <v>1.10178034236613e-8</v>
          </cell>
          <cell r="CO91">
            <v>3.36246481666322e-14</v>
          </cell>
          <cell r="CP91">
            <v>7.31297156456408e-7</v>
          </cell>
          <cell r="CQ91">
            <v>6.53023251883173e-10</v>
          </cell>
          <cell r="CR91">
            <v>0.0960330493576544</v>
          </cell>
          <cell r="CS91">
            <v>1</v>
          </cell>
          <cell r="CT91">
            <v>1</v>
          </cell>
          <cell r="CU91">
            <v>1</v>
          </cell>
          <cell r="CV91">
            <v>3</v>
          </cell>
          <cell r="CW91">
            <v>1</v>
          </cell>
          <cell r="CX91">
            <v>1</v>
          </cell>
          <cell r="CY91">
            <v>0</v>
          </cell>
          <cell r="CZ91">
            <v>0</v>
          </cell>
          <cell r="DA91">
            <v>672</v>
          </cell>
          <cell r="DB91">
            <v>706</v>
          </cell>
          <cell r="DC91">
            <v>622</v>
          </cell>
          <cell r="DD91">
            <v>668</v>
          </cell>
          <cell r="DE91">
            <v>59</v>
          </cell>
          <cell r="DF91">
            <v>0</v>
          </cell>
          <cell r="DG91">
            <v>73</v>
          </cell>
          <cell r="DH91">
            <v>0</v>
          </cell>
          <cell r="DI91">
            <v>150</v>
          </cell>
          <cell r="DJ91">
            <v>0</v>
          </cell>
          <cell r="DK91">
            <v>698</v>
          </cell>
          <cell r="DL91">
            <v>61</v>
          </cell>
          <cell r="DM91">
            <v>12190</v>
          </cell>
          <cell r="DN91">
            <v>4720</v>
          </cell>
          <cell r="DO91">
            <v>0.291</v>
          </cell>
          <cell r="DP91">
            <v>0</v>
          </cell>
          <cell r="DQ91" t="str">
            <v>370/305</v>
          </cell>
          <cell r="DR91">
            <v>351</v>
          </cell>
          <cell r="DS91">
            <v>305</v>
          </cell>
          <cell r="DT91">
            <v>4.27</v>
          </cell>
          <cell r="DU91">
            <v>0.853</v>
          </cell>
          <cell r="DV91">
            <v>0.974</v>
          </cell>
          <cell r="DW91">
            <v>0.999</v>
          </cell>
          <cell r="DX91">
            <v>0.999</v>
          </cell>
          <cell r="DY91">
            <v>0.999</v>
          </cell>
          <cell r="DZ91">
            <v>0.999</v>
          </cell>
          <cell r="EA91">
            <v>0.999</v>
          </cell>
          <cell r="EB91">
            <v>0.999</v>
          </cell>
          <cell r="EC91">
            <v>0.999</v>
          </cell>
          <cell r="ED91">
            <v>0.999</v>
          </cell>
          <cell r="EE91">
            <v>0.999</v>
          </cell>
          <cell r="EF91">
            <v>0.999</v>
          </cell>
          <cell r="EG91">
            <v>0.999</v>
          </cell>
          <cell r="EH91">
            <v>0.999</v>
          </cell>
          <cell r="EI91">
            <v>0.999</v>
          </cell>
          <cell r="EJ91">
            <v>0.999</v>
          </cell>
          <cell r="EK91">
            <v>0.999</v>
          </cell>
          <cell r="EL91">
            <v>0.999</v>
          </cell>
          <cell r="EM91">
            <v>0.999</v>
          </cell>
          <cell r="EN91">
            <v>0.999</v>
          </cell>
          <cell r="EO91">
            <v>0.999</v>
          </cell>
          <cell r="EP91">
            <v>0.999</v>
          </cell>
          <cell r="EQ91">
            <v>0.999</v>
          </cell>
          <cell r="ER91">
            <v>0.996</v>
          </cell>
          <cell r="ES91">
            <v>0.992</v>
          </cell>
          <cell r="ET91">
            <v>0.986</v>
          </cell>
          <cell r="EU91">
            <v>0.977</v>
          </cell>
          <cell r="EV91">
            <v>0.96</v>
          </cell>
          <cell r="EW91">
            <v>0.932</v>
          </cell>
          <cell r="EX91">
            <v>0.886</v>
          </cell>
          <cell r="EY91">
            <v>0.815</v>
          </cell>
          <cell r="EZ91">
            <v>0.695</v>
          </cell>
          <cell r="FA91">
            <v>0.481</v>
          </cell>
          <cell r="FB91">
            <v>0.173</v>
          </cell>
          <cell r="FC91">
            <v>0</v>
          </cell>
          <cell r="FD91">
            <v>0</v>
          </cell>
          <cell r="FE91">
            <v>0.728</v>
          </cell>
          <cell r="FF91">
            <v>0.949</v>
          </cell>
          <cell r="FG91">
            <v>0.998</v>
          </cell>
          <cell r="FH91">
            <v>0.998</v>
          </cell>
          <cell r="FI91">
            <v>0.998</v>
          </cell>
          <cell r="FJ91">
            <v>0.998</v>
          </cell>
          <cell r="FK91">
            <v>0.998</v>
          </cell>
          <cell r="FL91">
            <v>0.998</v>
          </cell>
          <cell r="FM91">
            <v>0.998</v>
          </cell>
          <cell r="FN91">
            <v>0.998</v>
          </cell>
          <cell r="FO91">
            <v>0.998</v>
          </cell>
          <cell r="FP91">
            <v>0.998</v>
          </cell>
          <cell r="FQ91">
            <v>0.998</v>
          </cell>
          <cell r="FR91">
            <v>0.998</v>
          </cell>
          <cell r="FS91">
            <v>0.998</v>
          </cell>
          <cell r="FT91">
            <v>0.998</v>
          </cell>
          <cell r="FU91">
            <v>0.998</v>
          </cell>
          <cell r="FV91">
            <v>0.998</v>
          </cell>
          <cell r="FW91">
            <v>0.998</v>
          </cell>
          <cell r="FX91">
            <v>0.998</v>
          </cell>
          <cell r="FY91">
            <v>0.998</v>
          </cell>
          <cell r="FZ91">
            <v>0.998</v>
          </cell>
          <cell r="GA91">
            <v>0.998</v>
          </cell>
          <cell r="GB91">
            <v>0.992</v>
          </cell>
          <cell r="GC91">
            <v>0.984</v>
          </cell>
          <cell r="GD91">
            <v>0.972</v>
          </cell>
          <cell r="GE91">
            <v>0.955</v>
          </cell>
          <cell r="GF91">
            <v>0.922</v>
          </cell>
          <cell r="GG91">
            <v>0.869</v>
          </cell>
          <cell r="GH91">
            <v>0.785</v>
          </cell>
          <cell r="GI91">
            <v>0.564</v>
          </cell>
          <cell r="GJ91">
            <v>0.38</v>
          </cell>
          <cell r="GK91">
            <v>0.16</v>
          </cell>
          <cell r="GL91">
            <v>0.017</v>
          </cell>
          <cell r="GM91">
            <v>0</v>
          </cell>
          <cell r="GN91">
            <v>0</v>
          </cell>
        </row>
        <row r="92">
          <cell r="B92" t="str">
            <v>H-LaF51</v>
          </cell>
          <cell r="C92">
            <v>700481</v>
          </cell>
          <cell r="D92">
            <v>48.08</v>
          </cell>
          <cell r="E92">
            <v>47.8</v>
          </cell>
          <cell r="F92">
            <v>0.014559</v>
          </cell>
          <cell r="G92">
            <v>0.014717</v>
          </cell>
          <cell r="H92">
            <v>1.66549</v>
          </cell>
          <cell r="I92">
            <v>1.67085</v>
          </cell>
          <cell r="J92">
            <v>1.67686</v>
          </cell>
          <cell r="K92">
            <v>1.68256</v>
          </cell>
          <cell r="L92">
            <v>1.68456</v>
          </cell>
          <cell r="M92">
            <v>1.68821</v>
          </cell>
          <cell r="N92">
            <v>1.69079</v>
          </cell>
          <cell r="O92">
            <v>1.6932</v>
          </cell>
          <cell r="P92">
            <v>1.69564</v>
          </cell>
          <cell r="Q92">
            <v>1.69633</v>
          </cell>
          <cell r="R92">
            <v>1.69697</v>
          </cell>
          <cell r="S92">
            <v>1.69987</v>
          </cell>
          <cell r="T92">
            <v>1.7</v>
          </cell>
          <cell r="U92">
            <v>1.70346</v>
          </cell>
          <cell r="V92">
            <v>1.7102</v>
          </cell>
          <cell r="W92">
            <v>1.71104</v>
          </cell>
          <cell r="X92">
            <v>1.71838</v>
          </cell>
          <cell r="Y92">
            <v>1.7253</v>
          </cell>
          <cell r="Z92">
            <v>1.7374</v>
          </cell>
          <cell r="AA92">
            <v>2.82781336</v>
          </cell>
          <cell r="AB92">
            <v>-0.0106938171</v>
          </cell>
          <cell r="AC92">
            <v>0.0208610635</v>
          </cell>
          <cell r="AD92">
            <v>0.000726796327</v>
          </cell>
          <cell r="AE92">
            <v>-3.73066587e-5</v>
          </cell>
          <cell r="AF92">
            <v>3.28626126e-6</v>
          </cell>
          <cell r="AG92">
            <v>0.299450549450546</v>
          </cell>
          <cell r="AH92">
            <v>0.237637362637365</v>
          </cell>
          <cell r="AI92">
            <v>0.561813186813196</v>
          </cell>
          <cell r="AJ92">
            <v>0.249490142760031</v>
          </cell>
          <cell r="AK92">
            <v>0.23521414004079</v>
          </cell>
          <cell r="AL92">
            <v>0.498980285520063</v>
          </cell>
          <cell r="AM92">
            <v>-0.000747752087911318</v>
          </cell>
          <cell r="AN92">
            <v>-0.00192593318680426</v>
          </cell>
          <cell r="AO92">
            <v>-0.0121066690109856</v>
          </cell>
          <cell r="AP92">
            <v>-0.00548980219779564</v>
          </cell>
          <cell r="AQ92">
            <v>1.5</v>
          </cell>
          <cell r="AR92">
            <v>1.4</v>
          </cell>
          <cell r="AS92">
            <v>1.3</v>
          </cell>
          <cell r="AT92">
            <v>1.3</v>
          </cell>
          <cell r="AU92">
            <v>1.4</v>
          </cell>
          <cell r="AV92">
            <v>1.5</v>
          </cell>
          <cell r="AW92">
            <v>2</v>
          </cell>
          <cell r="AX92">
            <v>1.9</v>
          </cell>
          <cell r="AY92">
            <v>1.9</v>
          </cell>
          <cell r="AZ92">
            <v>1.9</v>
          </cell>
          <cell r="BA92">
            <v>2</v>
          </cell>
          <cell r="BB92">
            <v>2.1</v>
          </cell>
          <cell r="BC92">
            <v>2</v>
          </cell>
          <cell r="BD92">
            <v>1.9</v>
          </cell>
          <cell r="BE92">
            <v>1.9</v>
          </cell>
          <cell r="BF92">
            <v>2</v>
          </cell>
          <cell r="BG92">
            <v>2.1</v>
          </cell>
          <cell r="BH92">
            <v>2.1</v>
          </cell>
          <cell r="BI92">
            <v>2.2</v>
          </cell>
          <cell r="BJ92">
            <v>2.1</v>
          </cell>
          <cell r="BK92">
            <v>2.1</v>
          </cell>
          <cell r="BL92">
            <v>2.2</v>
          </cell>
          <cell r="BM92">
            <v>2.2</v>
          </cell>
          <cell r="BN92">
            <v>2.4</v>
          </cell>
          <cell r="BO92">
            <v>2.4</v>
          </cell>
          <cell r="BP92">
            <v>2.3</v>
          </cell>
          <cell r="BQ92">
            <v>2.3</v>
          </cell>
          <cell r="BR92">
            <v>2.4</v>
          </cell>
          <cell r="BS92">
            <v>2.5</v>
          </cell>
          <cell r="BT92">
            <v>2.6</v>
          </cell>
          <cell r="BU92">
            <v>2.9</v>
          </cell>
          <cell r="BV92">
            <v>2.9</v>
          </cell>
          <cell r="BW92">
            <v>2.9</v>
          </cell>
          <cell r="BX92">
            <v>2.9</v>
          </cell>
          <cell r="BY92">
            <v>3.1</v>
          </cell>
          <cell r="BZ92">
            <v>3.2</v>
          </cell>
          <cell r="CA92">
            <v>3.4</v>
          </cell>
          <cell r="CB92">
            <v>3.4</v>
          </cell>
          <cell r="CC92">
            <v>3.4</v>
          </cell>
          <cell r="CD92">
            <v>3.5</v>
          </cell>
          <cell r="CE92">
            <v>3.7</v>
          </cell>
          <cell r="CF92">
            <v>3.8</v>
          </cell>
          <cell r="CG92">
            <v>-0.3</v>
          </cell>
          <cell r="CH92">
            <v>0</v>
          </cell>
          <cell r="CI92">
            <v>0.2</v>
          </cell>
          <cell r="CJ92">
            <v>0.5</v>
          </cell>
          <cell r="CK92">
            <v>0.8</v>
          </cell>
          <cell r="CL92">
            <v>1</v>
          </cell>
          <cell r="CM92">
            <v>-1.03e-6</v>
          </cell>
          <cell r="CN92">
            <v>9.97e-9</v>
          </cell>
          <cell r="CO92">
            <v>-2.46e-12</v>
          </cell>
          <cell r="CP92">
            <v>6.25e-7</v>
          </cell>
          <cell r="CQ92">
            <v>6.126e-10</v>
          </cell>
          <cell r="CR92">
            <v>0.205</v>
          </cell>
          <cell r="CS92">
            <v>1</v>
          </cell>
          <cell r="CT92">
            <v>1</v>
          </cell>
          <cell r="CU92">
            <v>1</v>
          </cell>
          <cell r="CV92">
            <v>3</v>
          </cell>
          <cell r="CW92">
            <v>1</v>
          </cell>
          <cell r="CX92">
            <v>2</v>
          </cell>
          <cell r="CY92">
            <v>0</v>
          </cell>
          <cell r="CZ92">
            <v>0</v>
          </cell>
          <cell r="DA92">
            <v>642</v>
          </cell>
          <cell r="DB92">
            <v>698</v>
          </cell>
          <cell r="DC92">
            <v>591</v>
          </cell>
          <cell r="DD92">
            <v>635</v>
          </cell>
          <cell r="DE92">
            <v>77</v>
          </cell>
          <cell r="DF92">
            <v>0</v>
          </cell>
          <cell r="DG92">
            <v>91</v>
          </cell>
          <cell r="DH92">
            <v>0</v>
          </cell>
          <cell r="DI92">
            <v>130</v>
          </cell>
          <cell r="DJ92">
            <v>0</v>
          </cell>
          <cell r="DK92">
            <v>532</v>
          </cell>
          <cell r="DL92">
            <v>171</v>
          </cell>
          <cell r="DM92">
            <v>10590</v>
          </cell>
          <cell r="DN92">
            <v>4133</v>
          </cell>
          <cell r="DO92">
            <v>0.281</v>
          </cell>
          <cell r="DP92">
            <v>0</v>
          </cell>
          <cell r="DQ92" t="str">
            <v>370/330</v>
          </cell>
          <cell r="DR92">
            <v>0</v>
          </cell>
          <cell r="DS92">
            <v>0</v>
          </cell>
          <cell r="DT92">
            <v>4.01</v>
          </cell>
          <cell r="DU92">
            <v>0.992</v>
          </cell>
          <cell r="DV92">
            <v>0.972</v>
          </cell>
          <cell r="DW92">
            <v>0.99</v>
          </cell>
          <cell r="DX92">
            <v>0.999</v>
          </cell>
          <cell r="DY92">
            <v>0.999</v>
          </cell>
          <cell r="DZ92">
            <v>0.999</v>
          </cell>
          <cell r="EA92">
            <v>0.999</v>
          </cell>
          <cell r="EB92">
            <v>0.999</v>
          </cell>
          <cell r="EC92">
            <v>0.999</v>
          </cell>
          <cell r="ED92">
            <v>0.999</v>
          </cell>
          <cell r="EE92">
            <v>0.999</v>
          </cell>
          <cell r="EF92">
            <v>0.999</v>
          </cell>
          <cell r="EG92">
            <v>0.999</v>
          </cell>
          <cell r="EH92">
            <v>0.999</v>
          </cell>
          <cell r="EI92">
            <v>0.999</v>
          </cell>
          <cell r="EJ92">
            <v>0.999</v>
          </cell>
          <cell r="EK92">
            <v>0.999</v>
          </cell>
          <cell r="EL92">
            <v>0.999</v>
          </cell>
          <cell r="EM92">
            <v>0.999</v>
          </cell>
          <cell r="EN92">
            <v>0.999</v>
          </cell>
          <cell r="EO92">
            <v>0.999</v>
          </cell>
          <cell r="EP92">
            <v>0.997</v>
          </cell>
          <cell r="EQ92">
            <v>0.995</v>
          </cell>
          <cell r="ER92">
            <v>0.992</v>
          </cell>
          <cell r="ES92">
            <v>0.987</v>
          </cell>
          <cell r="ET92">
            <v>0.978</v>
          </cell>
          <cell r="EU92">
            <v>0.959</v>
          </cell>
          <cell r="EV92">
            <v>0.914</v>
          </cell>
          <cell r="EW92">
            <v>0.798</v>
          </cell>
          <cell r="EX92">
            <v>0.538</v>
          </cell>
          <cell r="EY92">
            <v>0.18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0.845</v>
          </cell>
          <cell r="FF92">
            <v>0.944</v>
          </cell>
          <cell r="FG92">
            <v>0.977</v>
          </cell>
          <cell r="FH92">
            <v>0.99</v>
          </cell>
          <cell r="FI92">
            <v>0.998</v>
          </cell>
          <cell r="FJ92">
            <v>0.998</v>
          </cell>
          <cell r="FK92">
            <v>0.998</v>
          </cell>
          <cell r="FL92">
            <v>0.998</v>
          </cell>
          <cell r="FM92">
            <v>0.998</v>
          </cell>
          <cell r="FN92">
            <v>0.998</v>
          </cell>
          <cell r="FO92">
            <v>0.998</v>
          </cell>
          <cell r="FP92">
            <v>0.998</v>
          </cell>
          <cell r="FQ92">
            <v>0.998</v>
          </cell>
          <cell r="FR92">
            <v>0.998</v>
          </cell>
          <cell r="FS92">
            <v>0.998</v>
          </cell>
          <cell r="FT92">
            <v>0.998</v>
          </cell>
          <cell r="FU92">
            <v>0.998</v>
          </cell>
          <cell r="FV92">
            <v>0.998</v>
          </cell>
          <cell r="FW92">
            <v>0.998</v>
          </cell>
          <cell r="FX92">
            <v>0.998</v>
          </cell>
          <cell r="FY92">
            <v>0.998</v>
          </cell>
          <cell r="FZ92">
            <v>0.996</v>
          </cell>
          <cell r="GA92">
            <v>0.993</v>
          </cell>
          <cell r="GB92">
            <v>0.985</v>
          </cell>
          <cell r="GC92">
            <v>0.977</v>
          </cell>
          <cell r="GD92">
            <v>0.958</v>
          </cell>
          <cell r="GE92">
            <v>0.921</v>
          </cell>
          <cell r="GF92">
            <v>0.836</v>
          </cell>
          <cell r="GG92">
            <v>0.638</v>
          </cell>
          <cell r="GH92">
            <v>0.29</v>
          </cell>
          <cell r="GI92">
            <v>0.032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</row>
        <row r="93">
          <cell r="B93" t="str">
            <v>H-LaF52</v>
          </cell>
          <cell r="C93">
            <v>786442</v>
          </cell>
          <cell r="D93">
            <v>44.19</v>
          </cell>
          <cell r="E93">
            <v>43.93</v>
          </cell>
          <cell r="F93">
            <v>0.017786</v>
          </cell>
          <cell r="G93">
            <v>0.017988</v>
          </cell>
          <cell r="H93">
            <v>1.74307</v>
          </cell>
          <cell r="I93">
            <v>1.7499</v>
          </cell>
          <cell r="J93">
            <v>1.7575</v>
          </cell>
          <cell r="K93">
            <v>1.76459</v>
          </cell>
          <cell r="L93">
            <v>1.76705</v>
          </cell>
          <cell r="M93">
            <v>1.77152</v>
          </cell>
          <cell r="N93">
            <v>1.77467</v>
          </cell>
          <cell r="O93">
            <v>1.77761</v>
          </cell>
          <cell r="P93">
            <v>1.78059</v>
          </cell>
          <cell r="Q93">
            <v>1.78142</v>
          </cell>
          <cell r="R93">
            <v>1.78221</v>
          </cell>
          <cell r="S93">
            <v>1.78574</v>
          </cell>
          <cell r="T93">
            <v>1.7859</v>
          </cell>
          <cell r="U93">
            <v>1.79013</v>
          </cell>
          <cell r="V93">
            <v>1.79837</v>
          </cell>
          <cell r="W93">
            <v>1.79941</v>
          </cell>
          <cell r="X93">
            <v>1.80839</v>
          </cell>
          <cell r="Y93">
            <v>1.81686</v>
          </cell>
          <cell r="Z93">
            <v>1.8317</v>
          </cell>
          <cell r="AA93">
            <v>3.11106493</v>
          </cell>
          <cell r="AB93">
            <v>-0.0143449073</v>
          </cell>
          <cell r="AC93">
            <v>0.0258623917</v>
          </cell>
          <cell r="AD93">
            <v>0.00117041649</v>
          </cell>
          <cell r="AE93">
            <v>-7.48321872e-5</v>
          </cell>
          <cell r="AF93">
            <v>5.53559184e-6</v>
          </cell>
          <cell r="AG93">
            <v>0.298650168728915</v>
          </cell>
          <cell r="AH93">
            <v>0.237907761529805</v>
          </cell>
          <cell r="AI93">
            <v>0.563554555680531</v>
          </cell>
          <cell r="AJ93">
            <v>0.249027237354088</v>
          </cell>
          <cell r="AK93">
            <v>0.235130628126735</v>
          </cell>
          <cell r="AL93">
            <v>0.49916620344636</v>
          </cell>
          <cell r="AM93">
            <v>-0.00236505025871964</v>
          </cell>
          <cell r="AN93">
            <v>-0.00664585431946871</v>
          </cell>
          <cell r="AO93">
            <v>0.00728506877389132</v>
          </cell>
          <cell r="AP93">
            <v>0.00366773453317476</v>
          </cell>
          <cell r="AQ93">
            <v>7.3</v>
          </cell>
          <cell r="AR93">
            <v>7.3</v>
          </cell>
          <cell r="AS93">
            <v>7.3</v>
          </cell>
          <cell r="AT93">
            <v>7.3</v>
          </cell>
          <cell r="AU93">
            <v>7.5</v>
          </cell>
          <cell r="AV93">
            <v>7.7</v>
          </cell>
          <cell r="AW93">
            <v>8.1</v>
          </cell>
          <cell r="AX93">
            <v>8.1</v>
          </cell>
          <cell r="AY93">
            <v>8.2</v>
          </cell>
          <cell r="AZ93">
            <v>8.2</v>
          </cell>
          <cell r="BA93">
            <v>8.3</v>
          </cell>
          <cell r="BB93">
            <v>8.6</v>
          </cell>
          <cell r="BC93">
            <v>8.1</v>
          </cell>
          <cell r="BD93">
            <v>8.2</v>
          </cell>
          <cell r="BE93">
            <v>8.2</v>
          </cell>
          <cell r="BF93">
            <v>8.2</v>
          </cell>
          <cell r="BG93">
            <v>8.4</v>
          </cell>
          <cell r="BH93">
            <v>8.7</v>
          </cell>
          <cell r="BI93">
            <v>8.4</v>
          </cell>
          <cell r="BJ93">
            <v>8.4</v>
          </cell>
          <cell r="BK93">
            <v>8.5</v>
          </cell>
          <cell r="BL93">
            <v>8.5</v>
          </cell>
          <cell r="BM93">
            <v>8.7</v>
          </cell>
          <cell r="BN93">
            <v>8.9</v>
          </cell>
          <cell r="BO93">
            <v>8.7</v>
          </cell>
          <cell r="BP93">
            <v>8.8</v>
          </cell>
          <cell r="BQ93">
            <v>8.8</v>
          </cell>
          <cell r="BR93">
            <v>8.9</v>
          </cell>
          <cell r="BS93">
            <v>9</v>
          </cell>
          <cell r="BT93">
            <v>9.3</v>
          </cell>
          <cell r="BU93">
            <v>9.4</v>
          </cell>
          <cell r="BV93">
            <v>9.5</v>
          </cell>
          <cell r="BW93">
            <v>9.6</v>
          </cell>
          <cell r="BX93">
            <v>9.6</v>
          </cell>
          <cell r="BY93">
            <v>9.8</v>
          </cell>
          <cell r="BZ93">
            <v>10.2</v>
          </cell>
          <cell r="CA93">
            <v>10.1</v>
          </cell>
          <cell r="CB93">
            <v>10.2</v>
          </cell>
          <cell r="CC93">
            <v>10.4</v>
          </cell>
          <cell r="CD93">
            <v>10.4</v>
          </cell>
          <cell r="CE93">
            <v>10.7</v>
          </cell>
          <cell r="CF93">
            <v>11</v>
          </cell>
          <cell r="CG93">
            <v>5.7</v>
          </cell>
          <cell r="CH93">
            <v>6.1</v>
          </cell>
          <cell r="CI93">
            <v>6.4</v>
          </cell>
          <cell r="CJ93">
            <v>6.7</v>
          </cell>
          <cell r="CK93">
            <v>7</v>
          </cell>
          <cell r="CL93">
            <v>7.4</v>
          </cell>
          <cell r="CM93">
            <v>8.58677596960414e-6</v>
          </cell>
          <cell r="CN93">
            <v>1.19977027033366e-8</v>
          </cell>
          <cell r="CO93">
            <v>1.45906257642175e-11</v>
          </cell>
          <cell r="CP93">
            <v>7.38211001564833e-7</v>
          </cell>
          <cell r="CQ93">
            <v>8.00760861428377e-10</v>
          </cell>
          <cell r="CR93">
            <v>0.214883358226961</v>
          </cell>
          <cell r="CS93">
            <v>1</v>
          </cell>
          <cell r="CT93">
            <v>3</v>
          </cell>
          <cell r="CU93">
            <v>1</v>
          </cell>
          <cell r="CV93">
            <v>3</v>
          </cell>
          <cell r="CW93">
            <v>1</v>
          </cell>
          <cell r="CX93">
            <v>1</v>
          </cell>
          <cell r="CY93">
            <v>0</v>
          </cell>
          <cell r="CZ93">
            <v>0</v>
          </cell>
          <cell r="DA93">
            <v>589</v>
          </cell>
          <cell r="DB93">
            <v>623</v>
          </cell>
          <cell r="DC93">
            <v>548</v>
          </cell>
          <cell r="DD93">
            <v>574</v>
          </cell>
          <cell r="DE93">
            <v>56</v>
          </cell>
          <cell r="DF93">
            <v>0</v>
          </cell>
          <cell r="DG93">
            <v>72</v>
          </cell>
          <cell r="DH93">
            <v>0</v>
          </cell>
          <cell r="DI93">
            <v>137</v>
          </cell>
          <cell r="DJ93">
            <v>0</v>
          </cell>
          <cell r="DK93">
            <v>649</v>
          </cell>
          <cell r="DL93">
            <v>76</v>
          </cell>
          <cell r="DM93">
            <v>12731</v>
          </cell>
          <cell r="DN93">
            <v>4893</v>
          </cell>
          <cell r="DO93">
            <v>0.301</v>
          </cell>
          <cell r="DP93">
            <v>2.16</v>
          </cell>
          <cell r="DQ93" t="str">
            <v>380/320</v>
          </cell>
          <cell r="DR93">
            <v>350</v>
          </cell>
          <cell r="DS93">
            <v>316</v>
          </cell>
          <cell r="DT93">
            <v>4.38</v>
          </cell>
          <cell r="DU93">
            <v>0.83</v>
          </cell>
          <cell r="DV93">
            <v>0.958</v>
          </cell>
          <cell r="DW93">
            <v>0.99</v>
          </cell>
          <cell r="DX93">
            <v>0.999</v>
          </cell>
          <cell r="DY93">
            <v>0.999</v>
          </cell>
          <cell r="DZ93">
            <v>0.999</v>
          </cell>
          <cell r="EA93">
            <v>0.999</v>
          </cell>
          <cell r="EB93">
            <v>0.999</v>
          </cell>
          <cell r="EC93">
            <v>0.999</v>
          </cell>
          <cell r="ED93">
            <v>0.999</v>
          </cell>
          <cell r="EE93">
            <v>0.999</v>
          </cell>
          <cell r="EF93">
            <v>0.999</v>
          </cell>
          <cell r="EG93">
            <v>0.999</v>
          </cell>
          <cell r="EH93">
            <v>0.999</v>
          </cell>
          <cell r="EI93">
            <v>0.999</v>
          </cell>
          <cell r="EJ93">
            <v>0.999</v>
          </cell>
          <cell r="EK93">
            <v>0.999</v>
          </cell>
          <cell r="EL93">
            <v>0.999</v>
          </cell>
          <cell r="EM93">
            <v>0.999</v>
          </cell>
          <cell r="EN93">
            <v>0.998</v>
          </cell>
          <cell r="EO93">
            <v>0.996</v>
          </cell>
          <cell r="EP93">
            <v>0.994</v>
          </cell>
          <cell r="EQ93">
            <v>0.988</v>
          </cell>
          <cell r="ER93">
            <v>0.982</v>
          </cell>
          <cell r="ES93">
            <v>0.975</v>
          </cell>
          <cell r="ET93">
            <v>0.966</v>
          </cell>
          <cell r="EU93">
            <v>0.949</v>
          </cell>
          <cell r="EV93">
            <v>0.92</v>
          </cell>
          <cell r="EW93">
            <v>0.873</v>
          </cell>
          <cell r="EX93">
            <v>0.793</v>
          </cell>
          <cell r="EY93">
            <v>0.639</v>
          </cell>
          <cell r="EZ93">
            <v>0.349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0.689</v>
          </cell>
          <cell r="FF93">
            <v>0.918</v>
          </cell>
          <cell r="FG93">
            <v>0.98</v>
          </cell>
          <cell r="FH93">
            <v>0.998</v>
          </cell>
          <cell r="FI93">
            <v>0.998</v>
          </cell>
          <cell r="FJ93">
            <v>0.998</v>
          </cell>
          <cell r="FK93">
            <v>0.998</v>
          </cell>
          <cell r="FL93">
            <v>0.998</v>
          </cell>
          <cell r="FM93">
            <v>0.998</v>
          </cell>
          <cell r="FN93">
            <v>0.998</v>
          </cell>
          <cell r="FO93">
            <v>0.998</v>
          </cell>
          <cell r="FP93">
            <v>0.998</v>
          </cell>
          <cell r="FQ93">
            <v>0.998</v>
          </cell>
          <cell r="FR93">
            <v>0.998</v>
          </cell>
          <cell r="FS93">
            <v>0.998</v>
          </cell>
          <cell r="FT93">
            <v>0.998</v>
          </cell>
          <cell r="FU93">
            <v>0.998</v>
          </cell>
          <cell r="FV93">
            <v>0.998</v>
          </cell>
          <cell r="FW93">
            <v>0.998</v>
          </cell>
          <cell r="FX93">
            <v>0.996</v>
          </cell>
          <cell r="FY93">
            <v>0.993</v>
          </cell>
          <cell r="FZ93">
            <v>0.99</v>
          </cell>
          <cell r="GA93">
            <v>0.985</v>
          </cell>
          <cell r="GB93">
            <v>0.975</v>
          </cell>
          <cell r="GC93">
            <v>0.963</v>
          </cell>
          <cell r="GD93">
            <v>0.945</v>
          </cell>
          <cell r="GE93">
            <v>0.913</v>
          </cell>
          <cell r="GF93">
            <v>0.858</v>
          </cell>
          <cell r="GG93">
            <v>0.774</v>
          </cell>
          <cell r="GH93">
            <v>0.639</v>
          </cell>
          <cell r="GI93">
            <v>0.418</v>
          </cell>
          <cell r="GJ93">
            <v>0.127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</row>
        <row r="94">
          <cell r="B94" t="str">
            <v>H-LaF53</v>
          </cell>
          <cell r="C94">
            <v>743492</v>
          </cell>
          <cell r="D94">
            <v>49.22</v>
          </cell>
          <cell r="E94">
            <v>48.99</v>
          </cell>
          <cell r="F94">
            <v>0.015101</v>
          </cell>
          <cell r="G94">
            <v>0.015246</v>
          </cell>
          <cell r="H94">
            <v>1.70295</v>
          </cell>
          <cell r="I94">
            <v>1.71</v>
          </cell>
          <cell r="J94">
            <v>1.71771</v>
          </cell>
          <cell r="K94">
            <v>1.72456</v>
          </cell>
          <cell r="L94">
            <v>1.72685</v>
          </cell>
          <cell r="M94">
            <v>1.73086</v>
          </cell>
          <cell r="N94">
            <v>1.73363</v>
          </cell>
          <cell r="O94">
            <v>1.73617</v>
          </cell>
          <cell r="P94">
            <v>1.73874</v>
          </cell>
          <cell r="Q94">
            <v>1.73946</v>
          </cell>
          <cell r="R94">
            <v>1.74014</v>
          </cell>
          <cell r="S94">
            <v>1.74317</v>
          </cell>
          <cell r="T94">
            <v>1.7433</v>
          </cell>
          <cell r="U94">
            <v>1.7469</v>
          </cell>
          <cell r="V94">
            <v>1.75384</v>
          </cell>
          <cell r="W94">
            <v>1.75471</v>
          </cell>
          <cell r="X94">
            <v>1.7622</v>
          </cell>
          <cell r="Y94">
            <v>1.76917</v>
          </cell>
          <cell r="Z94">
            <v>1.78125</v>
          </cell>
          <cell r="AA94">
            <v>2.97586321</v>
          </cell>
          <cell r="AB94">
            <v>-0.0147400073</v>
          </cell>
          <cell r="AC94">
            <v>0.0208277634</v>
          </cell>
          <cell r="AD94">
            <v>0.00121060314</v>
          </cell>
          <cell r="AE94">
            <v>-0.000109105575</v>
          </cell>
          <cell r="AF94">
            <v>6.47945304e-6</v>
          </cell>
          <cell r="AG94">
            <v>0.301986754966893</v>
          </cell>
          <cell r="AH94">
            <v>0.238410596026477</v>
          </cell>
          <cell r="AI94">
            <v>0.553642384105951</v>
          </cell>
          <cell r="AJ94">
            <v>0.251803278688529</v>
          </cell>
          <cell r="AK94">
            <v>0.236065573770481</v>
          </cell>
          <cell r="AL94">
            <v>0.491147540983607</v>
          </cell>
          <cell r="AM94">
            <v>-0.0034279109933698</v>
          </cell>
          <cell r="AN94">
            <v>-0.00820319589404894</v>
          </cell>
          <cell r="AO94">
            <v>0.00879709854303759</v>
          </cell>
          <cell r="AP94">
            <v>0.00332630463575026</v>
          </cell>
          <cell r="AQ94">
            <v>7.3</v>
          </cell>
          <cell r="AR94">
            <v>7.3</v>
          </cell>
          <cell r="AS94">
            <v>7.3</v>
          </cell>
          <cell r="AT94">
            <v>7.4</v>
          </cell>
          <cell r="AU94">
            <v>7.5</v>
          </cell>
          <cell r="AV94">
            <v>7.6</v>
          </cell>
          <cell r="AW94">
            <v>8</v>
          </cell>
          <cell r="AX94">
            <v>8</v>
          </cell>
          <cell r="AY94">
            <v>8.1</v>
          </cell>
          <cell r="AZ94">
            <v>8.1</v>
          </cell>
          <cell r="BA94">
            <v>8.3</v>
          </cell>
          <cell r="BB94">
            <v>8.5</v>
          </cell>
          <cell r="BC94">
            <v>8</v>
          </cell>
          <cell r="BD94">
            <v>8.1</v>
          </cell>
          <cell r="BE94">
            <v>8.1</v>
          </cell>
          <cell r="BF94">
            <v>8.2</v>
          </cell>
          <cell r="BG94">
            <v>8.3</v>
          </cell>
          <cell r="BH94">
            <v>8.5</v>
          </cell>
          <cell r="BI94">
            <v>8.2</v>
          </cell>
          <cell r="BJ94">
            <v>8.3</v>
          </cell>
          <cell r="BK94">
            <v>8.3</v>
          </cell>
          <cell r="BL94">
            <v>8.4</v>
          </cell>
          <cell r="BM94">
            <v>8.5</v>
          </cell>
          <cell r="BN94">
            <v>8.7</v>
          </cell>
          <cell r="BO94">
            <v>8.5</v>
          </cell>
          <cell r="BP94">
            <v>8.6</v>
          </cell>
          <cell r="BQ94">
            <v>8.6</v>
          </cell>
          <cell r="BR94">
            <v>8.7</v>
          </cell>
          <cell r="BS94">
            <v>8.8</v>
          </cell>
          <cell r="BT94">
            <v>9</v>
          </cell>
          <cell r="BU94">
            <v>9</v>
          </cell>
          <cell r="BV94">
            <v>9.1</v>
          </cell>
          <cell r="BW94">
            <v>9.2</v>
          </cell>
          <cell r="BX94">
            <v>9.3</v>
          </cell>
          <cell r="BY94">
            <v>9.5</v>
          </cell>
          <cell r="BZ94">
            <v>9.7</v>
          </cell>
          <cell r="CA94">
            <v>9.6</v>
          </cell>
          <cell r="CB94">
            <v>9.7</v>
          </cell>
          <cell r="CC94">
            <v>9.8</v>
          </cell>
          <cell r="CD94">
            <v>9.9</v>
          </cell>
          <cell r="CE94">
            <v>10.1</v>
          </cell>
          <cell r="CF94">
            <v>10.4</v>
          </cell>
          <cell r="CG94">
            <v>5.7</v>
          </cell>
          <cell r="CH94">
            <v>6.1</v>
          </cell>
          <cell r="CI94">
            <v>6.4</v>
          </cell>
          <cell r="CJ94">
            <v>6.6</v>
          </cell>
          <cell r="CK94">
            <v>7</v>
          </cell>
          <cell r="CL94">
            <v>7.3</v>
          </cell>
          <cell r="CM94">
            <v>9.17e-6</v>
          </cell>
          <cell r="CN94">
            <v>1.281e-8</v>
          </cell>
          <cell r="CO94">
            <v>7.11e-12</v>
          </cell>
          <cell r="CP94">
            <v>7.25e-7</v>
          </cell>
          <cell r="CQ94">
            <v>6.342e-10</v>
          </cell>
          <cell r="CR94">
            <v>0.172</v>
          </cell>
          <cell r="CS94">
            <v>1</v>
          </cell>
          <cell r="CT94">
            <v>3</v>
          </cell>
          <cell r="CU94">
            <v>1</v>
          </cell>
          <cell r="CV94">
            <v>3</v>
          </cell>
          <cell r="CW94">
            <v>1</v>
          </cell>
          <cell r="CX94">
            <v>2</v>
          </cell>
          <cell r="CY94">
            <v>0</v>
          </cell>
          <cell r="CZ94">
            <v>0</v>
          </cell>
          <cell r="DA94">
            <v>593</v>
          </cell>
          <cell r="DB94">
            <v>627</v>
          </cell>
          <cell r="DC94">
            <v>550</v>
          </cell>
          <cell r="DD94">
            <v>578</v>
          </cell>
          <cell r="DE94">
            <v>50</v>
          </cell>
          <cell r="DF94">
            <v>0</v>
          </cell>
          <cell r="DG94">
            <v>66</v>
          </cell>
          <cell r="DH94">
            <v>0</v>
          </cell>
          <cell r="DI94">
            <v>140</v>
          </cell>
          <cell r="DJ94">
            <v>0</v>
          </cell>
          <cell r="DK94">
            <v>661</v>
          </cell>
          <cell r="DL94">
            <v>83</v>
          </cell>
          <cell r="DM94">
            <v>11560</v>
          </cell>
          <cell r="DN94">
            <v>4420</v>
          </cell>
          <cell r="DO94">
            <v>0.305</v>
          </cell>
          <cell r="DP94">
            <v>2.28</v>
          </cell>
          <cell r="DQ94" t="str">
            <v>370/300</v>
          </cell>
          <cell r="DR94">
            <v>342</v>
          </cell>
          <cell r="DS94">
            <v>301</v>
          </cell>
          <cell r="DT94">
            <v>4.15</v>
          </cell>
          <cell r="DU94">
            <v>0.761</v>
          </cell>
          <cell r="DV94">
            <v>0.914</v>
          </cell>
          <cell r="DW94">
            <v>0.975</v>
          </cell>
          <cell r="DX94">
            <v>0.993</v>
          </cell>
          <cell r="DY94">
            <v>0.999</v>
          </cell>
          <cell r="DZ94">
            <v>0.999</v>
          </cell>
          <cell r="EA94">
            <v>0.999</v>
          </cell>
          <cell r="EB94">
            <v>0.999</v>
          </cell>
          <cell r="EC94">
            <v>0.999</v>
          </cell>
          <cell r="ED94">
            <v>0.999</v>
          </cell>
          <cell r="EE94">
            <v>0.999</v>
          </cell>
          <cell r="EF94">
            <v>0.999</v>
          </cell>
          <cell r="EG94">
            <v>0.999</v>
          </cell>
          <cell r="EH94">
            <v>0.999</v>
          </cell>
          <cell r="EI94">
            <v>0.999</v>
          </cell>
          <cell r="EJ94">
            <v>0.999</v>
          </cell>
          <cell r="EK94">
            <v>0.999</v>
          </cell>
          <cell r="EL94">
            <v>0.999</v>
          </cell>
          <cell r="EM94">
            <v>0.999</v>
          </cell>
          <cell r="EN94">
            <v>0.999</v>
          </cell>
          <cell r="EO94">
            <v>0.998</v>
          </cell>
          <cell r="EP94">
            <v>0.997</v>
          </cell>
          <cell r="EQ94">
            <v>0.996</v>
          </cell>
          <cell r="ER94">
            <v>0.992</v>
          </cell>
          <cell r="ES94">
            <v>0.987</v>
          </cell>
          <cell r="ET94">
            <v>0.981</v>
          </cell>
          <cell r="EU94">
            <v>0.97</v>
          </cell>
          <cell r="EV94">
            <v>0.951</v>
          </cell>
          <cell r="EW94">
            <v>0.924</v>
          </cell>
          <cell r="EX94">
            <v>0.88</v>
          </cell>
          <cell r="EY94">
            <v>0.815</v>
          </cell>
          <cell r="EZ94">
            <v>0.705</v>
          </cell>
          <cell r="FA94">
            <v>0.505</v>
          </cell>
          <cell r="FB94">
            <v>0.187</v>
          </cell>
          <cell r="FC94">
            <v>0</v>
          </cell>
          <cell r="FD94">
            <v>0</v>
          </cell>
          <cell r="FE94">
            <v>0.58</v>
          </cell>
          <cell r="FF94">
            <v>0.835</v>
          </cell>
          <cell r="FG94">
            <v>0.951</v>
          </cell>
          <cell r="FH94">
            <v>0.986</v>
          </cell>
          <cell r="FI94">
            <v>0.998</v>
          </cell>
          <cell r="FJ94">
            <v>0.998</v>
          </cell>
          <cell r="FK94">
            <v>0.998</v>
          </cell>
          <cell r="FL94">
            <v>0.998</v>
          </cell>
          <cell r="FM94">
            <v>0.998</v>
          </cell>
          <cell r="FN94">
            <v>0.998</v>
          </cell>
          <cell r="FO94">
            <v>0.998</v>
          </cell>
          <cell r="FP94">
            <v>0.998</v>
          </cell>
          <cell r="FQ94">
            <v>0.998</v>
          </cell>
          <cell r="FR94">
            <v>0.998</v>
          </cell>
          <cell r="FS94">
            <v>0.998</v>
          </cell>
          <cell r="FT94">
            <v>0.998</v>
          </cell>
          <cell r="FU94">
            <v>0.998</v>
          </cell>
          <cell r="FV94">
            <v>0.998</v>
          </cell>
          <cell r="FW94">
            <v>0.998</v>
          </cell>
          <cell r="FX94">
            <v>0.998</v>
          </cell>
          <cell r="FY94">
            <v>0.996</v>
          </cell>
          <cell r="FZ94">
            <v>0.994</v>
          </cell>
          <cell r="GA94">
            <v>0.992</v>
          </cell>
          <cell r="GB94">
            <v>0.987</v>
          </cell>
          <cell r="GC94">
            <v>0.98</v>
          </cell>
          <cell r="GD94">
            <v>0.97</v>
          </cell>
          <cell r="GE94">
            <v>0.95</v>
          </cell>
          <cell r="GF94">
            <v>0.914</v>
          </cell>
          <cell r="GG94">
            <v>0.862</v>
          </cell>
          <cell r="GH94">
            <v>0.786</v>
          </cell>
          <cell r="GI94">
            <v>0.673</v>
          </cell>
          <cell r="GJ94">
            <v>0.508</v>
          </cell>
          <cell r="GK94">
            <v>0.263</v>
          </cell>
          <cell r="GL94">
            <v>0.039</v>
          </cell>
          <cell r="GM94">
            <v>0</v>
          </cell>
          <cell r="GN94">
            <v>0</v>
          </cell>
        </row>
        <row r="95">
          <cell r="B95" t="str">
            <v>H-LaF54</v>
          </cell>
          <cell r="C95">
            <v>800423</v>
          </cell>
          <cell r="D95">
            <v>42.34</v>
          </cell>
          <cell r="E95">
            <v>42.09</v>
          </cell>
          <cell r="F95">
            <v>0.018883</v>
          </cell>
          <cell r="G95">
            <v>0.019101</v>
          </cell>
          <cell r="H95">
            <v>1.75473</v>
          </cell>
          <cell r="I95">
            <v>1.76179</v>
          </cell>
          <cell r="J95">
            <v>1.76966</v>
          </cell>
          <cell r="K95">
            <v>1.77705</v>
          </cell>
          <cell r="L95">
            <v>1.77963</v>
          </cell>
          <cell r="M95">
            <v>1.78432</v>
          </cell>
          <cell r="N95">
            <v>1.78763</v>
          </cell>
          <cell r="O95">
            <v>1.79073</v>
          </cell>
          <cell r="P95">
            <v>1.79388</v>
          </cell>
          <cell r="Q95">
            <v>1.79476</v>
          </cell>
          <cell r="R95">
            <v>1.79559</v>
          </cell>
          <cell r="S95">
            <v>1.79934</v>
          </cell>
          <cell r="T95">
            <v>1.7995</v>
          </cell>
          <cell r="U95">
            <v>1.80399</v>
          </cell>
          <cell r="V95">
            <v>1.81276</v>
          </cell>
          <cell r="W95">
            <v>1.81386</v>
          </cell>
          <cell r="X95">
            <v>1.82345</v>
          </cell>
          <cell r="Y95">
            <v>1.83254</v>
          </cell>
          <cell r="Z95">
            <v>1.84858</v>
          </cell>
          <cell r="AA95">
            <v>3.15463077</v>
          </cell>
          <cell r="AB95">
            <v>-0.0149142692</v>
          </cell>
          <cell r="AC95">
            <v>0.0273983671</v>
          </cell>
          <cell r="AD95">
            <v>0.00130082902</v>
          </cell>
          <cell r="AE95">
            <v>-8.39080192e-5</v>
          </cell>
          <cell r="AF95">
            <v>6.66808513e-6</v>
          </cell>
          <cell r="AG95">
            <v>0.297669491525433</v>
          </cell>
          <cell r="AH95">
            <v>0.237817796610163</v>
          </cell>
          <cell r="AI95">
            <v>0.566207627118648</v>
          </cell>
          <cell r="AJ95">
            <v>0.248167539267024</v>
          </cell>
          <cell r="AK95">
            <v>0.235078534031406</v>
          </cell>
          <cell r="AL95">
            <v>0.502094240837693</v>
          </cell>
          <cell r="AM95">
            <v>-0.0023156081355964</v>
          </cell>
          <cell r="AN95">
            <v>-0.00706563288135148</v>
          </cell>
          <cell r="AO95">
            <v>0.00948730915253537</v>
          </cell>
          <cell r="AP95">
            <v>0.00433993220339028</v>
          </cell>
          <cell r="AQ95">
            <v>6.6</v>
          </cell>
          <cell r="AR95">
            <v>6.9</v>
          </cell>
          <cell r="AS95">
            <v>7</v>
          </cell>
          <cell r="AT95">
            <v>7</v>
          </cell>
          <cell r="AU95">
            <v>7</v>
          </cell>
          <cell r="AV95">
            <v>7.2</v>
          </cell>
          <cell r="AW95">
            <v>7.5</v>
          </cell>
          <cell r="AX95">
            <v>7.7</v>
          </cell>
          <cell r="AY95">
            <v>7.9</v>
          </cell>
          <cell r="AZ95">
            <v>7.9</v>
          </cell>
          <cell r="BA95">
            <v>8</v>
          </cell>
          <cell r="BB95">
            <v>8.1</v>
          </cell>
          <cell r="BC95">
            <v>7.5</v>
          </cell>
          <cell r="BD95">
            <v>7.8</v>
          </cell>
          <cell r="BE95">
            <v>7.9</v>
          </cell>
          <cell r="BF95">
            <v>8</v>
          </cell>
          <cell r="BG95">
            <v>8</v>
          </cell>
          <cell r="BH95">
            <v>8.2</v>
          </cell>
          <cell r="BI95">
            <v>7.7</v>
          </cell>
          <cell r="BJ95">
            <v>8</v>
          </cell>
          <cell r="BK95">
            <v>8.2</v>
          </cell>
          <cell r="BL95">
            <v>8.2</v>
          </cell>
          <cell r="BM95">
            <v>8.3</v>
          </cell>
          <cell r="BN95">
            <v>8.5</v>
          </cell>
          <cell r="BO95">
            <v>8.1</v>
          </cell>
          <cell r="BP95">
            <v>8.4</v>
          </cell>
          <cell r="BQ95">
            <v>8.6</v>
          </cell>
          <cell r="BR95">
            <v>8.6</v>
          </cell>
          <cell r="BS95">
            <v>8.7</v>
          </cell>
          <cell r="BT95">
            <v>8.9</v>
          </cell>
          <cell r="BU95">
            <v>8.8</v>
          </cell>
          <cell r="BV95">
            <v>9.1</v>
          </cell>
          <cell r="BW95">
            <v>9.3</v>
          </cell>
          <cell r="BX95">
            <v>9.4</v>
          </cell>
          <cell r="BY95">
            <v>9.5</v>
          </cell>
          <cell r="BZ95">
            <v>9.8</v>
          </cell>
          <cell r="CA95">
            <v>9.5</v>
          </cell>
          <cell r="CB95">
            <v>9.9</v>
          </cell>
          <cell r="CC95">
            <v>10.2</v>
          </cell>
          <cell r="CD95">
            <v>10.3</v>
          </cell>
          <cell r="CE95">
            <v>10.4</v>
          </cell>
          <cell r="CF95">
            <v>10.7</v>
          </cell>
          <cell r="CG95">
            <v>5.1</v>
          </cell>
          <cell r="CH95">
            <v>5.7</v>
          </cell>
          <cell r="CI95">
            <v>6.1</v>
          </cell>
          <cell r="CJ95">
            <v>6.4</v>
          </cell>
          <cell r="CK95">
            <v>6.7</v>
          </cell>
          <cell r="CL95">
            <v>7</v>
          </cell>
          <cell r="CM95">
            <v>7.87e-6</v>
          </cell>
          <cell r="CN95">
            <v>1.333e-8</v>
          </cell>
          <cell r="CO95">
            <v>-4.77e-11</v>
          </cell>
          <cell r="CP95">
            <v>7.94e-7</v>
          </cell>
          <cell r="CQ95">
            <v>8.271e-10</v>
          </cell>
          <cell r="CR95">
            <v>0.205</v>
          </cell>
          <cell r="CS95">
            <v>1</v>
          </cell>
          <cell r="CT95">
            <v>3</v>
          </cell>
          <cell r="CU95">
            <v>1</v>
          </cell>
          <cell r="CV95">
            <v>3</v>
          </cell>
          <cell r="CW95">
            <v>1</v>
          </cell>
          <cell r="CX95">
            <v>1</v>
          </cell>
          <cell r="CY95">
            <v>0</v>
          </cell>
          <cell r="CZ95">
            <v>0</v>
          </cell>
          <cell r="DA95">
            <v>595</v>
          </cell>
          <cell r="DB95">
            <v>632</v>
          </cell>
          <cell r="DC95">
            <v>539</v>
          </cell>
          <cell r="DD95">
            <v>580</v>
          </cell>
          <cell r="DE95">
            <v>53</v>
          </cell>
          <cell r="DF95">
            <v>0</v>
          </cell>
          <cell r="DG95">
            <v>68</v>
          </cell>
          <cell r="DH95">
            <v>0</v>
          </cell>
          <cell r="DI95">
            <v>145</v>
          </cell>
          <cell r="DJ95">
            <v>0</v>
          </cell>
          <cell r="DK95">
            <v>630</v>
          </cell>
          <cell r="DL95">
            <v>84</v>
          </cell>
          <cell r="DM95">
            <v>11534</v>
          </cell>
          <cell r="DN95">
            <v>4433</v>
          </cell>
          <cell r="DO95">
            <v>0.301</v>
          </cell>
          <cell r="DP95">
            <v>2.28</v>
          </cell>
          <cell r="DQ95" t="str">
            <v>390/330</v>
          </cell>
          <cell r="DR95">
            <v>0</v>
          </cell>
          <cell r="DS95">
            <v>0</v>
          </cell>
          <cell r="DT95">
            <v>4.4</v>
          </cell>
          <cell r="DU95">
            <v>0.811</v>
          </cell>
          <cell r="DV95">
            <v>0.944</v>
          </cell>
          <cell r="DW95">
            <v>0.99</v>
          </cell>
          <cell r="DX95">
            <v>0.999</v>
          </cell>
          <cell r="DY95">
            <v>0.999</v>
          </cell>
          <cell r="DZ95">
            <v>0.999</v>
          </cell>
          <cell r="EA95">
            <v>0.999</v>
          </cell>
          <cell r="EB95">
            <v>0.999</v>
          </cell>
          <cell r="EC95">
            <v>0.999</v>
          </cell>
          <cell r="ED95">
            <v>0.999</v>
          </cell>
          <cell r="EE95">
            <v>0.999</v>
          </cell>
          <cell r="EF95">
            <v>0.999</v>
          </cell>
          <cell r="EG95">
            <v>0.999</v>
          </cell>
          <cell r="EH95">
            <v>0.999</v>
          </cell>
          <cell r="EI95">
            <v>0.999</v>
          </cell>
          <cell r="EJ95">
            <v>0.999</v>
          </cell>
          <cell r="EK95">
            <v>0.999</v>
          </cell>
          <cell r="EL95">
            <v>0.999</v>
          </cell>
          <cell r="EM95">
            <v>0.999</v>
          </cell>
          <cell r="EN95">
            <v>0.997</v>
          </cell>
          <cell r="EO95">
            <v>0.995</v>
          </cell>
          <cell r="EP95">
            <v>0.993</v>
          </cell>
          <cell r="EQ95">
            <v>0.991</v>
          </cell>
          <cell r="ER95">
            <v>0.984</v>
          </cell>
          <cell r="ES95">
            <v>0.978</v>
          </cell>
          <cell r="ET95">
            <v>0.966</v>
          </cell>
          <cell r="EU95">
            <v>0.941</v>
          </cell>
          <cell r="EV95">
            <v>0.9</v>
          </cell>
          <cell r="EW95">
            <v>0.815</v>
          </cell>
          <cell r="EX95">
            <v>0.638</v>
          </cell>
          <cell r="EY95">
            <v>0.316</v>
          </cell>
          <cell r="EZ95">
            <v>0.048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0.658</v>
          </cell>
          <cell r="FF95">
            <v>0.891</v>
          </cell>
          <cell r="FG95">
            <v>0.98</v>
          </cell>
          <cell r="FH95">
            <v>0.998</v>
          </cell>
          <cell r="FI95">
            <v>0.998</v>
          </cell>
          <cell r="FJ95">
            <v>0.998</v>
          </cell>
          <cell r="FK95">
            <v>0.998</v>
          </cell>
          <cell r="FL95">
            <v>0.998</v>
          </cell>
          <cell r="FM95">
            <v>0.998</v>
          </cell>
          <cell r="FN95">
            <v>0.998</v>
          </cell>
          <cell r="FO95">
            <v>0.998</v>
          </cell>
          <cell r="FP95">
            <v>0.998</v>
          </cell>
          <cell r="FQ95">
            <v>0.998</v>
          </cell>
          <cell r="FR95">
            <v>0.998</v>
          </cell>
          <cell r="FS95">
            <v>0.998</v>
          </cell>
          <cell r="FT95">
            <v>0.998</v>
          </cell>
          <cell r="FU95">
            <v>0.998</v>
          </cell>
          <cell r="FV95">
            <v>0.998</v>
          </cell>
          <cell r="FW95">
            <v>0.998</v>
          </cell>
          <cell r="FX95">
            <v>0.996</v>
          </cell>
          <cell r="FY95">
            <v>0.994</v>
          </cell>
          <cell r="FZ95">
            <v>0.992</v>
          </cell>
          <cell r="GA95">
            <v>0.986</v>
          </cell>
          <cell r="GB95">
            <v>0.973</v>
          </cell>
          <cell r="GC95">
            <v>0.96</v>
          </cell>
          <cell r="GD95">
            <v>0.935</v>
          </cell>
          <cell r="GE95">
            <v>0.89</v>
          </cell>
          <cell r="GF95">
            <v>0.811</v>
          </cell>
          <cell r="GG95">
            <v>0.665</v>
          </cell>
          <cell r="GH95">
            <v>0.408</v>
          </cell>
          <cell r="GI95">
            <v>0.102</v>
          </cell>
          <cell r="GJ95">
            <v>0.011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</row>
        <row r="96">
          <cell r="B96" t="str">
            <v>H-LaF55</v>
          </cell>
          <cell r="C96">
            <v>750353</v>
          </cell>
          <cell r="D96">
            <v>35.33</v>
          </cell>
          <cell r="E96">
            <v>35.1</v>
          </cell>
          <cell r="F96">
            <v>0.021214</v>
          </cell>
          <cell r="G96">
            <v>0.021498</v>
          </cell>
          <cell r="H96">
            <v>1.70383</v>
          </cell>
          <cell r="I96">
            <v>1.7104</v>
          </cell>
          <cell r="J96">
            <v>1.71787</v>
          </cell>
          <cell r="K96">
            <v>1.72521</v>
          </cell>
          <cell r="L96">
            <v>1.72788</v>
          </cell>
          <cell r="M96">
            <v>1.73284</v>
          </cell>
          <cell r="N96">
            <v>1.73642</v>
          </cell>
          <cell r="O96">
            <v>1.7398</v>
          </cell>
          <cell r="P96">
            <v>1.74326</v>
          </cell>
          <cell r="Q96">
            <v>1.74424</v>
          </cell>
          <cell r="R96">
            <v>1.74516</v>
          </cell>
          <cell r="S96">
            <v>1.74932</v>
          </cell>
          <cell r="T96">
            <v>1.7495</v>
          </cell>
          <cell r="U96">
            <v>1.75453</v>
          </cell>
          <cell r="V96">
            <v>1.76447</v>
          </cell>
          <cell r="W96">
            <v>1.76574</v>
          </cell>
          <cell r="X96">
            <v>1.77675</v>
          </cell>
          <cell r="Y96">
            <v>1.78738</v>
          </cell>
          <cell r="Z96">
            <v>1.80661</v>
          </cell>
          <cell r="AA96">
            <v>2.96935883</v>
          </cell>
          <cell r="AB96">
            <v>-0.0132774456</v>
          </cell>
          <cell r="AC96">
            <v>0.0293044954</v>
          </cell>
          <cell r="AD96">
            <v>0.00150919828</v>
          </cell>
          <cell r="AE96">
            <v>-9.11873783e-5</v>
          </cell>
          <cell r="AF96">
            <v>9.40030979e-6</v>
          </cell>
          <cell r="AG96">
            <v>0.294200848656296</v>
          </cell>
          <cell r="AH96">
            <v>0.237152286657231</v>
          </cell>
          <cell r="AI96">
            <v>0.578972182932584</v>
          </cell>
          <cell r="AJ96">
            <v>0.244651162790699</v>
          </cell>
          <cell r="AK96">
            <v>0.233953488372086</v>
          </cell>
          <cell r="AL96">
            <v>0.512093023255811</v>
          </cell>
          <cell r="AM96">
            <v>-0.00205097531352749</v>
          </cell>
          <cell r="AN96">
            <v>-0.00594468706741639</v>
          </cell>
          <cell r="AO96">
            <v>0.0138204758227244</v>
          </cell>
          <cell r="AP96">
            <v>0.00608569919849698</v>
          </cell>
          <cell r="AQ96">
            <v>4</v>
          </cell>
          <cell r="AR96">
            <v>3.9</v>
          </cell>
          <cell r="AS96">
            <v>3.8</v>
          </cell>
          <cell r="AT96">
            <v>3.7</v>
          </cell>
          <cell r="AU96">
            <v>3.7</v>
          </cell>
          <cell r="AV96">
            <v>3.8</v>
          </cell>
          <cell r="AW96">
            <v>4.8</v>
          </cell>
          <cell r="AX96">
            <v>4.7</v>
          </cell>
          <cell r="AY96">
            <v>4.7</v>
          </cell>
          <cell r="AZ96">
            <v>4.7</v>
          </cell>
          <cell r="BA96">
            <v>4.7</v>
          </cell>
          <cell r="BB96">
            <v>4.8</v>
          </cell>
          <cell r="BC96">
            <v>4.8</v>
          </cell>
          <cell r="BD96">
            <v>4.8</v>
          </cell>
          <cell r="BE96">
            <v>4.8</v>
          </cell>
          <cell r="BF96">
            <v>4.7</v>
          </cell>
          <cell r="BG96">
            <v>4.8</v>
          </cell>
          <cell r="BH96">
            <v>4.9</v>
          </cell>
          <cell r="BI96">
            <v>5.1</v>
          </cell>
          <cell r="BJ96">
            <v>5.1</v>
          </cell>
          <cell r="BK96">
            <v>5.1</v>
          </cell>
          <cell r="BL96">
            <v>5</v>
          </cell>
          <cell r="BM96">
            <v>5.1</v>
          </cell>
          <cell r="BN96">
            <v>5.2</v>
          </cell>
          <cell r="BO96">
            <v>5.4</v>
          </cell>
          <cell r="BP96">
            <v>5.5</v>
          </cell>
          <cell r="BQ96">
            <v>5.5</v>
          </cell>
          <cell r="BR96">
            <v>5.4</v>
          </cell>
          <cell r="BS96">
            <v>5.5</v>
          </cell>
          <cell r="BT96">
            <v>5.6</v>
          </cell>
          <cell r="BU96">
            <v>6.3</v>
          </cell>
          <cell r="BV96">
            <v>6.3</v>
          </cell>
          <cell r="BW96">
            <v>6.4</v>
          </cell>
          <cell r="BX96">
            <v>6.4</v>
          </cell>
          <cell r="BY96">
            <v>6.5</v>
          </cell>
          <cell r="BZ96">
            <v>6.7</v>
          </cell>
          <cell r="CA96">
            <v>7.1</v>
          </cell>
          <cell r="CB96">
            <v>7.2</v>
          </cell>
          <cell r="CC96">
            <v>7.3</v>
          </cell>
          <cell r="CD96">
            <v>7.4</v>
          </cell>
          <cell r="CE96">
            <v>7.5</v>
          </cell>
          <cell r="CF96">
            <v>7.8</v>
          </cell>
          <cell r="CG96">
            <v>2.5</v>
          </cell>
          <cell r="CH96">
            <v>2.8</v>
          </cell>
          <cell r="CI96">
            <v>3</v>
          </cell>
          <cell r="CJ96">
            <v>3.2</v>
          </cell>
          <cell r="CK96">
            <v>3.4</v>
          </cell>
          <cell r="CL96">
            <v>3.7</v>
          </cell>
          <cell r="CM96">
            <v>2.83634609260203e-6</v>
          </cell>
          <cell r="CN96">
            <v>7.01761039849502e-9</v>
          </cell>
          <cell r="CO96">
            <v>-4.80830695589565e-12</v>
          </cell>
          <cell r="CP96">
            <v>8.30381478203211e-7</v>
          </cell>
          <cell r="CQ96">
            <v>1.08028888986271e-9</v>
          </cell>
          <cell r="CR96">
            <v>0.248510962091472</v>
          </cell>
          <cell r="CS96">
            <v>1</v>
          </cell>
          <cell r="CT96">
            <v>1</v>
          </cell>
          <cell r="CU96">
            <v>1</v>
          </cell>
          <cell r="CV96">
            <v>1</v>
          </cell>
          <cell r="CW96">
            <v>1</v>
          </cell>
          <cell r="CX96">
            <v>1</v>
          </cell>
          <cell r="CY96">
            <v>0</v>
          </cell>
          <cell r="CZ96">
            <v>0</v>
          </cell>
          <cell r="DA96">
            <v>547</v>
          </cell>
          <cell r="DB96">
            <v>588</v>
          </cell>
          <cell r="DC96">
            <v>482</v>
          </cell>
          <cell r="DD96">
            <v>533</v>
          </cell>
          <cell r="DE96">
            <v>78</v>
          </cell>
          <cell r="DF96">
            <v>0</v>
          </cell>
          <cell r="DG96">
            <v>104</v>
          </cell>
          <cell r="DH96">
            <v>0</v>
          </cell>
          <cell r="DI96">
            <v>93</v>
          </cell>
          <cell r="DJ96">
            <v>0</v>
          </cell>
          <cell r="DK96">
            <v>580</v>
          </cell>
          <cell r="DL96">
            <v>156</v>
          </cell>
          <cell r="DM96">
            <v>10989</v>
          </cell>
          <cell r="DN96">
            <v>4298</v>
          </cell>
          <cell r="DO96">
            <v>0.259</v>
          </cell>
          <cell r="DP96">
            <v>0</v>
          </cell>
          <cell r="DQ96" t="str">
            <v>400/325</v>
          </cell>
          <cell r="DR96">
            <v>0</v>
          </cell>
          <cell r="DS96">
            <v>0</v>
          </cell>
          <cell r="DT96">
            <v>3.23</v>
          </cell>
          <cell r="DU96">
            <v>0.956</v>
          </cell>
          <cell r="DV96">
            <v>0.976</v>
          </cell>
          <cell r="DW96">
            <v>0.994</v>
          </cell>
          <cell r="DX96">
            <v>0.998</v>
          </cell>
          <cell r="DY96">
            <v>0.998</v>
          </cell>
          <cell r="DZ96">
            <v>0.998</v>
          </cell>
          <cell r="EA96">
            <v>0.998</v>
          </cell>
          <cell r="EB96">
            <v>0.998</v>
          </cell>
          <cell r="EC96">
            <v>0.998</v>
          </cell>
          <cell r="ED96">
            <v>0.998</v>
          </cell>
          <cell r="EE96">
            <v>0.998</v>
          </cell>
          <cell r="EF96">
            <v>0.998</v>
          </cell>
          <cell r="EG96">
            <v>0.998</v>
          </cell>
          <cell r="EH96">
            <v>0.998</v>
          </cell>
          <cell r="EI96">
            <v>0.998</v>
          </cell>
          <cell r="EJ96">
            <v>0.998</v>
          </cell>
          <cell r="EK96">
            <v>0.998</v>
          </cell>
          <cell r="EL96">
            <v>0.998</v>
          </cell>
          <cell r="EM96">
            <v>0.995</v>
          </cell>
          <cell r="EN96">
            <v>0.992</v>
          </cell>
          <cell r="EO96">
            <v>0.989</v>
          </cell>
          <cell r="EP96">
            <v>0.986</v>
          </cell>
          <cell r="EQ96">
            <v>0.982</v>
          </cell>
          <cell r="ER96">
            <v>0.97</v>
          </cell>
          <cell r="ES96">
            <v>0.957</v>
          </cell>
          <cell r="ET96">
            <v>0.937</v>
          </cell>
          <cell r="EU96">
            <v>0.91</v>
          </cell>
          <cell r="EV96">
            <v>0.867</v>
          </cell>
          <cell r="EW96">
            <v>0.804</v>
          </cell>
          <cell r="EX96">
            <v>0.68</v>
          </cell>
          <cell r="EY96">
            <v>0.398</v>
          </cell>
          <cell r="EZ96">
            <v>0.051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0.914</v>
          </cell>
          <cell r="FF96">
            <v>0.953</v>
          </cell>
          <cell r="FG96">
            <v>0.989</v>
          </cell>
          <cell r="FH96">
            <v>0.996</v>
          </cell>
          <cell r="FI96">
            <v>0.996</v>
          </cell>
          <cell r="FJ96">
            <v>0.996</v>
          </cell>
          <cell r="FK96">
            <v>0.996</v>
          </cell>
          <cell r="FL96">
            <v>0.996</v>
          </cell>
          <cell r="FM96">
            <v>0.996</v>
          </cell>
          <cell r="FN96">
            <v>0.996</v>
          </cell>
          <cell r="FO96">
            <v>0.996</v>
          </cell>
          <cell r="FP96">
            <v>0.996</v>
          </cell>
          <cell r="FQ96">
            <v>0.996</v>
          </cell>
          <cell r="FR96">
            <v>0.996</v>
          </cell>
          <cell r="FS96">
            <v>0.996</v>
          </cell>
          <cell r="FT96">
            <v>0.996</v>
          </cell>
          <cell r="FU96">
            <v>0.996</v>
          </cell>
          <cell r="FV96">
            <v>0.996</v>
          </cell>
          <cell r="FW96">
            <v>0.992</v>
          </cell>
          <cell r="FX96">
            <v>0.988</v>
          </cell>
          <cell r="FY96">
            <v>0.982</v>
          </cell>
          <cell r="FZ96">
            <v>0.977</v>
          </cell>
          <cell r="GA96">
            <v>0.962</v>
          </cell>
          <cell r="GB96">
            <v>0.938</v>
          </cell>
          <cell r="GC96">
            <v>0.913</v>
          </cell>
          <cell r="GD96">
            <v>0.877</v>
          </cell>
          <cell r="GE96">
            <v>0.826</v>
          </cell>
          <cell r="GF96">
            <v>0.752</v>
          </cell>
          <cell r="GG96">
            <v>0.648</v>
          </cell>
          <cell r="GH96">
            <v>0.464</v>
          </cell>
          <cell r="GI96">
            <v>0.161</v>
          </cell>
          <cell r="GJ96">
            <v>0.011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</row>
        <row r="97">
          <cell r="B97" t="str">
            <v>H-LaF62</v>
          </cell>
          <cell r="C97">
            <v>720437</v>
          </cell>
          <cell r="D97">
            <v>43.68</v>
          </cell>
          <cell r="E97">
            <v>43.39</v>
          </cell>
          <cell r="F97">
            <v>0.016483</v>
          </cell>
          <cell r="G97">
            <v>0.016682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1.71238</v>
          </cell>
          <cell r="P97">
            <v>1.71511</v>
          </cell>
          <cell r="Q97">
            <v>1.71588</v>
          </cell>
          <cell r="R97">
            <v>1.7166</v>
          </cell>
          <cell r="S97">
            <v>1.71985</v>
          </cell>
          <cell r="T97">
            <v>1.72</v>
          </cell>
          <cell r="U97">
            <v>1.72391</v>
          </cell>
          <cell r="V97">
            <v>1.73159</v>
          </cell>
          <cell r="W97">
            <v>1.73256</v>
          </cell>
          <cell r="X97">
            <v>1.74098</v>
          </cell>
          <cell r="Y97">
            <v>1.74901</v>
          </cell>
          <cell r="Z97">
            <v>1.76329</v>
          </cell>
          <cell r="AA97">
            <v>2.8936526</v>
          </cell>
          <cell r="AB97">
            <v>-0.0157700224</v>
          </cell>
          <cell r="AC97">
            <v>0.0203899797</v>
          </cell>
          <cell r="AD97">
            <v>0.00161302385</v>
          </cell>
          <cell r="AE97">
            <v>-0.000122577277</v>
          </cell>
          <cell r="AF97">
            <v>8.05570687e-6</v>
          </cell>
          <cell r="AG97">
            <v>0.296723300970877</v>
          </cell>
          <cell r="AH97">
            <v>0.237257281553402</v>
          </cell>
          <cell r="AI97">
            <v>0.569781553398057</v>
          </cell>
          <cell r="AJ97">
            <v>0.247002398081528</v>
          </cell>
          <cell r="AK97">
            <v>0.234412470023985</v>
          </cell>
          <cell r="AL97">
            <v>0.504796163069536</v>
          </cell>
          <cell r="AM97">
            <v>-6.92225242787947e-5</v>
          </cell>
          <cell r="AN97">
            <v>-0.00126596660194281</v>
          </cell>
          <cell r="AO97">
            <v>0</v>
          </cell>
          <cell r="AP97">
            <v>0</v>
          </cell>
          <cell r="AQ97">
            <v>2.5</v>
          </cell>
          <cell r="AR97">
            <v>2.4</v>
          </cell>
          <cell r="AS97">
            <v>2.4</v>
          </cell>
          <cell r="AT97">
            <v>2.4</v>
          </cell>
          <cell r="AU97">
            <v>2.4</v>
          </cell>
          <cell r="AV97">
            <v>2.6</v>
          </cell>
          <cell r="AW97">
            <v>3.1</v>
          </cell>
          <cell r="AX97">
            <v>3.1</v>
          </cell>
          <cell r="AY97">
            <v>3.1</v>
          </cell>
          <cell r="AZ97">
            <v>3</v>
          </cell>
          <cell r="BA97">
            <v>3.1</v>
          </cell>
          <cell r="BB97">
            <v>3.3</v>
          </cell>
          <cell r="BC97">
            <v>3.1</v>
          </cell>
          <cell r="BD97">
            <v>3.1</v>
          </cell>
          <cell r="BE97">
            <v>3.1</v>
          </cell>
          <cell r="BF97">
            <v>3.1</v>
          </cell>
          <cell r="BG97">
            <v>3.2</v>
          </cell>
          <cell r="BH97">
            <v>3.4</v>
          </cell>
          <cell r="BI97">
            <v>3.3</v>
          </cell>
          <cell r="BJ97">
            <v>3.3</v>
          </cell>
          <cell r="BK97">
            <v>3.3</v>
          </cell>
          <cell r="BL97">
            <v>3.3</v>
          </cell>
          <cell r="BM97">
            <v>3.4</v>
          </cell>
          <cell r="BN97">
            <v>3.6</v>
          </cell>
          <cell r="BO97">
            <v>3.6</v>
          </cell>
          <cell r="BP97">
            <v>3.6</v>
          </cell>
          <cell r="BQ97">
            <v>3.6</v>
          </cell>
          <cell r="BR97">
            <v>3.6</v>
          </cell>
          <cell r="BS97">
            <v>3.7</v>
          </cell>
          <cell r="BT97">
            <v>3.9</v>
          </cell>
          <cell r="BU97">
            <v>4.1</v>
          </cell>
          <cell r="BV97">
            <v>4.2</v>
          </cell>
          <cell r="BW97">
            <v>4.2</v>
          </cell>
          <cell r="BX97">
            <v>4.3</v>
          </cell>
          <cell r="BY97">
            <v>4.4</v>
          </cell>
          <cell r="BZ97">
            <v>4.6</v>
          </cell>
          <cell r="CA97">
            <v>4.8</v>
          </cell>
          <cell r="CB97">
            <v>4.9</v>
          </cell>
          <cell r="CC97">
            <v>4.9</v>
          </cell>
          <cell r="CD97">
            <v>5</v>
          </cell>
          <cell r="CE97">
            <v>5.1</v>
          </cell>
          <cell r="CF97">
            <v>5.4</v>
          </cell>
          <cell r="CG97">
            <v>0.8</v>
          </cell>
          <cell r="CH97">
            <v>1.1</v>
          </cell>
          <cell r="CI97">
            <v>1.4</v>
          </cell>
          <cell r="CJ97">
            <v>1.6</v>
          </cell>
          <cell r="CK97">
            <v>1.9</v>
          </cell>
          <cell r="CL97">
            <v>2.2</v>
          </cell>
          <cell r="CM97">
            <v>8.3e-7</v>
          </cell>
          <cell r="CN97">
            <v>9.72e-9</v>
          </cell>
          <cell r="CO97">
            <v>5.98e-12</v>
          </cell>
          <cell r="CP97">
            <v>5.94e-7</v>
          </cell>
          <cell r="CQ97">
            <v>7.189e-10</v>
          </cell>
          <cell r="CR97">
            <v>0.254</v>
          </cell>
          <cell r="CS97">
            <v>1</v>
          </cell>
          <cell r="CT97">
            <v>3</v>
          </cell>
          <cell r="CU97">
            <v>1</v>
          </cell>
          <cell r="CV97">
            <v>3</v>
          </cell>
          <cell r="CW97">
            <v>1</v>
          </cell>
          <cell r="CX97">
            <v>2</v>
          </cell>
          <cell r="CY97">
            <v>0</v>
          </cell>
          <cell r="CZ97">
            <v>0</v>
          </cell>
          <cell r="DA97">
            <v>587</v>
          </cell>
          <cell r="DB97">
            <v>642</v>
          </cell>
          <cell r="DC97">
            <v>530</v>
          </cell>
          <cell r="DD97">
            <v>581</v>
          </cell>
          <cell r="DE97">
            <v>71</v>
          </cell>
          <cell r="DF97">
            <v>0</v>
          </cell>
          <cell r="DG97">
            <v>88</v>
          </cell>
          <cell r="DH97">
            <v>0</v>
          </cell>
          <cell r="DI97">
            <v>150</v>
          </cell>
          <cell r="DJ97">
            <v>0</v>
          </cell>
          <cell r="DK97">
            <v>564</v>
          </cell>
          <cell r="DL97">
            <v>149</v>
          </cell>
          <cell r="DM97">
            <v>10012</v>
          </cell>
          <cell r="DN97">
            <v>3869</v>
          </cell>
          <cell r="DO97">
            <v>0.294</v>
          </cell>
          <cell r="DP97">
            <v>0</v>
          </cell>
          <cell r="DQ97" t="str">
            <v>380/340</v>
          </cell>
          <cell r="DR97">
            <v>0</v>
          </cell>
          <cell r="DS97">
            <v>0</v>
          </cell>
          <cell r="DT97">
            <v>3.71</v>
          </cell>
          <cell r="DU97">
            <v>0.872</v>
          </cell>
          <cell r="DV97">
            <v>0.954</v>
          </cell>
          <cell r="DW97">
            <v>0.991</v>
          </cell>
          <cell r="DX97">
            <v>0.999</v>
          </cell>
          <cell r="DY97">
            <v>0.999</v>
          </cell>
          <cell r="DZ97">
            <v>0.999</v>
          </cell>
          <cell r="EA97">
            <v>0.999</v>
          </cell>
          <cell r="EB97">
            <v>0.999</v>
          </cell>
          <cell r="EC97">
            <v>0.999</v>
          </cell>
          <cell r="ED97">
            <v>0.999</v>
          </cell>
          <cell r="EE97">
            <v>0.999</v>
          </cell>
          <cell r="EF97">
            <v>0.999</v>
          </cell>
          <cell r="EG97">
            <v>0.999</v>
          </cell>
          <cell r="EH97">
            <v>0.999</v>
          </cell>
          <cell r="EI97">
            <v>0.999</v>
          </cell>
          <cell r="EJ97">
            <v>0.999</v>
          </cell>
          <cell r="EK97">
            <v>0.999</v>
          </cell>
          <cell r="EL97">
            <v>0.999</v>
          </cell>
          <cell r="EM97">
            <v>0.998</v>
          </cell>
          <cell r="EN97">
            <v>0.996</v>
          </cell>
          <cell r="EO97">
            <v>0.994</v>
          </cell>
          <cell r="EP97">
            <v>0.992</v>
          </cell>
          <cell r="EQ97">
            <v>0.984</v>
          </cell>
          <cell r="ER97">
            <v>0.976</v>
          </cell>
          <cell r="ES97">
            <v>0.966</v>
          </cell>
          <cell r="ET97">
            <v>0.946</v>
          </cell>
          <cell r="EU97">
            <v>0.901</v>
          </cell>
          <cell r="EV97">
            <v>0.788</v>
          </cell>
          <cell r="EW97">
            <v>0.517</v>
          </cell>
          <cell r="EX97">
            <v>0.127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0.76</v>
          </cell>
          <cell r="FF97">
            <v>0.91</v>
          </cell>
          <cell r="FG97">
            <v>0.982</v>
          </cell>
          <cell r="FH97">
            <v>0.998</v>
          </cell>
          <cell r="FI97">
            <v>0.998</v>
          </cell>
          <cell r="FJ97">
            <v>0.998</v>
          </cell>
          <cell r="FK97">
            <v>0.998</v>
          </cell>
          <cell r="FL97">
            <v>0.998</v>
          </cell>
          <cell r="FM97">
            <v>0.998</v>
          </cell>
          <cell r="FN97">
            <v>0.998</v>
          </cell>
          <cell r="FO97">
            <v>0.998</v>
          </cell>
          <cell r="FP97">
            <v>0.998</v>
          </cell>
          <cell r="FQ97">
            <v>0.998</v>
          </cell>
          <cell r="FR97">
            <v>0.998</v>
          </cell>
          <cell r="FS97">
            <v>0.998</v>
          </cell>
          <cell r="FT97">
            <v>0.998</v>
          </cell>
          <cell r="FU97">
            <v>0.998</v>
          </cell>
          <cell r="FV97">
            <v>0.998</v>
          </cell>
          <cell r="FW97">
            <v>0.996</v>
          </cell>
          <cell r="FX97">
            <v>0.993</v>
          </cell>
          <cell r="FY97">
            <v>0.99</v>
          </cell>
          <cell r="FZ97">
            <v>0.985</v>
          </cell>
          <cell r="GA97">
            <v>0.975</v>
          </cell>
          <cell r="GB97">
            <v>0.958</v>
          </cell>
          <cell r="GC97">
            <v>0.94</v>
          </cell>
          <cell r="GD97">
            <v>0.901</v>
          </cell>
          <cell r="GE97">
            <v>0.819</v>
          </cell>
          <cell r="GF97">
            <v>0.625</v>
          </cell>
          <cell r="GG97">
            <v>0.272</v>
          </cell>
          <cell r="GH97">
            <v>0.02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</row>
        <row r="98">
          <cell r="B98" t="str">
            <v>H-LaF72</v>
          </cell>
          <cell r="C98">
            <v>720460</v>
          </cell>
          <cell r="D98">
            <v>46.02</v>
          </cell>
          <cell r="E98">
            <v>45.77</v>
          </cell>
          <cell r="F98">
            <v>0.015645</v>
          </cell>
          <cell r="G98">
            <v>0.015811</v>
          </cell>
          <cell r="H98">
            <v>1.68194</v>
          </cell>
          <cell r="I98">
            <v>1.68799</v>
          </cell>
          <cell r="J98">
            <v>1.69476</v>
          </cell>
          <cell r="K98">
            <v>1.70112</v>
          </cell>
          <cell r="L98">
            <v>1.70332</v>
          </cell>
          <cell r="M98">
            <v>1.7073</v>
          </cell>
          <cell r="N98">
            <v>1.71011</v>
          </cell>
          <cell r="O98">
            <v>1.7127</v>
          </cell>
          <cell r="P98">
            <v>1.71533</v>
          </cell>
          <cell r="Q98">
            <v>1.71607</v>
          </cell>
          <cell r="R98">
            <v>1.71676</v>
          </cell>
          <cell r="S98">
            <v>1.71986</v>
          </cell>
          <cell r="T98">
            <v>1.72</v>
          </cell>
          <cell r="U98">
            <v>1.72372</v>
          </cell>
          <cell r="V98">
            <v>1.73097</v>
          </cell>
          <cell r="W98">
            <v>1.73188</v>
          </cell>
          <cell r="X98">
            <v>1.73982</v>
          </cell>
          <cell r="Y98">
            <v>1.74733</v>
          </cell>
          <cell r="Z98">
            <v>1.76051</v>
          </cell>
          <cell r="AA98">
            <v>2.89076193</v>
          </cell>
          <cell r="AB98">
            <v>-0.012236403</v>
          </cell>
          <cell r="AC98">
            <v>0.0233487704</v>
          </cell>
          <cell r="AD98">
            <v>0.000432859274</v>
          </cell>
          <cell r="AE98">
            <v>2.36515223e-5</v>
          </cell>
          <cell r="AF98">
            <v>1.9937555e-7</v>
          </cell>
          <cell r="AG98">
            <v>0.298593350383631</v>
          </cell>
          <cell r="AH98">
            <v>0.23785166240409</v>
          </cell>
          <cell r="AI98">
            <v>0.565856777493612</v>
          </cell>
          <cell r="AJ98">
            <v>0.248576850094874</v>
          </cell>
          <cell r="AK98">
            <v>0.235294117647054</v>
          </cell>
          <cell r="AL98">
            <v>0.502213788741289</v>
          </cell>
          <cell r="AM98">
            <v>-0.00124197278772152</v>
          </cell>
          <cell r="AN98">
            <v>-0.00130400250638776</v>
          </cell>
          <cell r="AO98">
            <v>0.00478989329924367</v>
          </cell>
          <cell r="AP98">
            <v>0.00257910997442744</v>
          </cell>
          <cell r="AQ98">
            <v>2.7</v>
          </cell>
          <cell r="AR98">
            <v>2.7</v>
          </cell>
          <cell r="AS98">
            <v>2.7</v>
          </cell>
          <cell r="AT98">
            <v>2.7</v>
          </cell>
          <cell r="AU98">
            <v>2.7</v>
          </cell>
          <cell r="AV98">
            <v>2.8</v>
          </cell>
          <cell r="AW98">
            <v>3.3</v>
          </cell>
          <cell r="AX98">
            <v>3.3</v>
          </cell>
          <cell r="AY98">
            <v>3.3</v>
          </cell>
          <cell r="AZ98">
            <v>3.3</v>
          </cell>
          <cell r="BA98">
            <v>3.4</v>
          </cell>
          <cell r="BB98">
            <v>3.5</v>
          </cell>
          <cell r="BC98">
            <v>3.3</v>
          </cell>
          <cell r="BD98">
            <v>3.4</v>
          </cell>
          <cell r="BE98">
            <v>3.4</v>
          </cell>
          <cell r="BF98">
            <v>3.4</v>
          </cell>
          <cell r="BG98">
            <v>3.4</v>
          </cell>
          <cell r="BH98">
            <v>3.6</v>
          </cell>
          <cell r="BI98">
            <v>3.5</v>
          </cell>
          <cell r="BJ98">
            <v>3.6</v>
          </cell>
          <cell r="BK98">
            <v>3.6</v>
          </cell>
          <cell r="BL98">
            <v>3.6</v>
          </cell>
          <cell r="BM98">
            <v>3.6</v>
          </cell>
          <cell r="BN98">
            <v>3.8</v>
          </cell>
          <cell r="BO98">
            <v>3.7</v>
          </cell>
          <cell r="BP98">
            <v>3.8</v>
          </cell>
          <cell r="BQ98">
            <v>3.9</v>
          </cell>
          <cell r="BR98">
            <v>3.8</v>
          </cell>
          <cell r="BS98">
            <v>3.9</v>
          </cell>
          <cell r="BT98">
            <v>4.1</v>
          </cell>
          <cell r="BU98">
            <v>4.2</v>
          </cell>
          <cell r="BV98">
            <v>4.4</v>
          </cell>
          <cell r="BW98">
            <v>4.5</v>
          </cell>
          <cell r="BX98">
            <v>4.4</v>
          </cell>
          <cell r="BY98">
            <v>4.5</v>
          </cell>
          <cell r="BZ98">
            <v>4.7</v>
          </cell>
          <cell r="CA98">
            <v>4.8</v>
          </cell>
          <cell r="CB98">
            <v>4.9</v>
          </cell>
          <cell r="CC98">
            <v>5</v>
          </cell>
          <cell r="CD98">
            <v>5.1</v>
          </cell>
          <cell r="CE98">
            <v>5.2</v>
          </cell>
          <cell r="CF98">
            <v>5.4</v>
          </cell>
          <cell r="CG98">
            <v>1</v>
          </cell>
          <cell r="CH98">
            <v>1.4</v>
          </cell>
          <cell r="CI98">
            <v>1.7</v>
          </cell>
          <cell r="CJ98">
            <v>1.9</v>
          </cell>
          <cell r="CK98">
            <v>2.1</v>
          </cell>
          <cell r="CL98">
            <v>2.4</v>
          </cell>
          <cell r="CM98">
            <v>1e-6</v>
          </cell>
          <cell r="CN98">
            <v>8.94e-9</v>
          </cell>
          <cell r="CO98">
            <v>-6.08e-12</v>
          </cell>
          <cell r="CP98">
            <v>7.54e-7</v>
          </cell>
          <cell r="CQ98">
            <v>1.0564e-9</v>
          </cell>
          <cell r="CR98">
            <v>0.172</v>
          </cell>
          <cell r="CS98">
            <v>1</v>
          </cell>
          <cell r="CT98">
            <v>1</v>
          </cell>
          <cell r="CU98">
            <v>1</v>
          </cell>
          <cell r="CV98">
            <v>3</v>
          </cell>
          <cell r="CW98">
            <v>1</v>
          </cell>
          <cell r="CX98">
            <v>2</v>
          </cell>
          <cell r="CY98">
            <v>0</v>
          </cell>
          <cell r="CZ98">
            <v>0</v>
          </cell>
          <cell r="DA98">
            <v>639</v>
          </cell>
          <cell r="DB98">
            <v>688</v>
          </cell>
          <cell r="DC98">
            <v>584</v>
          </cell>
          <cell r="DD98">
            <v>628</v>
          </cell>
          <cell r="DE98">
            <v>67</v>
          </cell>
          <cell r="DF98">
            <v>0</v>
          </cell>
          <cell r="DG98">
            <v>82</v>
          </cell>
          <cell r="DH98">
            <v>0</v>
          </cell>
          <cell r="DI98">
            <v>140</v>
          </cell>
          <cell r="DJ98">
            <v>0</v>
          </cell>
          <cell r="DK98">
            <v>585</v>
          </cell>
          <cell r="DL98">
            <v>128</v>
          </cell>
          <cell r="DM98">
            <v>9365</v>
          </cell>
          <cell r="DN98">
            <v>3627</v>
          </cell>
          <cell r="DO98">
            <v>0.291</v>
          </cell>
          <cell r="DP98">
            <v>0</v>
          </cell>
          <cell r="DQ98" t="str">
            <v>380/340</v>
          </cell>
          <cell r="DR98">
            <v>0</v>
          </cell>
          <cell r="DS98">
            <v>0</v>
          </cell>
          <cell r="DT98">
            <v>3.88</v>
          </cell>
          <cell r="DU98">
            <v>0.902</v>
          </cell>
          <cell r="DV98">
            <v>0.982</v>
          </cell>
          <cell r="DW98">
            <v>0.993</v>
          </cell>
          <cell r="DX98">
            <v>0.998</v>
          </cell>
          <cell r="DY98">
            <v>0.998</v>
          </cell>
          <cell r="DZ98">
            <v>0.998</v>
          </cell>
          <cell r="EA98">
            <v>0.998</v>
          </cell>
          <cell r="EB98">
            <v>0.998</v>
          </cell>
          <cell r="EC98">
            <v>0.998</v>
          </cell>
          <cell r="ED98">
            <v>0.998</v>
          </cell>
          <cell r="EE98">
            <v>0.998</v>
          </cell>
          <cell r="EF98">
            <v>0.998</v>
          </cell>
          <cell r="EG98">
            <v>0.998</v>
          </cell>
          <cell r="EH98">
            <v>0.998</v>
          </cell>
          <cell r="EI98">
            <v>0.998</v>
          </cell>
          <cell r="EJ98">
            <v>0.998</v>
          </cell>
          <cell r="EK98">
            <v>0.998</v>
          </cell>
          <cell r="EL98">
            <v>0.998</v>
          </cell>
          <cell r="EM98">
            <v>0.998</v>
          </cell>
          <cell r="EN98">
            <v>0.997</v>
          </cell>
          <cell r="EO98">
            <v>0.995</v>
          </cell>
          <cell r="EP98">
            <v>0.993</v>
          </cell>
          <cell r="EQ98">
            <v>0.988</v>
          </cell>
          <cell r="ER98">
            <v>0.978</v>
          </cell>
          <cell r="ES98">
            <v>0.967</v>
          </cell>
          <cell r="ET98">
            <v>0.948</v>
          </cell>
          <cell r="EU98">
            <v>0.908</v>
          </cell>
          <cell r="EV98">
            <v>0.826</v>
          </cell>
          <cell r="EW98">
            <v>0.638</v>
          </cell>
          <cell r="EX98">
            <v>0.303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0.806</v>
          </cell>
          <cell r="FF98">
            <v>0.949</v>
          </cell>
          <cell r="FG98">
            <v>0.986</v>
          </cell>
          <cell r="FH98">
            <v>0.996</v>
          </cell>
          <cell r="FI98">
            <v>0.996</v>
          </cell>
          <cell r="FJ98">
            <v>0.996</v>
          </cell>
          <cell r="FK98">
            <v>0.996</v>
          </cell>
          <cell r="FL98">
            <v>0.996</v>
          </cell>
          <cell r="FM98">
            <v>0.996</v>
          </cell>
          <cell r="FN98">
            <v>0.996</v>
          </cell>
          <cell r="FO98">
            <v>0.996</v>
          </cell>
          <cell r="FP98">
            <v>0.996</v>
          </cell>
          <cell r="FQ98">
            <v>0.996</v>
          </cell>
          <cell r="FR98">
            <v>0.996</v>
          </cell>
          <cell r="FS98">
            <v>0.996</v>
          </cell>
          <cell r="FT98">
            <v>0.996</v>
          </cell>
          <cell r="FU98">
            <v>0.996</v>
          </cell>
          <cell r="FV98">
            <v>0.996</v>
          </cell>
          <cell r="FW98">
            <v>0.996</v>
          </cell>
          <cell r="FX98">
            <v>0.994</v>
          </cell>
          <cell r="FY98">
            <v>0.992</v>
          </cell>
          <cell r="FZ98">
            <v>0.987</v>
          </cell>
          <cell r="GA98">
            <v>0.982</v>
          </cell>
          <cell r="GB98">
            <v>0.964</v>
          </cell>
          <cell r="GC98">
            <v>0.946</v>
          </cell>
          <cell r="GD98">
            <v>0.91</v>
          </cell>
          <cell r="GE98">
            <v>0.839</v>
          </cell>
          <cell r="GF98">
            <v>0.698</v>
          </cell>
          <cell r="GG98">
            <v>0.423</v>
          </cell>
          <cell r="GH98">
            <v>0.098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</row>
        <row r="99">
          <cell r="B99" t="str">
            <v>H-LaF76</v>
          </cell>
          <cell r="C99">
            <v>762401</v>
          </cell>
          <cell r="D99">
            <v>40.09</v>
          </cell>
          <cell r="E99">
            <v>39.86</v>
          </cell>
          <cell r="F99">
            <v>0.01901</v>
          </cell>
          <cell r="G99">
            <v>0.019232</v>
          </cell>
          <cell r="H99">
            <v>1.7175</v>
          </cell>
          <cell r="I99">
            <v>1.72452</v>
          </cell>
          <cell r="J99">
            <v>1.73233</v>
          </cell>
          <cell r="K99">
            <v>1.73966</v>
          </cell>
          <cell r="L99">
            <v>1.74222</v>
          </cell>
          <cell r="M99">
            <v>1.74684</v>
          </cell>
          <cell r="N99">
            <v>1.75015</v>
          </cell>
          <cell r="O99">
            <v>1.75324</v>
          </cell>
          <cell r="P99">
            <v>1.75638</v>
          </cell>
          <cell r="Q99">
            <v>1.75727</v>
          </cell>
          <cell r="R99">
            <v>1.7581</v>
          </cell>
          <cell r="S99">
            <v>1.76183</v>
          </cell>
          <cell r="T99">
            <v>1.762</v>
          </cell>
          <cell r="U99">
            <v>1.76651</v>
          </cell>
          <cell r="V99">
            <v>1.77539</v>
          </cell>
          <cell r="W99">
            <v>1.77651</v>
          </cell>
          <cell r="X99">
            <v>1.7863</v>
          </cell>
          <cell r="Y99">
            <v>1.79568</v>
          </cell>
          <cell r="Z99">
            <v>1.81262</v>
          </cell>
          <cell r="AA99">
            <v>3.02361073</v>
          </cell>
          <cell r="AB99">
            <v>-0.0145464427</v>
          </cell>
          <cell r="AC99">
            <v>0.0260235852</v>
          </cell>
          <cell r="AD99">
            <v>0.00153298075</v>
          </cell>
          <cell r="AE99">
            <v>-0.000119139674</v>
          </cell>
          <cell r="AF99">
            <v>1.02746803e-5</v>
          </cell>
          <cell r="AG99">
            <v>0.295633876906889</v>
          </cell>
          <cell r="AH99">
            <v>0.237243556023147</v>
          </cell>
          <cell r="AI99">
            <v>0.573908469226722</v>
          </cell>
          <cell r="AJ99">
            <v>0.245841995841992</v>
          </cell>
          <cell r="AK99">
            <v>0.234407484407486</v>
          </cell>
          <cell r="AL99">
            <v>0.508835758835759</v>
          </cell>
          <cell r="AM99">
            <v>-0.000947752930036221</v>
          </cell>
          <cell r="AN99">
            <v>-0.00310204077327761</v>
          </cell>
          <cell r="AO99">
            <v>0.0104949804629128</v>
          </cell>
          <cell r="AP99">
            <v>0.00522513624408835</v>
          </cell>
          <cell r="AQ99">
            <v>2.5</v>
          </cell>
          <cell r="AR99">
            <v>2.4</v>
          </cell>
          <cell r="AS99">
            <v>2.4</v>
          </cell>
          <cell r="AT99">
            <v>2.4</v>
          </cell>
          <cell r="AU99">
            <v>2.5</v>
          </cell>
          <cell r="AV99">
            <v>2.6</v>
          </cell>
          <cell r="AW99">
            <v>3.1</v>
          </cell>
          <cell r="AX99">
            <v>3.1</v>
          </cell>
          <cell r="AY99">
            <v>3.2</v>
          </cell>
          <cell r="AZ99">
            <v>3.2</v>
          </cell>
          <cell r="BA99">
            <v>3.3</v>
          </cell>
          <cell r="BB99">
            <v>3.5</v>
          </cell>
          <cell r="BC99">
            <v>3.1</v>
          </cell>
          <cell r="BD99">
            <v>3.2</v>
          </cell>
          <cell r="BE99">
            <v>3.2</v>
          </cell>
          <cell r="BF99">
            <v>3.3</v>
          </cell>
          <cell r="BG99">
            <v>3.4</v>
          </cell>
          <cell r="BH99">
            <v>3.5</v>
          </cell>
          <cell r="BI99">
            <v>3.3</v>
          </cell>
          <cell r="BJ99">
            <v>3.4</v>
          </cell>
          <cell r="BK99">
            <v>3.4</v>
          </cell>
          <cell r="BL99">
            <v>3.5</v>
          </cell>
          <cell r="BM99">
            <v>3.6</v>
          </cell>
          <cell r="BN99">
            <v>3.8</v>
          </cell>
          <cell r="BO99">
            <v>3.6</v>
          </cell>
          <cell r="BP99">
            <v>3.7</v>
          </cell>
          <cell r="BQ99">
            <v>3.7</v>
          </cell>
          <cell r="BR99">
            <v>3.8</v>
          </cell>
          <cell r="BS99">
            <v>4</v>
          </cell>
          <cell r="BT99">
            <v>4.1</v>
          </cell>
          <cell r="BU99">
            <v>4.2</v>
          </cell>
          <cell r="BV99">
            <v>4.3</v>
          </cell>
          <cell r="BW99">
            <v>4.5</v>
          </cell>
          <cell r="BX99">
            <v>4.6</v>
          </cell>
          <cell r="BY99">
            <v>4.7</v>
          </cell>
          <cell r="BZ99">
            <v>4.9</v>
          </cell>
          <cell r="CA99">
            <v>4.9</v>
          </cell>
          <cell r="CB99">
            <v>5.1</v>
          </cell>
          <cell r="CC99">
            <v>5.2</v>
          </cell>
          <cell r="CD99">
            <v>5.4</v>
          </cell>
          <cell r="CE99">
            <v>5.6</v>
          </cell>
          <cell r="CF99">
            <v>5.8</v>
          </cell>
          <cell r="CG99">
            <v>0.7</v>
          </cell>
          <cell r="CH99">
            <v>1.1</v>
          </cell>
          <cell r="CI99">
            <v>1.5</v>
          </cell>
          <cell r="CJ99">
            <v>1.7</v>
          </cell>
          <cell r="CK99">
            <v>2</v>
          </cell>
          <cell r="CL99">
            <v>2.4</v>
          </cell>
          <cell r="CM99">
            <v>7.9e-7</v>
          </cell>
          <cell r="CN99">
            <v>1.149e-8</v>
          </cell>
          <cell r="CO99">
            <v>-1.388e-11</v>
          </cell>
          <cell r="CP99">
            <v>6.4e-7</v>
          </cell>
          <cell r="CQ99">
            <v>6.992e-10</v>
          </cell>
          <cell r="CR99">
            <v>0.254</v>
          </cell>
          <cell r="CS99">
            <v>1</v>
          </cell>
          <cell r="CT99">
            <v>3</v>
          </cell>
          <cell r="CU99">
            <v>1</v>
          </cell>
          <cell r="CV99">
            <v>4</v>
          </cell>
          <cell r="CW99">
            <v>1</v>
          </cell>
          <cell r="CX99">
            <v>1</v>
          </cell>
          <cell r="CY99">
            <v>0</v>
          </cell>
          <cell r="CZ99">
            <v>0</v>
          </cell>
          <cell r="DA99">
            <v>640</v>
          </cell>
          <cell r="DB99">
            <v>680</v>
          </cell>
          <cell r="DC99">
            <v>589</v>
          </cell>
          <cell r="DD99">
            <v>625</v>
          </cell>
          <cell r="DE99">
            <v>62</v>
          </cell>
          <cell r="DF99">
            <v>0</v>
          </cell>
          <cell r="DG99">
            <v>74</v>
          </cell>
          <cell r="DH99">
            <v>0</v>
          </cell>
          <cell r="DI99">
            <v>160</v>
          </cell>
          <cell r="DJ99">
            <v>0</v>
          </cell>
          <cell r="DK99">
            <v>563</v>
          </cell>
          <cell r="DL99">
            <v>118</v>
          </cell>
          <cell r="DM99">
            <v>10150</v>
          </cell>
          <cell r="DN99">
            <v>3909</v>
          </cell>
          <cell r="DO99">
            <v>0.293</v>
          </cell>
          <cell r="DP99">
            <v>0</v>
          </cell>
          <cell r="DQ99" t="str">
            <v>400/350</v>
          </cell>
          <cell r="DR99">
            <v>0</v>
          </cell>
          <cell r="DS99">
            <v>0</v>
          </cell>
          <cell r="DT99">
            <v>3.97</v>
          </cell>
          <cell r="DU99">
            <v>0.872</v>
          </cell>
          <cell r="DV99">
            <v>0.976</v>
          </cell>
          <cell r="DW99">
            <v>0.99</v>
          </cell>
          <cell r="DX99">
            <v>0.998</v>
          </cell>
          <cell r="DY99">
            <v>0.998</v>
          </cell>
          <cell r="DZ99">
            <v>0.998</v>
          </cell>
          <cell r="EA99">
            <v>0.998</v>
          </cell>
          <cell r="EB99">
            <v>0.998</v>
          </cell>
          <cell r="EC99">
            <v>0.998</v>
          </cell>
          <cell r="ED99">
            <v>0.998</v>
          </cell>
          <cell r="EE99">
            <v>0.998</v>
          </cell>
          <cell r="EF99">
            <v>0.998</v>
          </cell>
          <cell r="EG99">
            <v>0.998</v>
          </cell>
          <cell r="EH99">
            <v>0.998</v>
          </cell>
          <cell r="EI99">
            <v>0.998</v>
          </cell>
          <cell r="EJ99">
            <v>0.998</v>
          </cell>
          <cell r="EK99">
            <v>0.998</v>
          </cell>
          <cell r="EL99">
            <v>0.998</v>
          </cell>
          <cell r="EM99">
            <v>0.996</v>
          </cell>
          <cell r="EN99">
            <v>0.994</v>
          </cell>
          <cell r="EO99">
            <v>0.992</v>
          </cell>
          <cell r="EP99">
            <v>0.99</v>
          </cell>
          <cell r="EQ99">
            <v>0.984</v>
          </cell>
          <cell r="ER99">
            <v>0.972</v>
          </cell>
          <cell r="ES99">
            <v>0.959</v>
          </cell>
          <cell r="ET99">
            <v>0.932</v>
          </cell>
          <cell r="EU99">
            <v>0.871</v>
          </cell>
          <cell r="EV99">
            <v>0.713</v>
          </cell>
          <cell r="EW99">
            <v>0.368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0.76</v>
          </cell>
          <cell r="FF99">
            <v>0.953</v>
          </cell>
          <cell r="FG99">
            <v>0.98</v>
          </cell>
          <cell r="FH99">
            <v>0.996</v>
          </cell>
          <cell r="FI99">
            <v>0.996</v>
          </cell>
          <cell r="FJ99">
            <v>0.996</v>
          </cell>
          <cell r="FK99">
            <v>0.996</v>
          </cell>
          <cell r="FL99">
            <v>0.996</v>
          </cell>
          <cell r="FM99">
            <v>0.996</v>
          </cell>
          <cell r="FN99">
            <v>0.996</v>
          </cell>
          <cell r="FO99">
            <v>0.996</v>
          </cell>
          <cell r="FP99">
            <v>0.996</v>
          </cell>
          <cell r="FQ99">
            <v>0.996</v>
          </cell>
          <cell r="FR99">
            <v>0.996</v>
          </cell>
          <cell r="FS99">
            <v>0.996</v>
          </cell>
          <cell r="FT99">
            <v>0.996</v>
          </cell>
          <cell r="FU99">
            <v>0.996</v>
          </cell>
          <cell r="FV99">
            <v>0.996</v>
          </cell>
          <cell r="FW99">
            <v>0.992</v>
          </cell>
          <cell r="FX99">
            <v>0.988</v>
          </cell>
          <cell r="FY99">
            <v>0.984</v>
          </cell>
          <cell r="FZ99">
            <v>0.98</v>
          </cell>
          <cell r="GA99">
            <v>0.97</v>
          </cell>
          <cell r="GB99">
            <v>0.942</v>
          </cell>
          <cell r="GC99">
            <v>0.916</v>
          </cell>
          <cell r="GD99">
            <v>0.86</v>
          </cell>
          <cell r="GE99">
            <v>0.745</v>
          </cell>
          <cell r="GF99">
            <v>0.487</v>
          </cell>
          <cell r="GG99">
            <v>0.124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</row>
        <row r="100">
          <cell r="B100" t="str">
            <v>H-ZLaF1</v>
          </cell>
          <cell r="C100">
            <v>802443</v>
          </cell>
          <cell r="D100">
            <v>44.27</v>
          </cell>
          <cell r="E100">
            <v>44.05</v>
          </cell>
          <cell r="F100">
            <v>0.01811</v>
          </cell>
          <cell r="G100">
            <v>0.018298</v>
          </cell>
          <cell r="H100">
            <v>1.75717</v>
          </cell>
          <cell r="I100">
            <v>1.76442</v>
          </cell>
          <cell r="J100">
            <v>1.77245</v>
          </cell>
          <cell r="K100">
            <v>1.77986</v>
          </cell>
          <cell r="L100">
            <v>1.78241</v>
          </cell>
          <cell r="M100">
            <v>1.78699</v>
          </cell>
          <cell r="N100">
            <v>1.79021</v>
          </cell>
          <cell r="O100">
            <v>1.7932</v>
          </cell>
          <cell r="P100">
            <v>1.79624</v>
          </cell>
          <cell r="Q100">
            <v>1.7971</v>
          </cell>
          <cell r="R100">
            <v>1.7979</v>
          </cell>
          <cell r="S100">
            <v>1.8015</v>
          </cell>
          <cell r="T100">
            <v>1.80166</v>
          </cell>
          <cell r="U100">
            <v>1.80596</v>
          </cell>
          <cell r="V100">
            <v>1.81435</v>
          </cell>
          <cell r="W100">
            <v>1.8154</v>
          </cell>
          <cell r="X100">
            <v>1.82453</v>
          </cell>
          <cell r="Y100">
            <v>1.83313</v>
          </cell>
          <cell r="Z100">
            <v>1.84826</v>
          </cell>
          <cell r="AA100">
            <v>3.16631969</v>
          </cell>
          <cell r="AB100">
            <v>-0.0154466845</v>
          </cell>
          <cell r="AC100">
            <v>0.0260570901</v>
          </cell>
          <cell r="AD100">
            <v>0.00138032646</v>
          </cell>
          <cell r="AE100">
            <v>-0.000108373262</v>
          </cell>
          <cell r="AF100">
            <v>7.65458938e-6</v>
          </cell>
          <cell r="AG100">
            <v>0.299282164549974</v>
          </cell>
          <cell r="AH100">
            <v>0.237437879624517</v>
          </cell>
          <cell r="AI100">
            <v>0.562120375483168</v>
          </cell>
          <cell r="AJ100">
            <v>0.249180327868859</v>
          </cell>
          <cell r="AK100">
            <v>0.234972677595627</v>
          </cell>
          <cell r="AL100">
            <v>0.498907103825142</v>
          </cell>
          <cell r="AM100">
            <v>-0.00248300417449106</v>
          </cell>
          <cell r="AN100">
            <v>-0.00794715451683244</v>
          </cell>
          <cell r="AO100">
            <v>0.00903406260630174</v>
          </cell>
          <cell r="AP100">
            <v>0.00411953175041736</v>
          </cell>
          <cell r="AQ100">
            <v>4.6</v>
          </cell>
          <cell r="AR100">
            <v>4.6</v>
          </cell>
          <cell r="AS100">
            <v>4.6</v>
          </cell>
          <cell r="AT100">
            <v>4.6</v>
          </cell>
          <cell r="AU100">
            <v>4.8</v>
          </cell>
          <cell r="AV100">
            <v>4.9</v>
          </cell>
          <cell r="AW100">
            <v>5.3</v>
          </cell>
          <cell r="AX100">
            <v>5.3</v>
          </cell>
          <cell r="AY100">
            <v>5.4</v>
          </cell>
          <cell r="AZ100">
            <v>5.4</v>
          </cell>
          <cell r="BA100">
            <v>5.6</v>
          </cell>
          <cell r="BB100">
            <v>5.8</v>
          </cell>
          <cell r="BC100">
            <v>5.4</v>
          </cell>
          <cell r="BD100">
            <v>5.4</v>
          </cell>
          <cell r="BE100">
            <v>5.4</v>
          </cell>
          <cell r="BF100">
            <v>5.5</v>
          </cell>
          <cell r="BG100">
            <v>5.6</v>
          </cell>
          <cell r="BH100">
            <v>5.8</v>
          </cell>
          <cell r="BI100">
            <v>5.6</v>
          </cell>
          <cell r="BJ100">
            <v>5.6</v>
          </cell>
          <cell r="BK100">
            <v>5.7</v>
          </cell>
          <cell r="BL100">
            <v>5.7</v>
          </cell>
          <cell r="BM100">
            <v>5.9</v>
          </cell>
          <cell r="BN100">
            <v>6.1</v>
          </cell>
          <cell r="BO100">
            <v>5.8</v>
          </cell>
          <cell r="BP100">
            <v>5.9</v>
          </cell>
          <cell r="BQ100">
            <v>6</v>
          </cell>
          <cell r="BR100">
            <v>6</v>
          </cell>
          <cell r="BS100">
            <v>6.2</v>
          </cell>
          <cell r="BT100">
            <v>6.4</v>
          </cell>
          <cell r="BU100">
            <v>6.5</v>
          </cell>
          <cell r="BV100">
            <v>6.5</v>
          </cell>
          <cell r="BW100">
            <v>6.6</v>
          </cell>
          <cell r="BX100">
            <v>6.7</v>
          </cell>
          <cell r="BY100">
            <v>6.9</v>
          </cell>
          <cell r="BZ100">
            <v>7.2</v>
          </cell>
          <cell r="CA100">
            <v>7.1</v>
          </cell>
          <cell r="CB100">
            <v>7.2</v>
          </cell>
          <cell r="CC100">
            <v>7.4</v>
          </cell>
          <cell r="CD100">
            <v>7.4</v>
          </cell>
          <cell r="CE100">
            <v>7.7</v>
          </cell>
          <cell r="CF100">
            <v>8</v>
          </cell>
          <cell r="CG100">
            <v>2.9</v>
          </cell>
          <cell r="CH100">
            <v>3.3</v>
          </cell>
          <cell r="CI100">
            <v>3.6</v>
          </cell>
          <cell r="CJ100">
            <v>3.9</v>
          </cell>
          <cell r="CK100">
            <v>4.2</v>
          </cell>
          <cell r="CL100">
            <v>4.6</v>
          </cell>
          <cell r="CM100">
            <v>4.13e-6</v>
          </cell>
          <cell r="CN100">
            <v>1.103e-8</v>
          </cell>
          <cell r="CO100">
            <v>6.58e-12</v>
          </cell>
          <cell r="CP100">
            <v>6.6e-7</v>
          </cell>
          <cell r="CQ100">
            <v>7.725e-10</v>
          </cell>
          <cell r="CR100">
            <v>0.22</v>
          </cell>
          <cell r="CS100">
            <v>1</v>
          </cell>
          <cell r="CT100">
            <v>1</v>
          </cell>
          <cell r="CU100">
            <v>1</v>
          </cell>
          <cell r="CV100">
            <v>3</v>
          </cell>
          <cell r="CW100">
            <v>1</v>
          </cell>
          <cell r="CX100">
            <v>1</v>
          </cell>
          <cell r="CY100">
            <v>0</v>
          </cell>
          <cell r="CZ100">
            <v>0</v>
          </cell>
          <cell r="DA100">
            <v>639</v>
          </cell>
          <cell r="DB100">
            <v>672</v>
          </cell>
          <cell r="DC100">
            <v>596</v>
          </cell>
          <cell r="DD100">
            <v>627</v>
          </cell>
          <cell r="DE100">
            <v>56</v>
          </cell>
          <cell r="DF100">
            <v>0</v>
          </cell>
          <cell r="DG100">
            <v>74</v>
          </cell>
          <cell r="DH100">
            <v>0</v>
          </cell>
          <cell r="DI100">
            <v>170</v>
          </cell>
          <cell r="DJ100">
            <v>0</v>
          </cell>
          <cell r="DK100">
            <v>681</v>
          </cell>
          <cell r="DL100">
            <v>75</v>
          </cell>
          <cell r="DM100">
            <v>12586</v>
          </cell>
          <cell r="DN100">
            <v>4852</v>
          </cell>
          <cell r="DO100">
            <v>0.297</v>
          </cell>
          <cell r="DP100">
            <v>0</v>
          </cell>
          <cell r="DQ100" t="str">
            <v>390/340</v>
          </cell>
          <cell r="DR100">
            <v>363</v>
          </cell>
          <cell r="DS100">
            <v>334</v>
          </cell>
          <cell r="DT100">
            <v>4.41</v>
          </cell>
          <cell r="DU100">
            <v>0.803</v>
          </cell>
          <cell r="DV100">
            <v>0.935</v>
          </cell>
          <cell r="DW100">
            <v>0.99</v>
          </cell>
          <cell r="DX100">
            <v>0.999</v>
          </cell>
          <cell r="DY100">
            <v>0.999</v>
          </cell>
          <cell r="DZ100">
            <v>0.999</v>
          </cell>
          <cell r="EA100">
            <v>0.999</v>
          </cell>
          <cell r="EB100">
            <v>0.999</v>
          </cell>
          <cell r="EC100">
            <v>0.999</v>
          </cell>
          <cell r="ED100">
            <v>0.999</v>
          </cell>
          <cell r="EE100">
            <v>0.999</v>
          </cell>
          <cell r="EF100">
            <v>0.999</v>
          </cell>
          <cell r="EG100">
            <v>0.999</v>
          </cell>
          <cell r="EH100">
            <v>0.999</v>
          </cell>
          <cell r="EI100">
            <v>0.999</v>
          </cell>
          <cell r="EJ100">
            <v>0.999</v>
          </cell>
          <cell r="EK100">
            <v>0.999</v>
          </cell>
          <cell r="EL100">
            <v>0.999</v>
          </cell>
          <cell r="EM100">
            <v>0.999</v>
          </cell>
          <cell r="EN100">
            <v>0.997</v>
          </cell>
          <cell r="EO100">
            <v>0.995</v>
          </cell>
          <cell r="EP100">
            <v>0.993</v>
          </cell>
          <cell r="EQ100">
            <v>0.99</v>
          </cell>
          <cell r="ER100">
            <v>0.985</v>
          </cell>
          <cell r="ES100">
            <v>0.978</v>
          </cell>
          <cell r="ET100">
            <v>0.964</v>
          </cell>
          <cell r="EU100">
            <v>0.936</v>
          </cell>
          <cell r="EV100">
            <v>0.875</v>
          </cell>
          <cell r="EW100">
            <v>0.735</v>
          </cell>
          <cell r="EX100">
            <v>0.447</v>
          </cell>
          <cell r="EY100">
            <v>0.104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0.645</v>
          </cell>
          <cell r="FF100">
            <v>0.874</v>
          </cell>
          <cell r="FG100">
            <v>0.98</v>
          </cell>
          <cell r="FH100">
            <v>0.998</v>
          </cell>
          <cell r="FI100">
            <v>0.998</v>
          </cell>
          <cell r="FJ100">
            <v>0.998</v>
          </cell>
          <cell r="FK100">
            <v>0.998</v>
          </cell>
          <cell r="FL100">
            <v>0.998</v>
          </cell>
          <cell r="FM100">
            <v>0.998</v>
          </cell>
          <cell r="FN100">
            <v>0.998</v>
          </cell>
          <cell r="FO100">
            <v>0.998</v>
          </cell>
          <cell r="FP100">
            <v>0.998</v>
          </cell>
          <cell r="FQ100">
            <v>0.998</v>
          </cell>
          <cell r="FR100">
            <v>0.998</v>
          </cell>
          <cell r="FS100">
            <v>0.998</v>
          </cell>
          <cell r="FT100">
            <v>0.998</v>
          </cell>
          <cell r="FU100">
            <v>0.998</v>
          </cell>
          <cell r="FV100">
            <v>0.998</v>
          </cell>
          <cell r="FW100">
            <v>0.998</v>
          </cell>
          <cell r="FX100">
            <v>0.994</v>
          </cell>
          <cell r="FY100">
            <v>0.989</v>
          </cell>
          <cell r="FZ100">
            <v>0.984</v>
          </cell>
          <cell r="GA100">
            <v>0.979</v>
          </cell>
          <cell r="GB100">
            <v>0.967</v>
          </cell>
          <cell r="GC100">
            <v>0.953</v>
          </cell>
          <cell r="GD100">
            <v>0.927</v>
          </cell>
          <cell r="GE100">
            <v>0.875</v>
          </cell>
          <cell r="GF100">
            <v>0.766</v>
          </cell>
          <cell r="GG100">
            <v>0.547</v>
          </cell>
          <cell r="GH100">
            <v>0.21</v>
          </cell>
          <cell r="GI100">
            <v>0.016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</row>
        <row r="101">
          <cell r="B101" t="str">
            <v>H-ZLaF2</v>
          </cell>
          <cell r="C101">
            <v>803468</v>
          </cell>
          <cell r="D101">
            <v>46.76</v>
          </cell>
          <cell r="E101">
            <v>46.52</v>
          </cell>
          <cell r="F101">
            <v>0.017168</v>
          </cell>
          <cell r="G101">
            <v>0.017345</v>
          </cell>
          <cell r="H101">
            <v>1.75864</v>
          </cell>
          <cell r="I101">
            <v>1.7661</v>
          </cell>
          <cell r="J101">
            <v>1.7743</v>
          </cell>
          <cell r="K101">
            <v>1.78174</v>
          </cell>
          <cell r="L101">
            <v>1.78426</v>
          </cell>
          <cell r="M101">
            <v>1.78874</v>
          </cell>
          <cell r="N101">
            <v>1.79184</v>
          </cell>
          <cell r="O101">
            <v>1.79473</v>
          </cell>
          <cell r="P101">
            <v>1.79763</v>
          </cell>
          <cell r="Q101">
            <v>1.79845</v>
          </cell>
          <cell r="R101">
            <v>1.79921</v>
          </cell>
          <cell r="S101">
            <v>1.80264</v>
          </cell>
          <cell r="T101">
            <v>1.80279</v>
          </cell>
          <cell r="U101">
            <v>1.80687</v>
          </cell>
          <cell r="V101">
            <v>1.8148</v>
          </cell>
          <cell r="W101">
            <v>1.81579</v>
          </cell>
          <cell r="X101">
            <v>1.82438</v>
          </cell>
          <cell r="Y101">
            <v>1.83241</v>
          </cell>
          <cell r="Z101">
            <v>1.84644</v>
          </cell>
          <cell r="AA101">
            <v>3.17454812</v>
          </cell>
          <cell r="AB101">
            <v>-0.0159776958</v>
          </cell>
          <cell r="AC101">
            <v>0.0251277775</v>
          </cell>
          <cell r="AD101">
            <v>0.00118617161</v>
          </cell>
          <cell r="AE101">
            <v>-8.90435226e-5</v>
          </cell>
          <cell r="AF101">
            <v>6.03380469e-6</v>
          </cell>
          <cell r="AG101">
            <v>0.300524170064057</v>
          </cell>
          <cell r="AH101">
            <v>0.237623762376244</v>
          </cell>
          <cell r="AI101">
            <v>0.557949912638321</v>
          </cell>
          <cell r="AJ101">
            <v>0.250288350634361</v>
          </cell>
          <cell r="AK101">
            <v>0.235294117647065</v>
          </cell>
          <cell r="AL101">
            <v>0.495386389850053</v>
          </cell>
          <cell r="AM101">
            <v>-0.00253641244030082</v>
          </cell>
          <cell r="AN101">
            <v>-0.00798172736167879</v>
          </cell>
          <cell r="AO101">
            <v>0.0119847907280242</v>
          </cell>
          <cell r="AP101">
            <v>0.00513954105999492</v>
          </cell>
          <cell r="AQ101">
            <v>3.7</v>
          </cell>
          <cell r="AR101">
            <v>3.6</v>
          </cell>
          <cell r="AS101">
            <v>3.7</v>
          </cell>
          <cell r="AT101">
            <v>3.8</v>
          </cell>
          <cell r="AU101">
            <v>3.9</v>
          </cell>
          <cell r="AV101">
            <v>4.1</v>
          </cell>
          <cell r="AW101">
            <v>4.3</v>
          </cell>
          <cell r="AX101">
            <v>4.3</v>
          </cell>
          <cell r="AY101">
            <v>4.3</v>
          </cell>
          <cell r="AZ101">
            <v>4.5</v>
          </cell>
          <cell r="BA101">
            <v>4.6</v>
          </cell>
          <cell r="BB101">
            <v>4.8</v>
          </cell>
          <cell r="BC101">
            <v>4.4</v>
          </cell>
          <cell r="BD101">
            <v>4.3</v>
          </cell>
          <cell r="BE101">
            <v>4.4</v>
          </cell>
          <cell r="BF101">
            <v>4.5</v>
          </cell>
          <cell r="BG101">
            <v>4.7</v>
          </cell>
          <cell r="BH101">
            <v>4.9</v>
          </cell>
          <cell r="BI101">
            <v>4.5</v>
          </cell>
          <cell r="BJ101">
            <v>4.5</v>
          </cell>
          <cell r="BK101">
            <v>4.6</v>
          </cell>
          <cell r="BL101">
            <v>4.7</v>
          </cell>
          <cell r="BM101">
            <v>4.9</v>
          </cell>
          <cell r="BN101">
            <v>5.1</v>
          </cell>
          <cell r="BO101">
            <v>4.8</v>
          </cell>
          <cell r="BP101">
            <v>4.7</v>
          </cell>
          <cell r="BQ101">
            <v>4.8</v>
          </cell>
          <cell r="BR101">
            <v>5</v>
          </cell>
          <cell r="BS101">
            <v>5.2</v>
          </cell>
          <cell r="BT101">
            <v>5.4</v>
          </cell>
          <cell r="BU101">
            <v>5.3</v>
          </cell>
          <cell r="BV101">
            <v>5.3</v>
          </cell>
          <cell r="BW101">
            <v>5.4</v>
          </cell>
          <cell r="BX101">
            <v>5.6</v>
          </cell>
          <cell r="BY101">
            <v>5.8</v>
          </cell>
          <cell r="BZ101">
            <v>6.1</v>
          </cell>
          <cell r="CA101">
            <v>5.9</v>
          </cell>
          <cell r="CB101">
            <v>5.9</v>
          </cell>
          <cell r="CC101">
            <v>6</v>
          </cell>
          <cell r="CD101">
            <v>6.2</v>
          </cell>
          <cell r="CE101">
            <v>6.5</v>
          </cell>
          <cell r="CF101">
            <v>6.7</v>
          </cell>
          <cell r="CG101">
            <v>1.9</v>
          </cell>
          <cell r="CH101">
            <v>2.2</v>
          </cell>
          <cell r="CI101">
            <v>2.6</v>
          </cell>
          <cell r="CJ101">
            <v>2.9</v>
          </cell>
          <cell r="CK101">
            <v>3.3</v>
          </cell>
          <cell r="CL101">
            <v>3.7</v>
          </cell>
          <cell r="CM101">
            <v>2.66e-6</v>
          </cell>
          <cell r="CN101">
            <v>1.149e-8</v>
          </cell>
          <cell r="CO101">
            <v>8.87e-12</v>
          </cell>
          <cell r="CP101">
            <v>6.43e-7</v>
          </cell>
          <cell r="CQ101">
            <v>9.003e-10</v>
          </cell>
          <cell r="CR101">
            <v>0.189</v>
          </cell>
          <cell r="CS101">
            <v>1</v>
          </cell>
          <cell r="CT101">
            <v>1</v>
          </cell>
          <cell r="CU101">
            <v>1</v>
          </cell>
          <cell r="CV101">
            <v>3</v>
          </cell>
          <cell r="CW101">
            <v>1</v>
          </cell>
          <cell r="CX101">
            <v>1</v>
          </cell>
          <cell r="CY101">
            <v>0</v>
          </cell>
          <cell r="CZ101">
            <v>0</v>
          </cell>
          <cell r="DA101">
            <v>675</v>
          </cell>
          <cell r="DB101">
            <v>703</v>
          </cell>
          <cell r="DC101">
            <v>612</v>
          </cell>
          <cell r="DD101">
            <v>648</v>
          </cell>
          <cell r="DE101">
            <v>59</v>
          </cell>
          <cell r="DF101">
            <v>0</v>
          </cell>
          <cell r="DG101">
            <v>86</v>
          </cell>
          <cell r="DH101">
            <v>0</v>
          </cell>
          <cell r="DI101">
            <v>150</v>
          </cell>
          <cell r="DJ101">
            <v>0</v>
          </cell>
          <cell r="DK101">
            <v>702</v>
          </cell>
          <cell r="DL101">
            <v>68</v>
          </cell>
          <cell r="DM101">
            <v>12357</v>
          </cell>
          <cell r="DN101">
            <v>4782</v>
          </cell>
          <cell r="DO101">
            <v>0.292</v>
          </cell>
          <cell r="DP101">
            <v>0</v>
          </cell>
          <cell r="DQ101" t="str">
            <v>380/320</v>
          </cell>
          <cell r="DR101">
            <v>362</v>
          </cell>
          <cell r="DS101">
            <v>334</v>
          </cell>
          <cell r="DT101">
            <v>4.68</v>
          </cell>
          <cell r="DU101">
            <v>0.826</v>
          </cell>
          <cell r="DV101">
            <v>0.959</v>
          </cell>
          <cell r="DW101">
            <v>0.993</v>
          </cell>
          <cell r="DX101">
            <v>0.999</v>
          </cell>
          <cell r="DY101">
            <v>0.999</v>
          </cell>
          <cell r="DZ101">
            <v>0.999</v>
          </cell>
          <cell r="EA101">
            <v>0.999</v>
          </cell>
          <cell r="EB101">
            <v>0.999</v>
          </cell>
          <cell r="EC101">
            <v>0.999</v>
          </cell>
          <cell r="ED101">
            <v>0.999</v>
          </cell>
          <cell r="EE101">
            <v>0.999</v>
          </cell>
          <cell r="EF101">
            <v>0.999</v>
          </cell>
          <cell r="EG101">
            <v>0.999</v>
          </cell>
          <cell r="EH101">
            <v>0.999</v>
          </cell>
          <cell r="EI101">
            <v>0.999</v>
          </cell>
          <cell r="EJ101">
            <v>0.999</v>
          </cell>
          <cell r="EK101">
            <v>0.997</v>
          </cell>
          <cell r="EL101">
            <v>0.996</v>
          </cell>
          <cell r="EM101">
            <v>0.995</v>
          </cell>
          <cell r="EN101">
            <v>0.994</v>
          </cell>
          <cell r="EO101">
            <v>0.994</v>
          </cell>
          <cell r="EP101">
            <v>0.994</v>
          </cell>
          <cell r="EQ101">
            <v>0.993</v>
          </cell>
          <cell r="ER101">
            <v>0.988</v>
          </cell>
          <cell r="ES101">
            <v>0.983</v>
          </cell>
          <cell r="ET101">
            <v>0.975</v>
          </cell>
          <cell r="EU101">
            <v>0.959</v>
          </cell>
          <cell r="EV101">
            <v>0.929</v>
          </cell>
          <cell r="EW101">
            <v>0.881</v>
          </cell>
          <cell r="EX101">
            <v>0.791</v>
          </cell>
          <cell r="EY101">
            <v>0.62</v>
          </cell>
          <cell r="EZ101">
            <v>0.322</v>
          </cell>
          <cell r="FA101">
            <v>0.043</v>
          </cell>
          <cell r="FB101">
            <v>0</v>
          </cell>
          <cell r="FC101">
            <v>0</v>
          </cell>
          <cell r="FD101">
            <v>0</v>
          </cell>
          <cell r="FE101">
            <v>0.682</v>
          </cell>
          <cell r="FF101">
            <v>0.92</v>
          </cell>
          <cell r="FG101">
            <v>0.986</v>
          </cell>
          <cell r="FH101">
            <v>0.998</v>
          </cell>
          <cell r="FI101">
            <v>0.998</v>
          </cell>
          <cell r="FJ101">
            <v>0.998</v>
          </cell>
          <cell r="FK101">
            <v>0.998</v>
          </cell>
          <cell r="FL101">
            <v>0.998</v>
          </cell>
          <cell r="FM101">
            <v>0.998</v>
          </cell>
          <cell r="FN101">
            <v>0.998</v>
          </cell>
          <cell r="FO101">
            <v>0.998</v>
          </cell>
          <cell r="FP101">
            <v>0.998</v>
          </cell>
          <cell r="FQ101">
            <v>0.998</v>
          </cell>
          <cell r="FR101">
            <v>0.998</v>
          </cell>
          <cell r="FS101">
            <v>0.998</v>
          </cell>
          <cell r="FT101">
            <v>0.998</v>
          </cell>
          <cell r="FU101">
            <v>0.994</v>
          </cell>
          <cell r="FV101">
            <v>0.992</v>
          </cell>
          <cell r="FW101">
            <v>0.99</v>
          </cell>
          <cell r="FX101">
            <v>0.988</v>
          </cell>
          <cell r="FY101">
            <v>0.988</v>
          </cell>
          <cell r="FZ101">
            <v>0.988</v>
          </cell>
          <cell r="GA101">
            <v>0.986</v>
          </cell>
          <cell r="GB101">
            <v>0.976</v>
          </cell>
          <cell r="GC101">
            <v>0.973</v>
          </cell>
          <cell r="GD101">
            <v>0.956</v>
          </cell>
          <cell r="GE101">
            <v>0.925</v>
          </cell>
          <cell r="GF101">
            <v>0.87</v>
          </cell>
          <cell r="GG101">
            <v>0.781</v>
          </cell>
          <cell r="GH101">
            <v>0.629</v>
          </cell>
          <cell r="GI101">
            <v>0.383</v>
          </cell>
          <cell r="GJ101">
            <v>0.103</v>
          </cell>
          <cell r="GK101">
            <v>0.007</v>
          </cell>
          <cell r="GL101">
            <v>0</v>
          </cell>
          <cell r="GM101">
            <v>0</v>
          </cell>
          <cell r="GN101">
            <v>0</v>
          </cell>
        </row>
        <row r="102">
          <cell r="B102" t="str">
            <v>H-ZLaF3</v>
          </cell>
          <cell r="C102">
            <v>855366</v>
          </cell>
          <cell r="D102">
            <v>36.59</v>
          </cell>
          <cell r="E102">
            <v>36.35</v>
          </cell>
          <cell r="F102">
            <v>0.023381</v>
          </cell>
          <cell r="G102">
            <v>0.023687</v>
          </cell>
          <cell r="H102">
            <v>1.8054</v>
          </cell>
          <cell r="I102">
            <v>1.81252</v>
          </cell>
          <cell r="J102">
            <v>1.82064</v>
          </cell>
          <cell r="K102">
            <v>1.82866</v>
          </cell>
          <cell r="L102">
            <v>1.83159</v>
          </cell>
          <cell r="M102">
            <v>1.83706</v>
          </cell>
          <cell r="N102">
            <v>1.841</v>
          </cell>
          <cell r="O102">
            <v>1.84474</v>
          </cell>
          <cell r="P102">
            <v>1.84856</v>
          </cell>
          <cell r="Q102">
            <v>1.84964</v>
          </cell>
          <cell r="R102">
            <v>1.85065</v>
          </cell>
          <cell r="S102">
            <v>1.85524</v>
          </cell>
          <cell r="T102">
            <v>1.85544</v>
          </cell>
          <cell r="U102">
            <v>1.86099</v>
          </cell>
          <cell r="V102">
            <v>1.87194</v>
          </cell>
          <cell r="W102">
            <v>1.87333</v>
          </cell>
          <cell r="X102">
            <v>1.88549</v>
          </cell>
          <cell r="Y102">
            <v>1.89719</v>
          </cell>
          <cell r="Z102">
            <v>1.91828</v>
          </cell>
          <cell r="AA102">
            <v>3.33508086</v>
          </cell>
          <cell r="AB102">
            <v>-0.0151809916</v>
          </cell>
          <cell r="AC102">
            <v>0.0347880996</v>
          </cell>
          <cell r="AD102">
            <v>0.00157445974</v>
          </cell>
          <cell r="AE102">
            <v>-7.28030297e-5</v>
          </cell>
          <cell r="AF102">
            <v>8.73416251e-6</v>
          </cell>
          <cell r="AG102">
            <v>0.294268605645852</v>
          </cell>
          <cell r="AH102">
            <v>0.237382378100939</v>
          </cell>
          <cell r="AI102">
            <v>0.579555175363567</v>
          </cell>
          <cell r="AJ102">
            <v>0.244829041789786</v>
          </cell>
          <cell r="AK102">
            <v>0.234276065850568</v>
          </cell>
          <cell r="AL102">
            <v>0.513296749683418</v>
          </cell>
          <cell r="AM102">
            <v>-0.00165330374679062</v>
          </cell>
          <cell r="AN102">
            <v>-0.0032688346364329</v>
          </cell>
          <cell r="AO102">
            <v>0.00841890619332589</v>
          </cell>
          <cell r="AP102">
            <v>0.00365739606501658</v>
          </cell>
          <cell r="AQ102">
            <v>4.9</v>
          </cell>
          <cell r="AR102">
            <v>5.4</v>
          </cell>
          <cell r="AS102">
            <v>5.6</v>
          </cell>
          <cell r="AT102">
            <v>5.7</v>
          </cell>
          <cell r="AU102">
            <v>5.9</v>
          </cell>
          <cell r="AV102">
            <v>6</v>
          </cell>
          <cell r="AW102">
            <v>5.9</v>
          </cell>
          <cell r="AX102">
            <v>6.3</v>
          </cell>
          <cell r="AY102">
            <v>6.6</v>
          </cell>
          <cell r="AZ102">
            <v>6.8</v>
          </cell>
          <cell r="BA102">
            <v>7</v>
          </cell>
          <cell r="BB102">
            <v>7.2</v>
          </cell>
          <cell r="BC102">
            <v>5.9</v>
          </cell>
          <cell r="BD102">
            <v>6.4</v>
          </cell>
          <cell r="BE102">
            <v>6.7</v>
          </cell>
          <cell r="BF102">
            <v>6.8</v>
          </cell>
          <cell r="BG102">
            <v>7</v>
          </cell>
          <cell r="BH102">
            <v>7.3</v>
          </cell>
          <cell r="BI102">
            <v>6.2</v>
          </cell>
          <cell r="BJ102">
            <v>6.7</v>
          </cell>
          <cell r="BK102">
            <v>7</v>
          </cell>
          <cell r="BL102">
            <v>7.2</v>
          </cell>
          <cell r="BM102">
            <v>7.4</v>
          </cell>
          <cell r="BN102">
            <v>7.6</v>
          </cell>
          <cell r="BO102">
            <v>6.6</v>
          </cell>
          <cell r="BP102">
            <v>7.1</v>
          </cell>
          <cell r="BQ102">
            <v>7.4</v>
          </cell>
          <cell r="BR102">
            <v>7.6</v>
          </cell>
          <cell r="BS102">
            <v>7.8</v>
          </cell>
          <cell r="BT102">
            <v>8.1</v>
          </cell>
          <cell r="BU102">
            <v>7.5</v>
          </cell>
          <cell r="BV102">
            <v>8.1</v>
          </cell>
          <cell r="BW102">
            <v>8.4</v>
          </cell>
          <cell r="BX102">
            <v>8.6</v>
          </cell>
          <cell r="BY102">
            <v>8.9</v>
          </cell>
          <cell r="BZ102">
            <v>9.2</v>
          </cell>
          <cell r="CA102">
            <v>8.5</v>
          </cell>
          <cell r="CB102">
            <v>9.1</v>
          </cell>
          <cell r="CC102">
            <v>9.5</v>
          </cell>
          <cell r="CD102">
            <v>9.8</v>
          </cell>
          <cell r="CE102">
            <v>10.1</v>
          </cell>
          <cell r="CF102">
            <v>10.5</v>
          </cell>
          <cell r="CG102">
            <v>3.4</v>
          </cell>
          <cell r="CH102">
            <v>4.3</v>
          </cell>
          <cell r="CI102">
            <v>4.8</v>
          </cell>
          <cell r="CJ102">
            <v>5.2</v>
          </cell>
          <cell r="CK102">
            <v>5.6</v>
          </cell>
          <cell r="CL102">
            <v>6</v>
          </cell>
          <cell r="CM102">
            <v>5.27846002451413e-6</v>
          </cell>
          <cell r="CN102">
            <v>1.6533235383734e-8</v>
          </cell>
          <cell r="CO102">
            <v>-5.66530228815527e-11</v>
          </cell>
          <cell r="CP102">
            <v>8.0229112385989e-7</v>
          </cell>
          <cell r="CQ102">
            <v>9.92116032311687e-10</v>
          </cell>
          <cell r="CR102">
            <v>0.248671841992953</v>
          </cell>
          <cell r="CS102">
            <v>1</v>
          </cell>
          <cell r="CT102">
            <v>3</v>
          </cell>
          <cell r="CU102">
            <v>1</v>
          </cell>
          <cell r="CV102">
            <v>3</v>
          </cell>
          <cell r="CW102">
            <v>1</v>
          </cell>
          <cell r="CX102">
            <v>1</v>
          </cell>
          <cell r="CY102">
            <v>0</v>
          </cell>
          <cell r="CZ102">
            <v>0</v>
          </cell>
          <cell r="DA102">
            <v>609</v>
          </cell>
          <cell r="DB102">
            <v>651</v>
          </cell>
          <cell r="DC102">
            <v>557</v>
          </cell>
          <cell r="DD102">
            <v>591</v>
          </cell>
          <cell r="DE102">
            <v>60</v>
          </cell>
          <cell r="DF102">
            <v>0</v>
          </cell>
          <cell r="DG102">
            <v>75</v>
          </cell>
          <cell r="DH102">
            <v>0</v>
          </cell>
          <cell r="DI102">
            <v>165</v>
          </cell>
          <cell r="DJ102">
            <v>0</v>
          </cell>
          <cell r="DK102">
            <v>622</v>
          </cell>
          <cell r="DL102">
            <v>77</v>
          </cell>
          <cell r="DM102">
            <v>11888</v>
          </cell>
          <cell r="DN102">
            <v>4597</v>
          </cell>
          <cell r="DO102">
            <v>0.293</v>
          </cell>
          <cell r="DP102">
            <v>0</v>
          </cell>
          <cell r="DQ102" t="str">
            <v>430/350</v>
          </cell>
          <cell r="DR102">
            <v>0</v>
          </cell>
          <cell r="DS102">
            <v>0</v>
          </cell>
          <cell r="DT102">
            <v>4.59</v>
          </cell>
          <cell r="DU102">
            <v>0.885</v>
          </cell>
          <cell r="DV102">
            <v>0.97</v>
          </cell>
          <cell r="DW102">
            <v>0.991</v>
          </cell>
          <cell r="DX102">
            <v>0.998</v>
          </cell>
          <cell r="DY102">
            <v>0.998</v>
          </cell>
          <cell r="DZ102">
            <v>0.998</v>
          </cell>
          <cell r="EA102">
            <v>0.998</v>
          </cell>
          <cell r="EB102">
            <v>0.998</v>
          </cell>
          <cell r="EC102">
            <v>0.998</v>
          </cell>
          <cell r="ED102">
            <v>0.998</v>
          </cell>
          <cell r="EE102">
            <v>0.998</v>
          </cell>
          <cell r="EF102">
            <v>0.998</v>
          </cell>
          <cell r="EG102">
            <v>0.998</v>
          </cell>
          <cell r="EH102">
            <v>0.998</v>
          </cell>
          <cell r="EI102">
            <v>0.998</v>
          </cell>
          <cell r="EJ102">
            <v>0.998</v>
          </cell>
          <cell r="EK102">
            <v>0.998</v>
          </cell>
          <cell r="EL102">
            <v>0.998</v>
          </cell>
          <cell r="EM102">
            <v>0.998</v>
          </cell>
          <cell r="EN102">
            <v>0.994</v>
          </cell>
          <cell r="EO102">
            <v>0.988</v>
          </cell>
          <cell r="EP102">
            <v>0.982</v>
          </cell>
          <cell r="EQ102">
            <v>0.975</v>
          </cell>
          <cell r="ER102">
            <v>0.959</v>
          </cell>
          <cell r="ES102">
            <v>0.94</v>
          </cell>
          <cell r="ET102">
            <v>0.904</v>
          </cell>
          <cell r="EU102">
            <v>0.832</v>
          </cell>
          <cell r="EV102">
            <v>0.68</v>
          </cell>
          <cell r="EW102">
            <v>0.376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0.782</v>
          </cell>
          <cell r="FF102">
            <v>0.94</v>
          </cell>
          <cell r="FG102">
            <v>0.981</v>
          </cell>
          <cell r="FH102">
            <v>0.996</v>
          </cell>
          <cell r="FI102">
            <v>0.996</v>
          </cell>
          <cell r="FJ102">
            <v>0.996</v>
          </cell>
          <cell r="FK102">
            <v>0.996</v>
          </cell>
          <cell r="FL102">
            <v>0.996</v>
          </cell>
          <cell r="FM102">
            <v>0.996</v>
          </cell>
          <cell r="FN102">
            <v>0.996</v>
          </cell>
          <cell r="FO102">
            <v>0.996</v>
          </cell>
          <cell r="FP102">
            <v>0.996</v>
          </cell>
          <cell r="FQ102">
            <v>0.996</v>
          </cell>
          <cell r="FR102">
            <v>0.996</v>
          </cell>
          <cell r="FS102">
            <v>0.996</v>
          </cell>
          <cell r="FT102">
            <v>0.996</v>
          </cell>
          <cell r="FU102">
            <v>0.996</v>
          </cell>
          <cell r="FV102">
            <v>0.996</v>
          </cell>
          <cell r="FW102">
            <v>0.996</v>
          </cell>
          <cell r="FX102">
            <v>0.989</v>
          </cell>
          <cell r="FY102">
            <v>0.976</v>
          </cell>
          <cell r="FZ102">
            <v>0.964</v>
          </cell>
          <cell r="GA102">
            <v>0.948</v>
          </cell>
          <cell r="GB102">
            <v>0.911</v>
          </cell>
          <cell r="GC102">
            <v>0.871</v>
          </cell>
          <cell r="GD102">
            <v>0.803</v>
          </cell>
          <cell r="GE102">
            <v>0.68</v>
          </cell>
          <cell r="GF102">
            <v>0.449</v>
          </cell>
          <cell r="GG102">
            <v>0.136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</row>
        <row r="103">
          <cell r="B103" t="str">
            <v>H-ZLaF50</v>
          </cell>
          <cell r="C103">
            <v>804466</v>
          </cell>
          <cell r="D103">
            <v>46.58</v>
          </cell>
          <cell r="E103">
            <v>46.33</v>
          </cell>
          <cell r="F103">
            <v>0.017262</v>
          </cell>
          <cell r="G103">
            <v>0.017443</v>
          </cell>
          <cell r="H103">
            <v>1.76102</v>
          </cell>
          <cell r="I103">
            <v>1.76802</v>
          </cell>
          <cell r="J103">
            <v>1.77579</v>
          </cell>
          <cell r="K103">
            <v>1.78299</v>
          </cell>
          <cell r="L103">
            <v>1.78546</v>
          </cell>
          <cell r="M103">
            <v>1.7899</v>
          </cell>
          <cell r="N103">
            <v>1.79302</v>
          </cell>
          <cell r="O103">
            <v>1.7959</v>
          </cell>
          <cell r="P103">
            <v>1.79882</v>
          </cell>
          <cell r="Q103">
            <v>1.79964</v>
          </cell>
          <cell r="R103">
            <v>1.80041</v>
          </cell>
          <cell r="S103">
            <v>1.80385</v>
          </cell>
          <cell r="T103">
            <v>1.804</v>
          </cell>
          <cell r="U103">
            <v>1.80811</v>
          </cell>
          <cell r="V103">
            <v>1.81608</v>
          </cell>
          <cell r="W103">
            <v>1.81708</v>
          </cell>
          <cell r="X103">
            <v>1.82569</v>
          </cell>
          <cell r="Y103">
            <v>1.83377</v>
          </cell>
          <cell r="Z103">
            <v>1.84783</v>
          </cell>
          <cell r="AA103">
            <v>3.177046</v>
          </cell>
          <cell r="AB103">
            <v>-0.0149215351</v>
          </cell>
          <cell r="AC103">
            <v>0.025981669</v>
          </cell>
          <cell r="AD103">
            <v>0.00102205007</v>
          </cell>
          <cell r="AE103">
            <v>-6.86208852e-5</v>
          </cell>
          <cell r="AF103">
            <v>4.99362397e-6</v>
          </cell>
          <cell r="AG103">
            <v>0.300115874855157</v>
          </cell>
          <cell r="AH103">
            <v>0.238122827346471</v>
          </cell>
          <cell r="AI103">
            <v>0.556778679026664</v>
          </cell>
          <cell r="AJ103">
            <v>0.250000000000006</v>
          </cell>
          <cell r="AK103">
            <v>0.235665137614681</v>
          </cell>
          <cell r="AL103">
            <v>0.493692660550456</v>
          </cell>
          <cell r="AM103">
            <v>-0.00272654220162875</v>
          </cell>
          <cell r="AN103">
            <v>-0.0094519409733364</v>
          </cell>
          <cell r="AO103">
            <v>0.00821735244496921</v>
          </cell>
          <cell r="AP103">
            <v>0.00460985399768989</v>
          </cell>
          <cell r="AQ103">
            <v>3.8</v>
          </cell>
          <cell r="AR103">
            <v>3.7</v>
          </cell>
          <cell r="AS103">
            <v>3.7</v>
          </cell>
          <cell r="AT103">
            <v>3.7</v>
          </cell>
          <cell r="AU103">
            <v>3.8</v>
          </cell>
          <cell r="AV103">
            <v>3.9</v>
          </cell>
          <cell r="AW103">
            <v>4.4</v>
          </cell>
          <cell r="AX103">
            <v>4.4</v>
          </cell>
          <cell r="AY103">
            <v>4.4</v>
          </cell>
          <cell r="AZ103">
            <v>4.4</v>
          </cell>
          <cell r="BA103">
            <v>4.5</v>
          </cell>
          <cell r="BB103">
            <v>4.7</v>
          </cell>
          <cell r="BC103">
            <v>4.4</v>
          </cell>
          <cell r="BD103">
            <v>4.4</v>
          </cell>
          <cell r="BE103">
            <v>4.4</v>
          </cell>
          <cell r="BF103">
            <v>4.4</v>
          </cell>
          <cell r="BG103">
            <v>4.6</v>
          </cell>
          <cell r="BH103">
            <v>4.8</v>
          </cell>
          <cell r="BI103">
            <v>4.6</v>
          </cell>
          <cell r="BJ103">
            <v>4.6</v>
          </cell>
          <cell r="BK103">
            <v>4.6</v>
          </cell>
          <cell r="BL103">
            <v>4.7</v>
          </cell>
          <cell r="BM103">
            <v>4.8</v>
          </cell>
          <cell r="BN103">
            <v>5</v>
          </cell>
          <cell r="BO103">
            <v>4.8</v>
          </cell>
          <cell r="BP103">
            <v>4.9</v>
          </cell>
          <cell r="BQ103">
            <v>4.9</v>
          </cell>
          <cell r="BR103">
            <v>4.9</v>
          </cell>
          <cell r="BS103">
            <v>5.1</v>
          </cell>
          <cell r="BT103">
            <v>5.3</v>
          </cell>
          <cell r="BU103">
            <v>5.4</v>
          </cell>
          <cell r="BV103">
            <v>5.5</v>
          </cell>
          <cell r="BW103">
            <v>5.5</v>
          </cell>
          <cell r="BX103">
            <v>5.6</v>
          </cell>
          <cell r="BY103">
            <v>5.7</v>
          </cell>
          <cell r="BZ103">
            <v>5.9</v>
          </cell>
          <cell r="CA103">
            <v>6</v>
          </cell>
          <cell r="CB103">
            <v>6.1</v>
          </cell>
          <cell r="CC103">
            <v>6.1</v>
          </cell>
          <cell r="CD103">
            <v>6.2</v>
          </cell>
          <cell r="CE103">
            <v>6.4</v>
          </cell>
          <cell r="CF103">
            <v>6.6</v>
          </cell>
          <cell r="CG103">
            <v>2</v>
          </cell>
          <cell r="CH103">
            <v>2.3</v>
          </cell>
          <cell r="CI103">
            <v>2.6</v>
          </cell>
          <cell r="CJ103">
            <v>2.9</v>
          </cell>
          <cell r="CK103">
            <v>3.2</v>
          </cell>
          <cell r="CL103">
            <v>3.5</v>
          </cell>
          <cell r="CM103">
            <v>2.46e-6</v>
          </cell>
          <cell r="CN103">
            <v>1.149e-8</v>
          </cell>
          <cell r="CO103">
            <v>4.42e-12</v>
          </cell>
          <cell r="CP103">
            <v>6.99e-7</v>
          </cell>
          <cell r="CQ103">
            <v>5.085e-10</v>
          </cell>
          <cell r="CR103">
            <v>0.183</v>
          </cell>
          <cell r="CS103">
            <v>1</v>
          </cell>
          <cell r="CT103">
            <v>3</v>
          </cell>
          <cell r="CU103">
            <v>1</v>
          </cell>
          <cell r="CV103">
            <v>3</v>
          </cell>
          <cell r="CW103">
            <v>1</v>
          </cell>
          <cell r="CX103">
            <v>1</v>
          </cell>
          <cell r="CY103">
            <v>0</v>
          </cell>
          <cell r="CZ103">
            <v>0</v>
          </cell>
          <cell r="DA103">
            <v>670</v>
          </cell>
          <cell r="DB103">
            <v>702</v>
          </cell>
          <cell r="DC103">
            <v>619</v>
          </cell>
          <cell r="DD103">
            <v>663</v>
          </cell>
          <cell r="DE103">
            <v>61</v>
          </cell>
          <cell r="DF103">
            <v>0</v>
          </cell>
          <cell r="DG103">
            <v>76</v>
          </cell>
          <cell r="DH103">
            <v>0</v>
          </cell>
          <cell r="DI103">
            <v>150</v>
          </cell>
          <cell r="DJ103">
            <v>0</v>
          </cell>
          <cell r="DK103">
            <v>712</v>
          </cell>
          <cell r="DL103">
            <v>65</v>
          </cell>
          <cell r="DM103">
            <v>13057</v>
          </cell>
          <cell r="DN103">
            <v>5046</v>
          </cell>
          <cell r="DO103">
            <v>0.293</v>
          </cell>
          <cell r="DP103">
            <v>0</v>
          </cell>
          <cell r="DQ103" t="str">
            <v>380/315</v>
          </cell>
          <cell r="DR103">
            <v>351</v>
          </cell>
          <cell r="DS103">
            <v>312</v>
          </cell>
          <cell r="DT103">
            <v>4.47</v>
          </cell>
          <cell r="DU103">
            <v>0.834</v>
          </cell>
          <cell r="DV103">
            <v>0.956</v>
          </cell>
          <cell r="DW103">
            <v>0.99</v>
          </cell>
          <cell r="DX103">
            <v>0.995</v>
          </cell>
          <cell r="DY103">
            <v>0.999</v>
          </cell>
          <cell r="DZ103">
            <v>0.999</v>
          </cell>
          <cell r="EA103">
            <v>0.999</v>
          </cell>
          <cell r="EB103">
            <v>0.999</v>
          </cell>
          <cell r="EC103">
            <v>0.999</v>
          </cell>
          <cell r="ED103">
            <v>0.999</v>
          </cell>
          <cell r="EE103">
            <v>0.999</v>
          </cell>
          <cell r="EF103">
            <v>0.999</v>
          </cell>
          <cell r="EG103">
            <v>0.999</v>
          </cell>
          <cell r="EH103">
            <v>0.999</v>
          </cell>
          <cell r="EI103">
            <v>0.999</v>
          </cell>
          <cell r="EJ103">
            <v>0.999</v>
          </cell>
          <cell r="EK103">
            <v>0.999</v>
          </cell>
          <cell r="EL103">
            <v>0.999</v>
          </cell>
          <cell r="EM103">
            <v>0.998</v>
          </cell>
          <cell r="EN103">
            <v>0.996</v>
          </cell>
          <cell r="EO103">
            <v>0.994</v>
          </cell>
          <cell r="EP103">
            <v>0.992</v>
          </cell>
          <cell r="EQ103">
            <v>0.99</v>
          </cell>
          <cell r="ER103">
            <v>0.987</v>
          </cell>
          <cell r="ES103">
            <v>0.983</v>
          </cell>
          <cell r="ET103">
            <v>0.974</v>
          </cell>
          <cell r="EU103">
            <v>0.961</v>
          </cell>
          <cell r="EV103">
            <v>0.931</v>
          </cell>
          <cell r="EW103">
            <v>0.891</v>
          </cell>
          <cell r="EX103">
            <v>0.818</v>
          </cell>
          <cell r="EY103">
            <v>0.69</v>
          </cell>
          <cell r="EZ103">
            <v>0.46</v>
          </cell>
          <cell r="FA103">
            <v>0.136</v>
          </cell>
          <cell r="FB103">
            <v>0</v>
          </cell>
          <cell r="FC103">
            <v>0</v>
          </cell>
          <cell r="FD103">
            <v>0</v>
          </cell>
          <cell r="FE103">
            <v>0.705</v>
          </cell>
          <cell r="FF103">
            <v>0.916</v>
          </cell>
          <cell r="FG103">
            <v>0.978</v>
          </cell>
          <cell r="FH103">
            <v>0.99</v>
          </cell>
          <cell r="FI103">
            <v>0.998</v>
          </cell>
          <cell r="FJ103">
            <v>0.998</v>
          </cell>
          <cell r="FK103">
            <v>0.998</v>
          </cell>
          <cell r="FL103">
            <v>0.998</v>
          </cell>
          <cell r="FM103">
            <v>0.998</v>
          </cell>
          <cell r="FN103">
            <v>0.998</v>
          </cell>
          <cell r="FO103">
            <v>0.998</v>
          </cell>
          <cell r="FP103">
            <v>0.998</v>
          </cell>
          <cell r="FQ103">
            <v>0.998</v>
          </cell>
          <cell r="FR103">
            <v>0.998</v>
          </cell>
          <cell r="FS103">
            <v>0.998</v>
          </cell>
          <cell r="FT103">
            <v>0.998</v>
          </cell>
          <cell r="FU103">
            <v>0.998</v>
          </cell>
          <cell r="FV103">
            <v>0.998</v>
          </cell>
          <cell r="FW103">
            <v>0.995</v>
          </cell>
          <cell r="FX103">
            <v>0.992</v>
          </cell>
          <cell r="FY103">
            <v>0.988</v>
          </cell>
          <cell r="FZ103">
            <v>0.984</v>
          </cell>
          <cell r="GA103">
            <v>0.981</v>
          </cell>
          <cell r="GB103">
            <v>0.973</v>
          </cell>
          <cell r="GC103">
            <v>0.963</v>
          </cell>
          <cell r="GD103">
            <v>0.948</v>
          </cell>
          <cell r="GE103">
            <v>0.918</v>
          </cell>
          <cell r="GF103">
            <v>0.869</v>
          </cell>
          <cell r="GG103">
            <v>0.795</v>
          </cell>
          <cell r="GH103">
            <v>0.676</v>
          </cell>
          <cell r="GI103">
            <v>0.489</v>
          </cell>
          <cell r="GJ103">
            <v>0.223</v>
          </cell>
          <cell r="GK103">
            <v>0.022</v>
          </cell>
          <cell r="GL103">
            <v>0</v>
          </cell>
          <cell r="GM103">
            <v>0</v>
          </cell>
          <cell r="GN103">
            <v>0</v>
          </cell>
        </row>
        <row r="104">
          <cell r="B104" t="str">
            <v>H-ZLaF51</v>
          </cell>
          <cell r="C104">
            <v>805396</v>
          </cell>
          <cell r="D104">
            <v>39.64</v>
          </cell>
          <cell r="E104">
            <v>39.39</v>
          </cell>
          <cell r="F104">
            <v>0.020298</v>
          </cell>
          <cell r="G104">
            <v>0.020549</v>
          </cell>
          <cell r="H104">
            <v>1.75652</v>
          </cell>
          <cell r="I104">
            <v>1.76415</v>
          </cell>
          <cell r="J104">
            <v>1.77263</v>
          </cell>
          <cell r="K104">
            <v>1.78055</v>
          </cell>
          <cell r="L104">
            <v>1.7833</v>
          </cell>
          <cell r="M104">
            <v>1.78829</v>
          </cell>
          <cell r="N104">
            <v>1.79181</v>
          </cell>
          <cell r="O104">
            <v>1.79514</v>
          </cell>
          <cell r="P104">
            <v>1.79849</v>
          </cell>
          <cell r="Q104">
            <v>1.79943</v>
          </cell>
          <cell r="R104">
            <v>1.80032</v>
          </cell>
          <cell r="S104">
            <v>1.80433</v>
          </cell>
          <cell r="T104">
            <v>1.8045</v>
          </cell>
          <cell r="U104">
            <v>1.80932</v>
          </cell>
          <cell r="V104">
            <v>1.81879</v>
          </cell>
          <cell r="W104">
            <v>1.81998</v>
          </cell>
          <cell r="X104">
            <v>1.83043</v>
          </cell>
          <cell r="Y104">
            <v>1.84042</v>
          </cell>
          <cell r="Z104">
            <v>1.85837</v>
          </cell>
          <cell r="AA104">
            <v>3.1675661</v>
          </cell>
          <cell r="AB104">
            <v>-0.0161881168</v>
          </cell>
          <cell r="AC104">
            <v>0.0286160893</v>
          </cell>
          <cell r="AD104">
            <v>0.0016004112</v>
          </cell>
          <cell r="AE104">
            <v>-0.000114233104</v>
          </cell>
          <cell r="AF104">
            <v>9.92280713e-6</v>
          </cell>
          <cell r="AG104">
            <v>0.296059113300496</v>
          </cell>
          <cell r="AH104">
            <v>0.237438423645323</v>
          </cell>
          <cell r="AI104">
            <v>0.57339901477833</v>
          </cell>
          <cell r="AJ104">
            <v>0.246715328467151</v>
          </cell>
          <cell r="AK104">
            <v>0.234549878345503</v>
          </cell>
          <cell r="AL104">
            <v>0.508515815085165</v>
          </cell>
          <cell r="AM104">
            <v>-0.001816256945819</v>
          </cell>
          <cell r="AN104">
            <v>-0.00435894522166973</v>
          </cell>
          <cell r="AO104">
            <v>0.0160804220689569</v>
          </cell>
          <cell r="AP104">
            <v>0.00692705418719186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1</v>
          </cell>
          <cell r="CT104">
            <v>3</v>
          </cell>
          <cell r="CU104">
            <v>1</v>
          </cell>
          <cell r="CV104">
            <v>3</v>
          </cell>
          <cell r="CW104">
            <v>1</v>
          </cell>
          <cell r="CX104">
            <v>1</v>
          </cell>
          <cell r="CY104">
            <v>0</v>
          </cell>
          <cell r="CZ104">
            <v>0</v>
          </cell>
          <cell r="DA104">
            <v>585</v>
          </cell>
          <cell r="DB104">
            <v>625</v>
          </cell>
          <cell r="DC104">
            <v>533</v>
          </cell>
          <cell r="DD104">
            <v>568</v>
          </cell>
          <cell r="DE104">
            <v>55</v>
          </cell>
          <cell r="DF104">
            <v>0</v>
          </cell>
          <cell r="DG104">
            <v>70</v>
          </cell>
          <cell r="DH104">
            <v>0</v>
          </cell>
          <cell r="DI104">
            <v>180</v>
          </cell>
          <cell r="DJ104">
            <v>0</v>
          </cell>
          <cell r="DK104">
            <v>664</v>
          </cell>
          <cell r="DL104">
            <v>76</v>
          </cell>
          <cell r="DM104">
            <v>11842</v>
          </cell>
          <cell r="DN104">
            <v>4597</v>
          </cell>
          <cell r="DO104">
            <v>0.288</v>
          </cell>
          <cell r="DP104">
            <v>0</v>
          </cell>
          <cell r="DQ104" t="str">
            <v>410/350</v>
          </cell>
          <cell r="DR104">
            <v>378</v>
          </cell>
          <cell r="DS104">
            <v>347</v>
          </cell>
          <cell r="DT104">
            <v>4.26</v>
          </cell>
          <cell r="DU104">
            <v>0.825</v>
          </cell>
          <cell r="DV104">
            <v>0.95</v>
          </cell>
          <cell r="DW104">
            <v>0.99</v>
          </cell>
          <cell r="DX104">
            <v>0.998</v>
          </cell>
          <cell r="DY104">
            <v>0.998</v>
          </cell>
          <cell r="DZ104">
            <v>0.998</v>
          </cell>
          <cell r="EA104">
            <v>0.998</v>
          </cell>
          <cell r="EB104">
            <v>0.998</v>
          </cell>
          <cell r="EC104">
            <v>0.998</v>
          </cell>
          <cell r="ED104">
            <v>0.998</v>
          </cell>
          <cell r="EE104">
            <v>0.998</v>
          </cell>
          <cell r="EF104">
            <v>0.998</v>
          </cell>
          <cell r="EG104">
            <v>0.998</v>
          </cell>
          <cell r="EH104">
            <v>0.998</v>
          </cell>
          <cell r="EI104">
            <v>0.998</v>
          </cell>
          <cell r="EJ104">
            <v>0.998</v>
          </cell>
          <cell r="EK104">
            <v>0.998</v>
          </cell>
          <cell r="EL104">
            <v>0.995</v>
          </cell>
          <cell r="EM104">
            <v>0.991</v>
          </cell>
          <cell r="EN104">
            <v>0.986</v>
          </cell>
          <cell r="EO104">
            <v>0.981</v>
          </cell>
          <cell r="EP104">
            <v>0.975</v>
          </cell>
          <cell r="EQ104">
            <v>0.967</v>
          </cell>
          <cell r="ER104">
            <v>0.951</v>
          </cell>
          <cell r="ES104">
            <v>0.933</v>
          </cell>
          <cell r="ET104">
            <v>0.899</v>
          </cell>
          <cell r="EU104">
            <v>0.825</v>
          </cell>
          <cell r="EV104">
            <v>0.655</v>
          </cell>
          <cell r="EW104">
            <v>0.333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0.681</v>
          </cell>
          <cell r="FF104">
            <v>0.903</v>
          </cell>
          <cell r="FG104">
            <v>0.98</v>
          </cell>
          <cell r="FH104">
            <v>0.996</v>
          </cell>
          <cell r="FI104">
            <v>0.996</v>
          </cell>
          <cell r="FJ104">
            <v>0.996</v>
          </cell>
          <cell r="FK104">
            <v>0.996</v>
          </cell>
          <cell r="FL104">
            <v>0.996</v>
          </cell>
          <cell r="FM104">
            <v>0.996</v>
          </cell>
          <cell r="FN104">
            <v>0.996</v>
          </cell>
          <cell r="FO104">
            <v>0.996</v>
          </cell>
          <cell r="FP104">
            <v>0.996</v>
          </cell>
          <cell r="FQ104">
            <v>0.996</v>
          </cell>
          <cell r="FR104">
            <v>0.996</v>
          </cell>
          <cell r="FS104">
            <v>0.996</v>
          </cell>
          <cell r="FT104">
            <v>0.996</v>
          </cell>
          <cell r="FU104">
            <v>0.996</v>
          </cell>
          <cell r="FV104">
            <v>0.99</v>
          </cell>
          <cell r="FW104">
            <v>0.984</v>
          </cell>
          <cell r="FX104">
            <v>0.978</v>
          </cell>
          <cell r="FY104">
            <v>0.972</v>
          </cell>
          <cell r="FZ104">
            <v>0.96</v>
          </cell>
          <cell r="GA104">
            <v>0.944</v>
          </cell>
          <cell r="GB104">
            <v>0.911</v>
          </cell>
          <cell r="GC104">
            <v>0.875</v>
          </cell>
          <cell r="GD104">
            <v>0.811</v>
          </cell>
          <cell r="GE104">
            <v>0.681</v>
          </cell>
          <cell r="GF104">
            <v>0.427</v>
          </cell>
          <cell r="GG104">
            <v>0.107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</row>
        <row r="105">
          <cell r="B105" t="str">
            <v>H-ZLaF52</v>
          </cell>
          <cell r="C105">
            <v>806410</v>
          </cell>
          <cell r="D105">
            <v>40.95</v>
          </cell>
          <cell r="E105">
            <v>40.69</v>
          </cell>
          <cell r="F105">
            <v>0.019686</v>
          </cell>
          <cell r="G105">
            <v>0.019924</v>
          </cell>
          <cell r="H105">
            <v>1.75948</v>
          </cell>
          <cell r="I105">
            <v>1.76685</v>
          </cell>
          <cell r="J105">
            <v>1.77506</v>
          </cell>
          <cell r="K105">
            <v>1.78274</v>
          </cell>
          <cell r="L105">
            <v>1.78543</v>
          </cell>
          <cell r="M105">
            <v>1.7903</v>
          </cell>
          <cell r="N105">
            <v>1.79376</v>
          </cell>
          <cell r="O105">
            <v>1.79699</v>
          </cell>
          <cell r="P105">
            <v>1.80025</v>
          </cell>
          <cell r="Q105">
            <v>1.80117</v>
          </cell>
          <cell r="R105">
            <v>1.80204</v>
          </cell>
          <cell r="S105">
            <v>1.80592</v>
          </cell>
          <cell r="T105">
            <v>1.8061</v>
          </cell>
          <cell r="U105">
            <v>1.81077</v>
          </cell>
          <cell r="V105">
            <v>1.81994</v>
          </cell>
          <cell r="W105">
            <v>1.8211</v>
          </cell>
          <cell r="X105">
            <v>1.83112</v>
          </cell>
          <cell r="Y105">
            <v>1.84069</v>
          </cell>
          <cell r="Z105">
            <v>1.85767</v>
          </cell>
          <cell r="AA105">
            <v>3.17490239</v>
          </cell>
          <cell r="AB105">
            <v>-0.0156120621</v>
          </cell>
          <cell r="AC105">
            <v>0.028480108</v>
          </cell>
          <cell r="AD105">
            <v>0.00138932793</v>
          </cell>
          <cell r="AE105">
            <v>-9.1262591e-5</v>
          </cell>
          <cell r="AF105">
            <v>7.77598184e-6</v>
          </cell>
          <cell r="AG105">
            <v>0.297105129507371</v>
          </cell>
          <cell r="AH105">
            <v>0.237176231589637</v>
          </cell>
          <cell r="AI105">
            <v>0.567800914169639</v>
          </cell>
          <cell r="AJ105">
            <v>0.247365780230813</v>
          </cell>
          <cell r="AK105">
            <v>0.234320120421473</v>
          </cell>
          <cell r="AL105">
            <v>0.502759658805827</v>
          </cell>
          <cell r="AM105">
            <v>-0.00187696109700827</v>
          </cell>
          <cell r="AN105">
            <v>-0.00778113583036065</v>
          </cell>
          <cell r="AO105">
            <v>0.0141226280853146</v>
          </cell>
          <cell r="AP105">
            <v>0.00665265617064052</v>
          </cell>
          <cell r="AQ105">
            <v>5.1</v>
          </cell>
          <cell r="AR105">
            <v>5.1</v>
          </cell>
          <cell r="AS105">
            <v>5.1</v>
          </cell>
          <cell r="AT105">
            <v>5.2</v>
          </cell>
          <cell r="AU105">
            <v>5.3</v>
          </cell>
          <cell r="AV105">
            <v>5.5</v>
          </cell>
          <cell r="AW105">
            <v>5.9</v>
          </cell>
          <cell r="AX105">
            <v>5.9</v>
          </cell>
          <cell r="AY105">
            <v>6</v>
          </cell>
          <cell r="AZ105">
            <v>6</v>
          </cell>
          <cell r="BA105">
            <v>6.2</v>
          </cell>
          <cell r="BB105">
            <v>6.4</v>
          </cell>
          <cell r="BC105">
            <v>6</v>
          </cell>
          <cell r="BD105">
            <v>5.9</v>
          </cell>
          <cell r="BE105">
            <v>6</v>
          </cell>
          <cell r="BF105">
            <v>6.1</v>
          </cell>
          <cell r="BG105">
            <v>6.3</v>
          </cell>
          <cell r="BH105">
            <v>6.4</v>
          </cell>
          <cell r="BI105">
            <v>6.2</v>
          </cell>
          <cell r="BJ105">
            <v>6.2</v>
          </cell>
          <cell r="BK105">
            <v>6.3</v>
          </cell>
          <cell r="BL105">
            <v>6.4</v>
          </cell>
          <cell r="BM105">
            <v>6.5</v>
          </cell>
          <cell r="BN105">
            <v>6.7</v>
          </cell>
          <cell r="BO105">
            <v>6.5</v>
          </cell>
          <cell r="BP105">
            <v>6.5</v>
          </cell>
          <cell r="BQ105">
            <v>6.6</v>
          </cell>
          <cell r="BR105">
            <v>6.7</v>
          </cell>
          <cell r="BS105">
            <v>6.9</v>
          </cell>
          <cell r="BT105">
            <v>7.1</v>
          </cell>
          <cell r="BU105">
            <v>7.2</v>
          </cell>
          <cell r="BV105">
            <v>7.2</v>
          </cell>
          <cell r="BW105">
            <v>7.3</v>
          </cell>
          <cell r="BX105">
            <v>7.5</v>
          </cell>
          <cell r="BY105">
            <v>7.7</v>
          </cell>
          <cell r="BZ105">
            <v>7.9</v>
          </cell>
          <cell r="CA105">
            <v>7.9</v>
          </cell>
          <cell r="CB105">
            <v>8</v>
          </cell>
          <cell r="CC105">
            <v>8.1</v>
          </cell>
          <cell r="CD105">
            <v>8.3</v>
          </cell>
          <cell r="CE105">
            <v>8.6</v>
          </cell>
          <cell r="CF105">
            <v>8.8</v>
          </cell>
          <cell r="CG105">
            <v>3.5</v>
          </cell>
          <cell r="CH105">
            <v>3.9</v>
          </cell>
          <cell r="CI105">
            <v>4.2</v>
          </cell>
          <cell r="CJ105">
            <v>4.5</v>
          </cell>
          <cell r="CK105">
            <v>4.9</v>
          </cell>
          <cell r="CL105">
            <v>5.2</v>
          </cell>
          <cell r="CM105">
            <v>5.17697648941842e-6</v>
          </cell>
          <cell r="CN105">
            <v>1.11815689718876e-8</v>
          </cell>
          <cell r="CO105">
            <v>-3.36131997346933e-12</v>
          </cell>
          <cell r="CP105">
            <v>6.16816025062301e-7</v>
          </cell>
          <cell r="CQ105">
            <v>7.432720719629e-10</v>
          </cell>
          <cell r="CR105">
            <v>0.255402745972007</v>
          </cell>
          <cell r="CS105">
            <v>1</v>
          </cell>
          <cell r="CT105">
            <v>3</v>
          </cell>
          <cell r="CU105">
            <v>1</v>
          </cell>
          <cell r="CV105">
            <v>3</v>
          </cell>
          <cell r="CW105">
            <v>1</v>
          </cell>
          <cell r="CX105">
            <v>2</v>
          </cell>
          <cell r="CY105">
            <v>0</v>
          </cell>
          <cell r="CZ105">
            <v>0</v>
          </cell>
          <cell r="DA105">
            <v>622</v>
          </cell>
          <cell r="DB105">
            <v>659</v>
          </cell>
          <cell r="DC105">
            <v>590</v>
          </cell>
          <cell r="DD105">
            <v>613</v>
          </cell>
          <cell r="DE105">
            <v>54</v>
          </cell>
          <cell r="DF105">
            <v>0</v>
          </cell>
          <cell r="DG105">
            <v>64</v>
          </cell>
          <cell r="DH105">
            <v>0</v>
          </cell>
          <cell r="DI105">
            <v>175</v>
          </cell>
          <cell r="DJ105">
            <v>0</v>
          </cell>
          <cell r="DK105">
            <v>651</v>
          </cell>
          <cell r="DL105">
            <v>76</v>
          </cell>
          <cell r="DM105">
            <v>11434</v>
          </cell>
          <cell r="DN105">
            <v>4404</v>
          </cell>
          <cell r="DO105">
            <v>0.298</v>
          </cell>
          <cell r="DP105" t="str">
            <v> 1.96</v>
          </cell>
          <cell r="DQ105" t="str">
            <v>400/340</v>
          </cell>
          <cell r="DR105">
            <v>368</v>
          </cell>
          <cell r="DS105">
            <v>339</v>
          </cell>
          <cell r="DT105">
            <v>4.35</v>
          </cell>
          <cell r="DU105">
            <v>0.8</v>
          </cell>
          <cell r="DV105">
            <v>0.93</v>
          </cell>
          <cell r="DW105">
            <v>0.992</v>
          </cell>
          <cell r="DX105">
            <v>0.999</v>
          </cell>
          <cell r="DY105">
            <v>0.999</v>
          </cell>
          <cell r="DZ105">
            <v>0.999</v>
          </cell>
          <cell r="EA105">
            <v>0.999</v>
          </cell>
          <cell r="EB105">
            <v>0.999</v>
          </cell>
          <cell r="EC105">
            <v>0.999</v>
          </cell>
          <cell r="ED105">
            <v>0.999</v>
          </cell>
          <cell r="EE105">
            <v>0.999</v>
          </cell>
          <cell r="EF105">
            <v>0.999</v>
          </cell>
          <cell r="EG105">
            <v>0.999</v>
          </cell>
          <cell r="EH105">
            <v>0.999</v>
          </cell>
          <cell r="EI105">
            <v>0.999</v>
          </cell>
          <cell r="EJ105">
            <v>0.999</v>
          </cell>
          <cell r="EK105">
            <v>0.999</v>
          </cell>
          <cell r="EL105">
            <v>0.999</v>
          </cell>
          <cell r="EM105">
            <v>0.999</v>
          </cell>
          <cell r="EN105">
            <v>0.997</v>
          </cell>
          <cell r="EO105">
            <v>0.995</v>
          </cell>
          <cell r="EP105">
            <v>0.992</v>
          </cell>
          <cell r="EQ105">
            <v>0.986</v>
          </cell>
          <cell r="ER105">
            <v>0.981</v>
          </cell>
          <cell r="ES105">
            <v>0.975</v>
          </cell>
          <cell r="ET105">
            <v>0.953</v>
          </cell>
          <cell r="EU105">
            <v>0.91</v>
          </cell>
          <cell r="EV105">
            <v>0.817</v>
          </cell>
          <cell r="EW105">
            <v>0.616</v>
          </cell>
          <cell r="EX105">
            <v>0.27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0.64</v>
          </cell>
          <cell r="FF105">
            <v>0.865</v>
          </cell>
          <cell r="FG105">
            <v>0.984</v>
          </cell>
          <cell r="FH105">
            <v>0.998</v>
          </cell>
          <cell r="FI105">
            <v>0.998</v>
          </cell>
          <cell r="FJ105">
            <v>0.998</v>
          </cell>
          <cell r="FK105">
            <v>0.998</v>
          </cell>
          <cell r="FL105">
            <v>0.998</v>
          </cell>
          <cell r="FM105">
            <v>0.998</v>
          </cell>
          <cell r="FN105">
            <v>0.998</v>
          </cell>
          <cell r="FO105">
            <v>0.998</v>
          </cell>
          <cell r="FP105">
            <v>0.998</v>
          </cell>
          <cell r="FQ105">
            <v>0.998</v>
          </cell>
          <cell r="FR105">
            <v>0.998</v>
          </cell>
          <cell r="FS105">
            <v>0.998</v>
          </cell>
          <cell r="FT105">
            <v>0.998</v>
          </cell>
          <cell r="FU105">
            <v>0.998</v>
          </cell>
          <cell r="FV105">
            <v>0.998</v>
          </cell>
          <cell r="FW105">
            <v>0.998</v>
          </cell>
          <cell r="FX105">
            <v>0.995</v>
          </cell>
          <cell r="FY105">
            <v>0.992</v>
          </cell>
          <cell r="FZ105">
            <v>0.985</v>
          </cell>
          <cell r="GA105">
            <v>0.976</v>
          </cell>
          <cell r="GB105">
            <v>0.953</v>
          </cell>
          <cell r="GC105">
            <v>0.928</v>
          </cell>
          <cell r="GD105">
            <v>0.885</v>
          </cell>
          <cell r="GE105">
            <v>0.804</v>
          </cell>
          <cell r="GF105">
            <v>0.644</v>
          </cell>
          <cell r="GG105">
            <v>0.364</v>
          </cell>
          <cell r="GH105">
            <v>0.071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</row>
        <row r="106">
          <cell r="B106" t="str">
            <v>H-ZLaF53</v>
          </cell>
          <cell r="C106">
            <v>834373</v>
          </cell>
          <cell r="D106">
            <v>37.34</v>
          </cell>
          <cell r="E106">
            <v>37.09</v>
          </cell>
          <cell r="F106">
            <v>0.022333</v>
          </cell>
          <cell r="G106">
            <v>0.022629</v>
          </cell>
          <cell r="H106">
            <v>1.78596</v>
          </cell>
          <cell r="I106">
            <v>1.79278</v>
          </cell>
          <cell r="J106">
            <v>1.80056</v>
          </cell>
          <cell r="K106">
            <v>1.80829</v>
          </cell>
          <cell r="L106">
            <v>1.81113</v>
          </cell>
          <cell r="M106">
            <v>1.81639</v>
          </cell>
          <cell r="N106">
            <v>1.82019</v>
          </cell>
          <cell r="O106">
            <v>1.82376</v>
          </cell>
          <cell r="P106">
            <v>1.82742</v>
          </cell>
          <cell r="Q106">
            <v>1.82845</v>
          </cell>
          <cell r="R106">
            <v>1.82942</v>
          </cell>
          <cell r="S106">
            <v>1.83381</v>
          </cell>
          <cell r="T106">
            <v>1.834</v>
          </cell>
          <cell r="U106">
            <v>1.8393</v>
          </cell>
          <cell r="V106">
            <v>1.84975</v>
          </cell>
          <cell r="W106">
            <v>1.85108</v>
          </cell>
          <cell r="X106">
            <v>1.86275</v>
          </cell>
          <cell r="Y106">
            <v>1.87398</v>
          </cell>
          <cell r="Z106">
            <v>1.89424</v>
          </cell>
          <cell r="AA106">
            <v>3.26066843</v>
          </cell>
          <cell r="AB106">
            <v>-0.0143061602</v>
          </cell>
          <cell r="AC106">
            <v>0.0342503276</v>
          </cell>
          <cell r="AD106">
            <v>0.000945194718</v>
          </cell>
          <cell r="AE106">
            <v>1.66625589e-5</v>
          </cell>
          <cell r="AF106">
            <v>3.78744906e-6</v>
          </cell>
          <cell r="AG106">
            <v>0.294670846394986</v>
          </cell>
          <cell r="AH106">
            <v>0.237348858038507</v>
          </cell>
          <cell r="AI106">
            <v>0.582176444245406</v>
          </cell>
          <cell r="AJ106">
            <v>0.245249668581535</v>
          </cell>
          <cell r="AK106">
            <v>0.234202386212984</v>
          </cell>
          <cell r="AL106">
            <v>0.515687140963313</v>
          </cell>
          <cell r="AM106">
            <v>-0.00160802443349358</v>
          </cell>
          <cell r="AN106">
            <v>0.000598184245406433</v>
          </cell>
          <cell r="AO106">
            <v>0.00846222744290939</v>
          </cell>
          <cell r="AP106">
            <v>0.00393832154053361</v>
          </cell>
          <cell r="AQ106">
            <v>7.6</v>
          </cell>
          <cell r="AR106">
            <v>7.6</v>
          </cell>
          <cell r="AS106">
            <v>7.7</v>
          </cell>
          <cell r="AT106">
            <v>7.7</v>
          </cell>
          <cell r="AU106">
            <v>7.8</v>
          </cell>
          <cell r="AV106">
            <v>8</v>
          </cell>
          <cell r="AW106">
            <v>8.6</v>
          </cell>
          <cell r="AX106">
            <v>8.7</v>
          </cell>
          <cell r="AY106">
            <v>8.8</v>
          </cell>
          <cell r="AZ106">
            <v>8.9</v>
          </cell>
          <cell r="BA106">
            <v>9</v>
          </cell>
          <cell r="BB106">
            <v>9.3</v>
          </cell>
          <cell r="BC106">
            <v>8.7</v>
          </cell>
          <cell r="BD106">
            <v>8.8</v>
          </cell>
          <cell r="BE106">
            <v>8.8</v>
          </cell>
          <cell r="BF106">
            <v>8.9</v>
          </cell>
          <cell r="BG106">
            <v>9.1</v>
          </cell>
          <cell r="BH106">
            <v>9.3</v>
          </cell>
          <cell r="BI106">
            <v>9</v>
          </cell>
          <cell r="BJ106">
            <v>9.1</v>
          </cell>
          <cell r="BK106">
            <v>9.2</v>
          </cell>
          <cell r="BL106">
            <v>9.3</v>
          </cell>
          <cell r="BM106">
            <v>9.5</v>
          </cell>
          <cell r="BN106">
            <v>9.7</v>
          </cell>
          <cell r="BO106">
            <v>9.4</v>
          </cell>
          <cell r="BP106">
            <v>9.5</v>
          </cell>
          <cell r="BQ106">
            <v>9.6</v>
          </cell>
          <cell r="BR106">
            <v>9.7</v>
          </cell>
          <cell r="BS106">
            <v>9.9</v>
          </cell>
          <cell r="BT106">
            <v>10.2</v>
          </cell>
          <cell r="BU106">
            <v>10.3</v>
          </cell>
          <cell r="BV106">
            <v>10.5</v>
          </cell>
          <cell r="BW106">
            <v>10.7</v>
          </cell>
          <cell r="BX106">
            <v>10.8</v>
          </cell>
          <cell r="BY106">
            <v>11</v>
          </cell>
          <cell r="BZ106">
            <v>11.4</v>
          </cell>
          <cell r="CA106">
            <v>11.3</v>
          </cell>
          <cell r="CB106">
            <v>11.5</v>
          </cell>
          <cell r="CC106">
            <v>11.8</v>
          </cell>
          <cell r="CD106">
            <v>12</v>
          </cell>
          <cell r="CE106">
            <v>12.2</v>
          </cell>
          <cell r="CF106">
            <v>12.6</v>
          </cell>
          <cell r="CG106">
            <v>6.2</v>
          </cell>
          <cell r="CH106">
            <v>6.6</v>
          </cell>
          <cell r="CI106">
            <v>7</v>
          </cell>
          <cell r="CJ106">
            <v>7.3</v>
          </cell>
          <cell r="CK106">
            <v>7.7</v>
          </cell>
          <cell r="CL106">
            <v>8.1</v>
          </cell>
          <cell r="CM106">
            <v>8.41e-6</v>
          </cell>
          <cell r="CN106">
            <v>1.17e-8</v>
          </cell>
          <cell r="CO106">
            <v>-2.13e-12</v>
          </cell>
          <cell r="CP106">
            <v>9.77e-7</v>
          </cell>
          <cell r="CQ106">
            <v>1.1537e-9</v>
          </cell>
          <cell r="CR106">
            <v>0.21</v>
          </cell>
          <cell r="CS106">
            <v>1</v>
          </cell>
          <cell r="CT106">
            <v>3</v>
          </cell>
          <cell r="CU106">
            <v>1</v>
          </cell>
          <cell r="CV106">
            <v>3</v>
          </cell>
          <cell r="CW106">
            <v>1</v>
          </cell>
          <cell r="CX106">
            <v>1</v>
          </cell>
          <cell r="CY106">
            <v>0</v>
          </cell>
          <cell r="CZ106">
            <v>0</v>
          </cell>
          <cell r="DA106">
            <v>585</v>
          </cell>
          <cell r="DB106">
            <v>625</v>
          </cell>
          <cell r="DC106">
            <v>535</v>
          </cell>
          <cell r="DD106">
            <v>573</v>
          </cell>
          <cell r="DE106">
            <v>54</v>
          </cell>
          <cell r="DF106">
            <v>0</v>
          </cell>
          <cell r="DG106">
            <v>69</v>
          </cell>
          <cell r="DH106">
            <v>0</v>
          </cell>
          <cell r="DI106">
            <v>150</v>
          </cell>
          <cell r="DJ106">
            <v>0</v>
          </cell>
          <cell r="DK106">
            <v>631</v>
          </cell>
          <cell r="DL106">
            <v>80</v>
          </cell>
          <cell r="DM106">
            <v>11623</v>
          </cell>
          <cell r="DN106">
            <v>4488</v>
          </cell>
          <cell r="DO106">
            <v>0.295</v>
          </cell>
          <cell r="DP106">
            <v>2.25</v>
          </cell>
          <cell r="DQ106" t="str">
            <v>425/350</v>
          </cell>
          <cell r="DR106">
            <v>380</v>
          </cell>
          <cell r="DS106">
            <v>350</v>
          </cell>
          <cell r="DT106">
            <v>4.56</v>
          </cell>
          <cell r="DU106">
            <v>0.828</v>
          </cell>
          <cell r="DV106">
            <v>0.932</v>
          </cell>
          <cell r="DW106">
            <v>0.967</v>
          </cell>
          <cell r="DX106">
            <v>0.983</v>
          </cell>
          <cell r="DY106">
            <v>0.992</v>
          </cell>
          <cell r="DZ106">
            <v>0.999</v>
          </cell>
          <cell r="EA106">
            <v>0.999</v>
          </cell>
          <cell r="EB106">
            <v>0.999</v>
          </cell>
          <cell r="EC106">
            <v>0.999</v>
          </cell>
          <cell r="ED106">
            <v>0.999</v>
          </cell>
          <cell r="EE106">
            <v>0.999</v>
          </cell>
          <cell r="EF106">
            <v>0.999</v>
          </cell>
          <cell r="EG106">
            <v>0.999</v>
          </cell>
          <cell r="EH106">
            <v>0.999</v>
          </cell>
          <cell r="EI106">
            <v>0.999</v>
          </cell>
          <cell r="EJ106">
            <v>0.999</v>
          </cell>
          <cell r="EK106">
            <v>0.999</v>
          </cell>
          <cell r="EL106">
            <v>0.999</v>
          </cell>
          <cell r="EM106">
            <v>0.997</v>
          </cell>
          <cell r="EN106">
            <v>0.994</v>
          </cell>
          <cell r="EO106">
            <v>0.991</v>
          </cell>
          <cell r="EP106">
            <v>0.986</v>
          </cell>
          <cell r="EQ106">
            <v>0.983</v>
          </cell>
          <cell r="ER106">
            <v>0.964</v>
          </cell>
          <cell r="ES106">
            <v>0.942</v>
          </cell>
          <cell r="ET106">
            <v>0.901</v>
          </cell>
          <cell r="EU106">
            <v>0.809</v>
          </cell>
          <cell r="EV106">
            <v>0.605</v>
          </cell>
          <cell r="EW106">
            <v>0.25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0.685</v>
          </cell>
          <cell r="FF106">
            <v>0.864</v>
          </cell>
          <cell r="FG106">
            <v>0.933</v>
          </cell>
          <cell r="FH106">
            <v>0.962</v>
          </cell>
          <cell r="FI106">
            <v>0.98</v>
          </cell>
          <cell r="FJ106">
            <v>0.998</v>
          </cell>
          <cell r="FK106">
            <v>0.998</v>
          </cell>
          <cell r="FL106">
            <v>0.998</v>
          </cell>
          <cell r="FM106">
            <v>0.998</v>
          </cell>
          <cell r="FN106">
            <v>0.998</v>
          </cell>
          <cell r="FO106">
            <v>0.998</v>
          </cell>
          <cell r="FP106">
            <v>0.998</v>
          </cell>
          <cell r="FQ106">
            <v>0.998</v>
          </cell>
          <cell r="FR106">
            <v>0.998</v>
          </cell>
          <cell r="FS106">
            <v>0.996</v>
          </cell>
          <cell r="FT106">
            <v>0.995</v>
          </cell>
          <cell r="FU106">
            <v>0.995</v>
          </cell>
          <cell r="FV106">
            <v>0.994</v>
          </cell>
          <cell r="FW106">
            <v>0.989</v>
          </cell>
          <cell r="FX106">
            <v>0.984</v>
          </cell>
          <cell r="FY106">
            <v>0.977</v>
          </cell>
          <cell r="FZ106">
            <v>0.967</v>
          </cell>
          <cell r="GA106">
            <v>0.952</v>
          </cell>
          <cell r="GB106">
            <v>0.913</v>
          </cell>
          <cell r="GC106">
            <v>0.871</v>
          </cell>
          <cell r="GD106">
            <v>0.792</v>
          </cell>
          <cell r="GE106">
            <v>0.633</v>
          </cell>
          <cell r="GF106">
            <v>0.343</v>
          </cell>
          <cell r="GG106">
            <v>0.057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</row>
        <row r="107">
          <cell r="B107" t="str">
            <v>H-ZLaF54</v>
          </cell>
          <cell r="C107">
            <v>816466</v>
          </cell>
          <cell r="D107">
            <v>46.55</v>
          </cell>
          <cell r="E107">
            <v>46.33</v>
          </cell>
          <cell r="F107">
            <v>0.017528</v>
          </cell>
          <cell r="G107">
            <v>0.017704</v>
          </cell>
          <cell r="H107">
            <v>1.77344</v>
          </cell>
          <cell r="I107">
            <v>1.78023</v>
          </cell>
          <cell r="J107">
            <v>1.78779</v>
          </cell>
          <cell r="K107">
            <v>1.79484</v>
          </cell>
          <cell r="L107">
            <v>1.79729</v>
          </cell>
          <cell r="M107">
            <v>1.80174</v>
          </cell>
          <cell r="N107">
            <v>1.80487</v>
          </cell>
          <cell r="O107">
            <v>1.8078</v>
          </cell>
          <cell r="P107">
            <v>1.81074</v>
          </cell>
          <cell r="Q107">
            <v>1.81157</v>
          </cell>
          <cell r="R107">
            <v>1.81235</v>
          </cell>
          <cell r="S107">
            <v>1.81584</v>
          </cell>
          <cell r="T107">
            <v>1.816</v>
          </cell>
          <cell r="U107">
            <v>1.82017</v>
          </cell>
          <cell r="V107">
            <v>1.82827</v>
          </cell>
          <cell r="W107">
            <v>1.82928</v>
          </cell>
          <cell r="X107">
            <v>1.838</v>
          </cell>
          <cell r="Y107">
            <v>1.84618</v>
          </cell>
          <cell r="Z107">
            <v>1.86037</v>
          </cell>
          <cell r="AA107">
            <v>3.21873957</v>
          </cell>
          <cell r="AB107">
            <v>-0.0145164245</v>
          </cell>
          <cell r="AC107">
            <v>0.0260917155</v>
          </cell>
          <cell r="AD107">
            <v>0.00126701532</v>
          </cell>
          <cell r="AE107">
            <v>-0.000106020539</v>
          </cell>
          <cell r="AF107">
            <v>6.86627719e-6</v>
          </cell>
          <cell r="AG107">
            <v>0.300057045065603</v>
          </cell>
          <cell r="AH107">
            <v>0.237877923559612</v>
          </cell>
          <cell r="AI107">
            <v>0.555048488305761</v>
          </cell>
          <cell r="AJ107">
            <v>0.250141163184649</v>
          </cell>
          <cell r="AK107">
            <v>0.23546019198193</v>
          </cell>
          <cell r="AL107">
            <v>0.492377188029362</v>
          </cell>
          <cell r="AM107">
            <v>-0.00243936862521537</v>
          </cell>
          <cell r="AN107">
            <v>-0.0112319616942389</v>
          </cell>
          <cell r="AO107">
            <v>0.00157483234454805</v>
          </cell>
          <cell r="AP107">
            <v>0.00128559041643445</v>
          </cell>
          <cell r="AQ107">
            <v>3.9</v>
          </cell>
          <cell r="AR107">
            <v>3.9</v>
          </cell>
          <cell r="AS107">
            <v>3.9</v>
          </cell>
          <cell r="AT107">
            <v>3.9</v>
          </cell>
          <cell r="AU107">
            <v>4</v>
          </cell>
          <cell r="AV107">
            <v>4.2</v>
          </cell>
          <cell r="AW107">
            <v>4.6</v>
          </cell>
          <cell r="AX107">
            <v>4.6</v>
          </cell>
          <cell r="AY107">
            <v>4.7</v>
          </cell>
          <cell r="AZ107">
            <v>4.7</v>
          </cell>
          <cell r="BA107">
            <v>4.8</v>
          </cell>
          <cell r="BB107">
            <v>4.9</v>
          </cell>
          <cell r="BC107">
            <v>4.7</v>
          </cell>
          <cell r="BD107">
            <v>4.7</v>
          </cell>
          <cell r="BE107">
            <v>4.7</v>
          </cell>
          <cell r="BF107">
            <v>4.7</v>
          </cell>
          <cell r="BG107">
            <v>4.8</v>
          </cell>
          <cell r="BH107">
            <v>5</v>
          </cell>
          <cell r="BI107">
            <v>4.9</v>
          </cell>
          <cell r="BJ107">
            <v>4.9</v>
          </cell>
          <cell r="BK107">
            <v>4.9</v>
          </cell>
          <cell r="BL107">
            <v>5</v>
          </cell>
          <cell r="BM107">
            <v>5</v>
          </cell>
          <cell r="BN107">
            <v>5.2</v>
          </cell>
          <cell r="BO107">
            <v>5.1</v>
          </cell>
          <cell r="BP107">
            <v>5.2</v>
          </cell>
          <cell r="BQ107">
            <v>5.2</v>
          </cell>
          <cell r="BR107">
            <v>5.2</v>
          </cell>
          <cell r="BS107">
            <v>5.3</v>
          </cell>
          <cell r="BT107">
            <v>5.5</v>
          </cell>
          <cell r="BU107">
            <v>5.7</v>
          </cell>
          <cell r="BV107">
            <v>5.8</v>
          </cell>
          <cell r="BW107">
            <v>5.8</v>
          </cell>
          <cell r="BX107">
            <v>5.9</v>
          </cell>
          <cell r="BY107">
            <v>6</v>
          </cell>
          <cell r="BZ107">
            <v>6.2</v>
          </cell>
          <cell r="CA107">
            <v>6.3</v>
          </cell>
          <cell r="CB107">
            <v>6.4</v>
          </cell>
          <cell r="CC107">
            <v>6.5</v>
          </cell>
          <cell r="CD107">
            <v>6.5</v>
          </cell>
          <cell r="CE107">
            <v>6.7</v>
          </cell>
          <cell r="CF107">
            <v>6.9</v>
          </cell>
          <cell r="CG107">
            <v>2.2</v>
          </cell>
          <cell r="CH107">
            <v>2.6</v>
          </cell>
          <cell r="CI107">
            <v>2.9</v>
          </cell>
          <cell r="CJ107">
            <v>3.2</v>
          </cell>
          <cell r="CK107">
            <v>3.4</v>
          </cell>
          <cell r="CL107">
            <v>3.7</v>
          </cell>
          <cell r="CM107">
            <v>2.99e-6</v>
          </cell>
          <cell r="CN107">
            <v>1.082e-8</v>
          </cell>
          <cell r="CO107">
            <v>-5.45e-12</v>
          </cell>
          <cell r="CP107">
            <v>6.75e-7</v>
          </cell>
          <cell r="CQ107">
            <v>4.875e-10</v>
          </cell>
          <cell r="CR107">
            <v>0.183</v>
          </cell>
          <cell r="CS107">
            <v>1</v>
          </cell>
          <cell r="CT107">
            <v>2</v>
          </cell>
          <cell r="CU107">
            <v>1</v>
          </cell>
          <cell r="CV107">
            <v>3</v>
          </cell>
          <cell r="CW107">
            <v>1</v>
          </cell>
          <cell r="CX107">
            <v>1</v>
          </cell>
          <cell r="CY107">
            <v>0</v>
          </cell>
          <cell r="CZ107">
            <v>0</v>
          </cell>
          <cell r="DA107">
            <v>696</v>
          </cell>
          <cell r="DB107">
            <v>732</v>
          </cell>
          <cell r="DC107">
            <v>643</v>
          </cell>
          <cell r="DD107">
            <v>662</v>
          </cell>
          <cell r="DE107">
            <v>62</v>
          </cell>
          <cell r="DF107">
            <v>0</v>
          </cell>
          <cell r="DG107">
            <v>75</v>
          </cell>
          <cell r="DH107">
            <v>0</v>
          </cell>
          <cell r="DI107">
            <v>140</v>
          </cell>
          <cell r="DJ107">
            <v>0</v>
          </cell>
          <cell r="DK107">
            <v>702</v>
          </cell>
          <cell r="DL107">
            <v>64</v>
          </cell>
          <cell r="DM107">
            <v>11623</v>
          </cell>
          <cell r="DN107">
            <v>4477</v>
          </cell>
          <cell r="DO107">
            <v>0.298</v>
          </cell>
          <cell r="DP107">
            <v>0</v>
          </cell>
          <cell r="DQ107" t="str">
            <v>380/290</v>
          </cell>
          <cell r="DR107">
            <v>342</v>
          </cell>
          <cell r="DS107">
            <v>291</v>
          </cell>
          <cell r="DT107">
            <v>5.04</v>
          </cell>
          <cell r="DU107">
            <v>0.888</v>
          </cell>
          <cell r="DV107">
            <v>0.98</v>
          </cell>
          <cell r="DW107">
            <v>0.992</v>
          </cell>
          <cell r="DX107">
            <v>0.999</v>
          </cell>
          <cell r="DY107">
            <v>0.999</v>
          </cell>
          <cell r="DZ107">
            <v>0.999</v>
          </cell>
          <cell r="EA107">
            <v>0.999</v>
          </cell>
          <cell r="EB107">
            <v>0.999</v>
          </cell>
          <cell r="EC107">
            <v>0.999</v>
          </cell>
          <cell r="ED107">
            <v>0.999</v>
          </cell>
          <cell r="EE107">
            <v>0.999</v>
          </cell>
          <cell r="EF107">
            <v>0.999</v>
          </cell>
          <cell r="EG107">
            <v>0.999</v>
          </cell>
          <cell r="EH107">
            <v>0.999</v>
          </cell>
          <cell r="EI107">
            <v>0.999</v>
          </cell>
          <cell r="EJ107">
            <v>0.999</v>
          </cell>
          <cell r="EK107">
            <v>0.999</v>
          </cell>
          <cell r="EL107">
            <v>0.999</v>
          </cell>
          <cell r="EM107">
            <v>0.999</v>
          </cell>
          <cell r="EN107">
            <v>0.999</v>
          </cell>
          <cell r="EO107">
            <v>0.998</v>
          </cell>
          <cell r="EP107">
            <v>0.997</v>
          </cell>
          <cell r="EQ107">
            <v>0.995</v>
          </cell>
          <cell r="ER107">
            <v>0.993</v>
          </cell>
          <cell r="ES107">
            <v>0.988</v>
          </cell>
          <cell r="ET107">
            <v>0.981</v>
          </cell>
          <cell r="EU107">
            <v>0.968</v>
          </cell>
          <cell r="EV107">
            <v>0.946</v>
          </cell>
          <cell r="EW107">
            <v>0.911</v>
          </cell>
          <cell r="EX107">
            <v>0.86</v>
          </cell>
          <cell r="EY107">
            <v>0.787</v>
          </cell>
          <cell r="EZ107">
            <v>0.691</v>
          </cell>
          <cell r="FA107">
            <v>0.51</v>
          </cell>
          <cell r="FB107">
            <v>0.403</v>
          </cell>
          <cell r="FC107">
            <v>0.222</v>
          </cell>
          <cell r="FD107">
            <v>0</v>
          </cell>
          <cell r="FE107">
            <v>0.789</v>
          </cell>
          <cell r="FF107">
            <v>0.96</v>
          </cell>
          <cell r="FG107">
            <v>0.984</v>
          </cell>
          <cell r="FH107">
            <v>0.998</v>
          </cell>
          <cell r="FI107">
            <v>0.998</v>
          </cell>
          <cell r="FJ107">
            <v>0.998</v>
          </cell>
          <cell r="FK107">
            <v>0.998</v>
          </cell>
          <cell r="FL107">
            <v>0.998</v>
          </cell>
          <cell r="FM107">
            <v>0.998</v>
          </cell>
          <cell r="FN107">
            <v>0.998</v>
          </cell>
          <cell r="FO107">
            <v>0.998</v>
          </cell>
          <cell r="FP107">
            <v>0.998</v>
          </cell>
          <cell r="FQ107">
            <v>0.998</v>
          </cell>
          <cell r="FR107">
            <v>0.998</v>
          </cell>
          <cell r="FS107">
            <v>0.998</v>
          </cell>
          <cell r="FT107">
            <v>0.998</v>
          </cell>
          <cell r="FU107">
            <v>0.998</v>
          </cell>
          <cell r="FV107">
            <v>0.998</v>
          </cell>
          <cell r="FW107">
            <v>0.998</v>
          </cell>
          <cell r="FX107">
            <v>0.998</v>
          </cell>
          <cell r="FY107">
            <v>0.996</v>
          </cell>
          <cell r="FZ107">
            <v>0.994</v>
          </cell>
          <cell r="GA107">
            <v>0.991</v>
          </cell>
          <cell r="GB107">
            <v>0.983</v>
          </cell>
          <cell r="GC107">
            <v>0.974</v>
          </cell>
          <cell r="GD107">
            <v>0.959</v>
          </cell>
          <cell r="GE107">
            <v>0.934</v>
          </cell>
          <cell r="GF107">
            <v>0.892</v>
          </cell>
          <cell r="GG107">
            <v>0.828</v>
          </cell>
          <cell r="GH107">
            <v>0.736</v>
          </cell>
          <cell r="GI107">
            <v>0.616</v>
          </cell>
          <cell r="GJ107">
            <v>0.473</v>
          </cell>
          <cell r="GK107">
            <v>0.259</v>
          </cell>
          <cell r="GL107">
            <v>0.158</v>
          </cell>
          <cell r="GM107">
            <v>0.048</v>
          </cell>
          <cell r="GN107">
            <v>0</v>
          </cell>
        </row>
        <row r="108">
          <cell r="B108" t="str">
            <v>H-ZLaF55F</v>
          </cell>
          <cell r="C108">
            <v>835427</v>
          </cell>
          <cell r="D108">
            <v>42.72</v>
          </cell>
          <cell r="E108">
            <v>42.49</v>
          </cell>
          <cell r="F108">
            <v>0.019541</v>
          </cell>
          <cell r="G108">
            <v>0.019757</v>
          </cell>
          <cell r="H108">
            <v>1.79048</v>
          </cell>
          <cell r="I108">
            <v>1.79707</v>
          </cell>
          <cell r="J108">
            <v>1.80452</v>
          </cell>
          <cell r="K108">
            <v>1.81175</v>
          </cell>
          <cell r="L108">
            <v>1.81435</v>
          </cell>
          <cell r="M108">
            <v>1.81912</v>
          </cell>
          <cell r="N108">
            <v>1.82253</v>
          </cell>
          <cell r="O108">
            <v>1.82573</v>
          </cell>
          <cell r="P108">
            <v>1.82897</v>
          </cell>
          <cell r="Q108">
            <v>1.82989</v>
          </cell>
          <cell r="R108">
            <v>1.83076</v>
          </cell>
          <cell r="S108">
            <v>1.83463</v>
          </cell>
          <cell r="T108">
            <v>1.83481</v>
          </cell>
          <cell r="U108">
            <v>1.83944</v>
          </cell>
          <cell r="V108">
            <v>1.84851</v>
          </cell>
          <cell r="W108">
            <v>1.84965</v>
          </cell>
          <cell r="X108">
            <v>1.85955</v>
          </cell>
          <cell r="Y108">
            <v>1.86893</v>
          </cell>
          <cell r="Z108">
            <v>1.88543</v>
          </cell>
          <cell r="AA108">
            <v>3.27602602</v>
          </cell>
          <cell r="AB108">
            <v>-0.0140174355</v>
          </cell>
          <cell r="AC108">
            <v>0.0301024097</v>
          </cell>
          <cell r="AD108">
            <v>0.00106953465</v>
          </cell>
          <cell r="AE108">
            <v>-5.08713944e-5</v>
          </cell>
          <cell r="AF108">
            <v>5.04484426e-6</v>
          </cell>
          <cell r="AG108">
            <v>0.29887410440123</v>
          </cell>
          <cell r="AH108">
            <v>0.236949846468776</v>
          </cell>
          <cell r="AI108">
            <v>0.564994882292726</v>
          </cell>
          <cell r="AJ108">
            <v>0.248987854251014</v>
          </cell>
          <cell r="AK108">
            <v>0.234311740890684</v>
          </cell>
          <cell r="AL108">
            <v>0.501012145748989</v>
          </cell>
          <cell r="AM108">
            <v>-0.00244251087000609</v>
          </cell>
          <cell r="AN108">
            <v>-0.00764719770727353</v>
          </cell>
          <cell r="AO108">
            <v>0.00108768245649912</v>
          </cell>
          <cell r="AP108">
            <v>0.00116616581370817</v>
          </cell>
          <cell r="AQ108">
            <v>2.9</v>
          </cell>
          <cell r="AR108">
            <v>2.9</v>
          </cell>
          <cell r="AS108">
            <v>2.8</v>
          </cell>
          <cell r="AT108">
            <v>2.7</v>
          </cell>
          <cell r="AU108">
            <v>2.7</v>
          </cell>
          <cell r="AV108">
            <v>2.9</v>
          </cell>
          <cell r="AW108">
            <v>3.6</v>
          </cell>
          <cell r="AX108">
            <v>3.6</v>
          </cell>
          <cell r="AY108">
            <v>3.6</v>
          </cell>
          <cell r="AZ108">
            <v>3.5</v>
          </cell>
          <cell r="BA108">
            <v>3.6</v>
          </cell>
          <cell r="BB108">
            <v>3.7</v>
          </cell>
          <cell r="BC108">
            <v>3.7</v>
          </cell>
          <cell r="BD108">
            <v>3.7</v>
          </cell>
          <cell r="BE108">
            <v>3.6</v>
          </cell>
          <cell r="BF108">
            <v>3.6</v>
          </cell>
          <cell r="BG108">
            <v>3.6</v>
          </cell>
          <cell r="BH108">
            <v>3.8</v>
          </cell>
          <cell r="BI108">
            <v>3.9</v>
          </cell>
          <cell r="BJ108">
            <v>3.9</v>
          </cell>
          <cell r="BK108">
            <v>3.9</v>
          </cell>
          <cell r="BL108">
            <v>3.8</v>
          </cell>
          <cell r="BM108">
            <v>3.9</v>
          </cell>
          <cell r="BN108">
            <v>4.1</v>
          </cell>
          <cell r="BO108">
            <v>4.2</v>
          </cell>
          <cell r="BP108">
            <v>4.2</v>
          </cell>
          <cell r="BQ108">
            <v>4.2</v>
          </cell>
          <cell r="BR108">
            <v>4.2</v>
          </cell>
          <cell r="BS108">
            <v>4.3</v>
          </cell>
          <cell r="BT108">
            <v>4.4</v>
          </cell>
          <cell r="BU108">
            <v>4.9</v>
          </cell>
          <cell r="BV108">
            <v>4.9</v>
          </cell>
          <cell r="BW108">
            <v>4.9</v>
          </cell>
          <cell r="BX108">
            <v>4.9</v>
          </cell>
          <cell r="BY108">
            <v>5</v>
          </cell>
          <cell r="BZ108">
            <v>5.2</v>
          </cell>
          <cell r="CA108">
            <v>5.5</v>
          </cell>
          <cell r="CB108">
            <v>5.6</v>
          </cell>
          <cell r="CC108">
            <v>5.7</v>
          </cell>
          <cell r="CD108">
            <v>5.7</v>
          </cell>
          <cell r="CE108">
            <v>5.8</v>
          </cell>
          <cell r="CF108">
            <v>6</v>
          </cell>
          <cell r="CG108">
            <v>1.2</v>
          </cell>
          <cell r="CH108">
            <v>1.6</v>
          </cell>
          <cell r="CI108">
            <v>1.8</v>
          </cell>
          <cell r="CJ108">
            <v>2</v>
          </cell>
          <cell r="CK108">
            <v>2.2</v>
          </cell>
          <cell r="CL108">
            <v>2.5</v>
          </cell>
          <cell r="CM108">
            <v>3.9e-7</v>
          </cell>
          <cell r="CN108">
            <v>8.41e-9</v>
          </cell>
          <cell r="CO108">
            <v>-2.12e-12</v>
          </cell>
          <cell r="CP108">
            <v>9.56e-7</v>
          </cell>
          <cell r="CQ108">
            <v>8.963e-10</v>
          </cell>
          <cell r="CR108">
            <v>0.13</v>
          </cell>
          <cell r="CS108">
            <v>1</v>
          </cell>
          <cell r="CT108">
            <v>1</v>
          </cell>
          <cell r="CU108">
            <v>1</v>
          </cell>
          <cell r="CV108">
            <v>3</v>
          </cell>
          <cell r="CW108">
            <v>1</v>
          </cell>
          <cell r="CX108">
            <v>1</v>
          </cell>
          <cell r="CY108">
            <v>0</v>
          </cell>
          <cell r="CZ108">
            <v>0</v>
          </cell>
          <cell r="DA108">
            <v>693</v>
          </cell>
          <cell r="DB108">
            <v>729</v>
          </cell>
          <cell r="DC108">
            <v>640</v>
          </cell>
          <cell r="DD108">
            <v>687</v>
          </cell>
          <cell r="DE108">
            <v>68</v>
          </cell>
          <cell r="DF108">
            <v>0</v>
          </cell>
          <cell r="DG108">
            <v>84</v>
          </cell>
          <cell r="DH108">
            <v>0</v>
          </cell>
          <cell r="DI108">
            <v>123</v>
          </cell>
          <cell r="DJ108">
            <v>0</v>
          </cell>
          <cell r="DK108">
            <v>679</v>
          </cell>
          <cell r="DL108">
            <v>69</v>
          </cell>
          <cell r="DM108">
            <v>11350</v>
          </cell>
          <cell r="DN108">
            <v>4365</v>
          </cell>
          <cell r="DO108">
            <v>0.3</v>
          </cell>
          <cell r="DP108">
            <v>0</v>
          </cell>
          <cell r="DQ108" t="str">
            <v>400/320</v>
          </cell>
          <cell r="DR108">
            <v>359</v>
          </cell>
          <cell r="DS108">
            <v>320</v>
          </cell>
          <cell r="DT108">
            <v>4.66</v>
          </cell>
          <cell r="DU108">
            <v>0.903</v>
          </cell>
          <cell r="DV108">
            <v>0.979</v>
          </cell>
          <cell r="DW108">
            <v>0.993</v>
          </cell>
          <cell r="DX108">
            <v>0.999</v>
          </cell>
          <cell r="DY108">
            <v>0.999</v>
          </cell>
          <cell r="DZ108">
            <v>0.999</v>
          </cell>
          <cell r="EA108">
            <v>0.999</v>
          </cell>
          <cell r="EB108">
            <v>0.999</v>
          </cell>
          <cell r="EC108">
            <v>0.999</v>
          </cell>
          <cell r="ED108">
            <v>0.999</v>
          </cell>
          <cell r="EE108">
            <v>0.999</v>
          </cell>
          <cell r="EF108">
            <v>0.999</v>
          </cell>
          <cell r="EG108">
            <v>0.999</v>
          </cell>
          <cell r="EH108">
            <v>0.999</v>
          </cell>
          <cell r="EI108">
            <v>0.999</v>
          </cell>
          <cell r="EJ108">
            <v>0.999</v>
          </cell>
          <cell r="EK108">
            <v>0.999</v>
          </cell>
          <cell r="EL108">
            <v>0.999</v>
          </cell>
          <cell r="EM108">
            <v>0.999</v>
          </cell>
          <cell r="EN108">
            <v>0.997</v>
          </cell>
          <cell r="EO108">
            <v>0.995</v>
          </cell>
          <cell r="EP108">
            <v>0.992</v>
          </cell>
          <cell r="EQ108">
            <v>0.987</v>
          </cell>
          <cell r="ER108">
            <v>0.981</v>
          </cell>
          <cell r="ES108">
            <v>0.974</v>
          </cell>
          <cell r="ET108">
            <v>0.961</v>
          </cell>
          <cell r="EU108">
            <v>0.934</v>
          </cell>
          <cell r="EV108">
            <v>0.897</v>
          </cell>
          <cell r="EW108">
            <v>0.829</v>
          </cell>
          <cell r="EX108">
            <v>0.726</v>
          </cell>
          <cell r="EY108">
            <v>0.544</v>
          </cell>
          <cell r="EZ108">
            <v>0.25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0.808</v>
          </cell>
          <cell r="FF108">
            <v>0.954</v>
          </cell>
          <cell r="FG108">
            <v>0.985</v>
          </cell>
          <cell r="FH108">
            <v>0.998</v>
          </cell>
          <cell r="FI108">
            <v>0.998</v>
          </cell>
          <cell r="FJ108">
            <v>0.998</v>
          </cell>
          <cell r="FK108">
            <v>0.998</v>
          </cell>
          <cell r="FL108">
            <v>0.998</v>
          </cell>
          <cell r="FM108">
            <v>0.998</v>
          </cell>
          <cell r="FN108">
            <v>0.998</v>
          </cell>
          <cell r="FO108">
            <v>0.998</v>
          </cell>
          <cell r="FP108">
            <v>0.998</v>
          </cell>
          <cell r="FQ108">
            <v>0.998</v>
          </cell>
          <cell r="FR108">
            <v>0.998</v>
          </cell>
          <cell r="FS108">
            <v>0.998</v>
          </cell>
          <cell r="FT108">
            <v>0.998</v>
          </cell>
          <cell r="FU108">
            <v>0.998</v>
          </cell>
          <cell r="FV108">
            <v>0.998</v>
          </cell>
          <cell r="FW108">
            <v>0.998</v>
          </cell>
          <cell r="FX108">
            <v>0.994</v>
          </cell>
          <cell r="FY108">
            <v>0.99</v>
          </cell>
          <cell r="FZ108">
            <v>0.984</v>
          </cell>
          <cell r="GA108">
            <v>0.972</v>
          </cell>
          <cell r="GB108">
            <v>0.957</v>
          </cell>
          <cell r="GC108">
            <v>0.938</v>
          </cell>
          <cell r="GD108">
            <v>0.911</v>
          </cell>
          <cell r="GE108">
            <v>0.866</v>
          </cell>
          <cell r="GF108">
            <v>0.801</v>
          </cell>
          <cell r="GG108">
            <v>0.681</v>
          </cell>
          <cell r="GH108">
            <v>0.522</v>
          </cell>
          <cell r="GI108">
            <v>0.29</v>
          </cell>
          <cell r="GJ108">
            <v>0.065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</row>
        <row r="109">
          <cell r="B109" t="str">
            <v>H-ZLaF56</v>
          </cell>
          <cell r="C109">
            <v>806333</v>
          </cell>
          <cell r="D109">
            <v>33.27</v>
          </cell>
          <cell r="E109">
            <v>33.03</v>
          </cell>
          <cell r="F109">
            <v>0.024229</v>
          </cell>
          <cell r="G109">
            <v>0.024579</v>
          </cell>
          <cell r="H109">
            <v>1.75788</v>
          </cell>
          <cell r="I109">
            <v>1.76418</v>
          </cell>
          <cell r="J109">
            <v>1.77151</v>
          </cell>
          <cell r="K109">
            <v>1.77906</v>
          </cell>
          <cell r="L109">
            <v>1.78192</v>
          </cell>
          <cell r="M109">
            <v>1.78735</v>
          </cell>
          <cell r="N109">
            <v>1.79134</v>
          </cell>
          <cell r="O109">
            <v>1.79512</v>
          </cell>
          <cell r="P109">
            <v>1.79902</v>
          </cell>
          <cell r="Q109">
            <v>1.80013</v>
          </cell>
          <cell r="R109">
            <v>1.80117</v>
          </cell>
          <cell r="S109">
            <v>1.80589</v>
          </cell>
          <cell r="T109">
            <v>1.8061</v>
          </cell>
          <cell r="U109">
            <v>1.81184</v>
          </cell>
          <cell r="V109">
            <v>1.82325</v>
          </cell>
          <cell r="W109">
            <v>1.82471</v>
          </cell>
          <cell r="X109">
            <v>1.8376</v>
          </cell>
          <cell r="Y109">
            <v>1.8502</v>
          </cell>
          <cell r="Z109">
            <v>1.87341</v>
          </cell>
          <cell r="AA109">
            <v>3.15298545</v>
          </cell>
          <cell r="AB109">
            <v>-0.0128281407</v>
          </cell>
          <cell r="AC109">
            <v>0.0350678569</v>
          </cell>
          <cell r="AD109">
            <v>0.00145594413</v>
          </cell>
          <cell r="AE109">
            <v>-4.44157215e-5</v>
          </cell>
          <cell r="AF109">
            <v>1.00656359e-5</v>
          </cell>
          <cell r="AG109">
            <v>0.29219975237309</v>
          </cell>
          <cell r="AH109">
            <v>0.236896409409817</v>
          </cell>
          <cell r="AI109">
            <v>0.592241023524551</v>
          </cell>
          <cell r="AJ109">
            <v>0.242880390561433</v>
          </cell>
          <cell r="AK109">
            <v>0.233523189585022</v>
          </cell>
          <cell r="AL109">
            <v>0.524410089503654</v>
          </cell>
          <cell r="AM109">
            <v>-0.000931121782907385</v>
          </cell>
          <cell r="AN109">
            <v>0.00390249352455137</v>
          </cell>
          <cell r="AO109">
            <v>0.00441027005365799</v>
          </cell>
          <cell r="AP109">
            <v>0.0013863375980224</v>
          </cell>
          <cell r="AQ109">
            <v>3.7</v>
          </cell>
          <cell r="AR109">
            <v>3.6</v>
          </cell>
          <cell r="AS109">
            <v>3.6</v>
          </cell>
          <cell r="AT109">
            <v>3.5</v>
          </cell>
          <cell r="AU109">
            <v>3.6</v>
          </cell>
          <cell r="AV109">
            <v>3.8</v>
          </cell>
          <cell r="AW109">
            <v>4.5</v>
          </cell>
          <cell r="AX109">
            <v>4.6</v>
          </cell>
          <cell r="AY109">
            <v>4.6</v>
          </cell>
          <cell r="AZ109">
            <v>4.6</v>
          </cell>
          <cell r="BA109">
            <v>4.7</v>
          </cell>
          <cell r="BB109">
            <v>4.9</v>
          </cell>
          <cell r="BC109">
            <v>4.6</v>
          </cell>
          <cell r="BD109">
            <v>4.7</v>
          </cell>
          <cell r="BE109">
            <v>4.7</v>
          </cell>
          <cell r="BF109">
            <v>4.7</v>
          </cell>
          <cell r="BG109">
            <v>4.8</v>
          </cell>
          <cell r="BH109">
            <v>5</v>
          </cell>
          <cell r="BI109">
            <v>4.9</v>
          </cell>
          <cell r="BJ109">
            <v>5</v>
          </cell>
          <cell r="BK109">
            <v>5</v>
          </cell>
          <cell r="BL109">
            <v>5</v>
          </cell>
          <cell r="BM109">
            <v>5.1</v>
          </cell>
          <cell r="BN109">
            <v>5.4</v>
          </cell>
          <cell r="BO109">
            <v>5.3</v>
          </cell>
          <cell r="BP109">
            <v>5.4</v>
          </cell>
          <cell r="BQ109">
            <v>5.4</v>
          </cell>
          <cell r="BR109">
            <v>5.4</v>
          </cell>
          <cell r="BS109">
            <v>5.6</v>
          </cell>
          <cell r="BT109">
            <v>5.9</v>
          </cell>
          <cell r="BU109">
            <v>6.2</v>
          </cell>
          <cell r="BV109">
            <v>6.4</v>
          </cell>
          <cell r="BW109">
            <v>6.5</v>
          </cell>
          <cell r="BX109">
            <v>6.6</v>
          </cell>
          <cell r="BY109">
            <v>6.8</v>
          </cell>
          <cell r="BZ109">
            <v>7.1</v>
          </cell>
          <cell r="CA109">
            <v>7.3</v>
          </cell>
          <cell r="CB109">
            <v>7.6</v>
          </cell>
          <cell r="CC109">
            <v>7.7</v>
          </cell>
          <cell r="CD109">
            <v>7.9</v>
          </cell>
          <cell r="CE109">
            <v>8.1</v>
          </cell>
          <cell r="CF109">
            <v>8.5</v>
          </cell>
          <cell r="CG109">
            <v>2.2</v>
          </cell>
          <cell r="CH109">
            <v>2.6</v>
          </cell>
          <cell r="CI109">
            <v>2.9</v>
          </cell>
          <cell r="CJ109">
            <v>3.1</v>
          </cell>
          <cell r="CK109">
            <v>3.4</v>
          </cell>
          <cell r="CL109">
            <v>3.8</v>
          </cell>
          <cell r="CM109">
            <v>2.15e-6</v>
          </cell>
          <cell r="CN109">
            <v>9.83e-9</v>
          </cell>
          <cell r="CO109">
            <v>1.205e-11</v>
          </cell>
          <cell r="CP109">
            <v>8.25e-7</v>
          </cell>
          <cell r="CQ109">
            <v>1.0967e-9</v>
          </cell>
          <cell r="CR109">
            <v>0.271</v>
          </cell>
          <cell r="CS109">
            <v>1</v>
          </cell>
          <cell r="CT109">
            <v>1</v>
          </cell>
          <cell r="CU109">
            <v>1</v>
          </cell>
          <cell r="CV109">
            <v>1</v>
          </cell>
          <cell r="CW109">
            <v>1</v>
          </cell>
          <cell r="CX109">
            <v>1</v>
          </cell>
          <cell r="CY109">
            <v>0</v>
          </cell>
          <cell r="CZ109">
            <v>0</v>
          </cell>
          <cell r="DA109">
            <v>631</v>
          </cell>
          <cell r="DB109">
            <v>691</v>
          </cell>
          <cell r="DC109">
            <v>582</v>
          </cell>
          <cell r="DD109">
            <v>614</v>
          </cell>
          <cell r="DE109">
            <v>71</v>
          </cell>
          <cell r="DF109">
            <v>0</v>
          </cell>
          <cell r="DG109">
            <v>89</v>
          </cell>
          <cell r="DH109">
            <v>0</v>
          </cell>
          <cell r="DI109">
            <v>150</v>
          </cell>
          <cell r="DJ109">
            <v>0</v>
          </cell>
          <cell r="DK109">
            <v>617</v>
          </cell>
          <cell r="DL109">
            <v>133</v>
          </cell>
          <cell r="DM109">
            <v>11174</v>
          </cell>
          <cell r="DN109">
            <v>4365</v>
          </cell>
          <cell r="DO109">
            <v>0.28</v>
          </cell>
          <cell r="DP109">
            <v>0</v>
          </cell>
          <cell r="DQ109" t="str">
            <v>430/355</v>
          </cell>
          <cell r="DR109">
            <v>383</v>
          </cell>
          <cell r="DS109">
            <v>354</v>
          </cell>
          <cell r="DT109">
            <v>3.56</v>
          </cell>
          <cell r="DU109">
            <v>0.963</v>
          </cell>
          <cell r="DV109">
            <v>0.986</v>
          </cell>
          <cell r="DW109">
            <v>0.998</v>
          </cell>
          <cell r="DX109">
            <v>0.998</v>
          </cell>
          <cell r="DY109">
            <v>0.998</v>
          </cell>
          <cell r="DZ109">
            <v>0.998</v>
          </cell>
          <cell r="EA109">
            <v>0.998</v>
          </cell>
          <cell r="EB109">
            <v>0.998</v>
          </cell>
          <cell r="EC109">
            <v>0.998</v>
          </cell>
          <cell r="ED109">
            <v>0.998</v>
          </cell>
          <cell r="EE109">
            <v>0.998</v>
          </cell>
          <cell r="EF109">
            <v>0.998</v>
          </cell>
          <cell r="EG109">
            <v>0.998</v>
          </cell>
          <cell r="EH109">
            <v>0.998</v>
          </cell>
          <cell r="EI109">
            <v>0.998</v>
          </cell>
          <cell r="EJ109">
            <v>0.998</v>
          </cell>
          <cell r="EK109">
            <v>0.998</v>
          </cell>
          <cell r="EL109">
            <v>0.996</v>
          </cell>
          <cell r="EM109">
            <v>0.991</v>
          </cell>
          <cell r="EN109">
            <v>0.989</v>
          </cell>
          <cell r="EO109">
            <v>0.986</v>
          </cell>
          <cell r="EP109">
            <v>0.981</v>
          </cell>
          <cell r="EQ109">
            <v>0.972</v>
          </cell>
          <cell r="ER109">
            <v>0.951</v>
          </cell>
          <cell r="ES109">
            <v>0.925</v>
          </cell>
          <cell r="ET109">
            <v>0.876</v>
          </cell>
          <cell r="EU109">
            <v>0.755</v>
          </cell>
          <cell r="EV109">
            <v>0.474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0.93</v>
          </cell>
          <cell r="FF109">
            <v>0.977</v>
          </cell>
          <cell r="FG109">
            <v>0.996</v>
          </cell>
          <cell r="FH109">
            <v>0.996</v>
          </cell>
          <cell r="FI109">
            <v>0.996</v>
          </cell>
          <cell r="FJ109">
            <v>0.996</v>
          </cell>
          <cell r="FK109">
            <v>0.996</v>
          </cell>
          <cell r="FL109">
            <v>0.996</v>
          </cell>
          <cell r="FM109">
            <v>0.996</v>
          </cell>
          <cell r="FN109">
            <v>0.996</v>
          </cell>
          <cell r="FO109">
            <v>0.996</v>
          </cell>
          <cell r="FP109">
            <v>0.996</v>
          </cell>
          <cell r="FQ109">
            <v>0.996</v>
          </cell>
          <cell r="FR109">
            <v>0.996</v>
          </cell>
          <cell r="FS109">
            <v>0.996</v>
          </cell>
          <cell r="FT109">
            <v>0.996</v>
          </cell>
          <cell r="FU109">
            <v>0.996</v>
          </cell>
          <cell r="FV109">
            <v>0.991</v>
          </cell>
          <cell r="FW109">
            <v>0.99</v>
          </cell>
          <cell r="FX109">
            <v>0.986</v>
          </cell>
          <cell r="FY109">
            <v>0.98</v>
          </cell>
          <cell r="FZ109">
            <v>0.971</v>
          </cell>
          <cell r="GA109">
            <v>0.942</v>
          </cell>
          <cell r="GB109">
            <v>0.9</v>
          </cell>
          <cell r="GC109">
            <v>0.851</v>
          </cell>
          <cell r="GD109">
            <v>0.759</v>
          </cell>
          <cell r="GE109">
            <v>0.559</v>
          </cell>
          <cell r="GF109">
            <v>0.216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</row>
        <row r="110">
          <cell r="B110" t="str">
            <v>H-ZLaF57</v>
          </cell>
          <cell r="C110">
            <v>800299</v>
          </cell>
          <cell r="D110">
            <v>29.84</v>
          </cell>
          <cell r="E110">
            <v>29.62</v>
          </cell>
          <cell r="F110">
            <v>0.026806</v>
          </cell>
          <cell r="G110">
            <v>0.027224</v>
          </cell>
          <cell r="H110">
            <v>1.74747</v>
          </cell>
          <cell r="I110">
            <v>1.75431</v>
          </cell>
          <cell r="J110">
            <v>1.76226</v>
          </cell>
          <cell r="K110">
            <v>1.77044</v>
          </cell>
          <cell r="L110">
            <v>1.77354</v>
          </cell>
          <cell r="M110">
            <v>1.77945</v>
          </cell>
          <cell r="N110">
            <v>1.7838</v>
          </cell>
          <cell r="O110">
            <v>1.78795</v>
          </cell>
          <cell r="P110">
            <v>1.79223</v>
          </cell>
          <cell r="Q110">
            <v>1.79344</v>
          </cell>
          <cell r="R110">
            <v>1.79459</v>
          </cell>
          <cell r="S110">
            <v>1.79977</v>
          </cell>
          <cell r="T110">
            <v>1.8</v>
          </cell>
          <cell r="U110">
            <v>1.80633</v>
          </cell>
          <cell r="V110">
            <v>1.81903</v>
          </cell>
          <cell r="W110">
            <v>1.82067</v>
          </cell>
          <cell r="X110">
            <v>1.83511</v>
          </cell>
          <cell r="Y110">
            <v>1.84939</v>
          </cell>
          <cell r="Z110">
            <v>0</v>
          </cell>
          <cell r="AA110">
            <v>3.12168528</v>
          </cell>
          <cell r="AB110">
            <v>-0.0138673767</v>
          </cell>
          <cell r="AC110">
            <v>0.0373009678</v>
          </cell>
          <cell r="AD110">
            <v>0.00194247273</v>
          </cell>
          <cell r="AE110">
            <v>-9.80256201e-5</v>
          </cell>
          <cell r="AF110">
            <v>1.64841569e-5</v>
          </cell>
          <cell r="AG110">
            <v>0.289925373134331</v>
          </cell>
          <cell r="AH110">
            <v>0.236194029850745</v>
          </cell>
          <cell r="AI110">
            <v>0.600000000000005</v>
          </cell>
          <cell r="AJ110">
            <v>0.24091076019097</v>
          </cell>
          <cell r="AK110">
            <v>0.23246419390378</v>
          </cell>
          <cell r="AL110">
            <v>0.530297466030112</v>
          </cell>
          <cell r="AM110">
            <v>0.000152277014923995</v>
          </cell>
          <cell r="AN110">
            <v>0.00596424000000502</v>
          </cell>
          <cell r="AO110">
            <v>0.0126834197014978</v>
          </cell>
          <cell r="AP110">
            <v>0.00484967164179274</v>
          </cell>
          <cell r="AQ110">
            <v>1.9</v>
          </cell>
          <cell r="AR110">
            <v>1.8</v>
          </cell>
          <cell r="AS110">
            <v>1.9</v>
          </cell>
          <cell r="AT110">
            <v>1.9</v>
          </cell>
          <cell r="AU110">
            <v>2</v>
          </cell>
          <cell r="AV110">
            <v>2.1</v>
          </cell>
          <cell r="AW110">
            <v>2.9</v>
          </cell>
          <cell r="AX110">
            <v>2.9</v>
          </cell>
          <cell r="AY110">
            <v>3</v>
          </cell>
          <cell r="AZ110">
            <v>3</v>
          </cell>
          <cell r="BA110">
            <v>3.2</v>
          </cell>
          <cell r="BB110">
            <v>3.3</v>
          </cell>
          <cell r="BC110">
            <v>2.9</v>
          </cell>
          <cell r="BD110">
            <v>3</v>
          </cell>
          <cell r="BE110">
            <v>3</v>
          </cell>
          <cell r="BF110">
            <v>3.1</v>
          </cell>
          <cell r="BG110">
            <v>3.2</v>
          </cell>
          <cell r="BH110">
            <v>3.4</v>
          </cell>
          <cell r="BI110">
            <v>3.2</v>
          </cell>
          <cell r="BJ110">
            <v>3.3</v>
          </cell>
          <cell r="BK110">
            <v>3.4</v>
          </cell>
          <cell r="BL110">
            <v>3.5</v>
          </cell>
          <cell r="BM110">
            <v>3.6</v>
          </cell>
          <cell r="BN110">
            <v>3.8</v>
          </cell>
          <cell r="BO110">
            <v>3.7</v>
          </cell>
          <cell r="BP110">
            <v>3.7</v>
          </cell>
          <cell r="BQ110">
            <v>3.9</v>
          </cell>
          <cell r="BR110">
            <v>4</v>
          </cell>
          <cell r="BS110">
            <v>4.1</v>
          </cell>
          <cell r="BT110">
            <v>4.4</v>
          </cell>
          <cell r="BU110">
            <v>4.7</v>
          </cell>
          <cell r="BV110">
            <v>4.8</v>
          </cell>
          <cell r="BW110">
            <v>5</v>
          </cell>
          <cell r="BX110">
            <v>5.2</v>
          </cell>
          <cell r="BY110">
            <v>5.4</v>
          </cell>
          <cell r="BZ110">
            <v>5.7</v>
          </cell>
          <cell r="CA110">
            <v>5.9</v>
          </cell>
          <cell r="CB110">
            <v>6.1</v>
          </cell>
          <cell r="CC110">
            <v>6.3</v>
          </cell>
          <cell r="CD110">
            <v>6.6</v>
          </cell>
          <cell r="CE110">
            <v>6.9</v>
          </cell>
          <cell r="CF110">
            <v>7.2</v>
          </cell>
          <cell r="CG110">
            <v>0.5</v>
          </cell>
          <cell r="CH110">
            <v>0.9</v>
          </cell>
          <cell r="CI110">
            <v>1.2</v>
          </cell>
          <cell r="CJ110">
            <v>1.5</v>
          </cell>
          <cell r="CK110">
            <v>1.9</v>
          </cell>
          <cell r="CL110">
            <v>2.2</v>
          </cell>
          <cell r="CM110">
            <v>-6e-7</v>
          </cell>
          <cell r="CN110">
            <v>9.72e-9</v>
          </cell>
          <cell r="CO110">
            <v>-7.86e-12</v>
          </cell>
          <cell r="CP110">
            <v>9.33e-7</v>
          </cell>
          <cell r="CQ110">
            <v>1.3157e-9</v>
          </cell>
          <cell r="CR110">
            <v>0.266</v>
          </cell>
          <cell r="CS110">
            <v>1</v>
          </cell>
          <cell r="CT110">
            <v>1</v>
          </cell>
          <cell r="CU110">
            <v>1</v>
          </cell>
          <cell r="CV110">
            <v>1</v>
          </cell>
          <cell r="CW110">
            <v>1</v>
          </cell>
          <cell r="CX110">
            <v>1</v>
          </cell>
          <cell r="CY110">
            <v>0</v>
          </cell>
          <cell r="CZ110">
            <v>0</v>
          </cell>
          <cell r="DA110">
            <v>603</v>
          </cell>
          <cell r="DB110">
            <v>661</v>
          </cell>
          <cell r="DC110">
            <v>547</v>
          </cell>
          <cell r="DD110">
            <v>592</v>
          </cell>
          <cell r="DE110">
            <v>73</v>
          </cell>
          <cell r="DF110">
            <v>0</v>
          </cell>
          <cell r="DG110">
            <v>89</v>
          </cell>
          <cell r="DH110">
            <v>0</v>
          </cell>
          <cell r="DI110">
            <v>220</v>
          </cell>
          <cell r="DJ110">
            <v>0</v>
          </cell>
          <cell r="DK110">
            <v>543</v>
          </cell>
          <cell r="DL110">
            <v>167</v>
          </cell>
          <cell r="DM110">
            <v>10605</v>
          </cell>
          <cell r="DN110">
            <v>4175</v>
          </cell>
          <cell r="DO110">
            <v>0.27</v>
          </cell>
          <cell r="DP110">
            <v>0</v>
          </cell>
          <cell r="DQ110" t="str">
            <v>430/360</v>
          </cell>
          <cell r="DR110">
            <v>383</v>
          </cell>
          <cell r="DS110">
            <v>356</v>
          </cell>
          <cell r="DT110">
            <v>3.73</v>
          </cell>
          <cell r="DU110">
            <v>0.945</v>
          </cell>
          <cell r="DV110">
            <v>0.983</v>
          </cell>
          <cell r="DW110">
            <v>0.996</v>
          </cell>
          <cell r="DX110">
            <v>0.996</v>
          </cell>
          <cell r="DY110">
            <v>0.996</v>
          </cell>
          <cell r="DZ110">
            <v>0.996</v>
          </cell>
          <cell r="EA110">
            <v>0.996</v>
          </cell>
          <cell r="EB110">
            <v>0.996</v>
          </cell>
          <cell r="EC110">
            <v>0.996</v>
          </cell>
          <cell r="ED110">
            <v>0.996</v>
          </cell>
          <cell r="EE110">
            <v>0.996</v>
          </cell>
          <cell r="EF110">
            <v>0.996</v>
          </cell>
          <cell r="EG110">
            <v>0.996</v>
          </cell>
          <cell r="EH110">
            <v>0.996</v>
          </cell>
          <cell r="EI110">
            <v>0.996</v>
          </cell>
          <cell r="EJ110">
            <v>0.996</v>
          </cell>
          <cell r="EK110">
            <v>0.996</v>
          </cell>
          <cell r="EL110">
            <v>0.993</v>
          </cell>
          <cell r="EM110">
            <v>0.984</v>
          </cell>
          <cell r="EN110">
            <v>0.981</v>
          </cell>
          <cell r="EO110">
            <v>0.977</v>
          </cell>
          <cell r="EP110">
            <v>0.972</v>
          </cell>
          <cell r="EQ110">
            <v>0.964</v>
          </cell>
          <cell r="ER110">
            <v>0.939</v>
          </cell>
          <cell r="ES110">
            <v>0.91</v>
          </cell>
          <cell r="ET110">
            <v>0.848</v>
          </cell>
          <cell r="EU110">
            <v>0.694</v>
          </cell>
          <cell r="EV110">
            <v>0.347</v>
          </cell>
          <cell r="EW110">
            <v>0.042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0.893</v>
          </cell>
          <cell r="FF110">
            <v>0.966</v>
          </cell>
          <cell r="FG110">
            <v>0.992</v>
          </cell>
          <cell r="FH110">
            <v>0.992</v>
          </cell>
          <cell r="FI110">
            <v>0.992</v>
          </cell>
          <cell r="FJ110">
            <v>0.992</v>
          </cell>
          <cell r="FK110">
            <v>0.992</v>
          </cell>
          <cell r="FL110">
            <v>0.992</v>
          </cell>
          <cell r="FM110">
            <v>0.992</v>
          </cell>
          <cell r="FN110">
            <v>0.992</v>
          </cell>
          <cell r="FO110">
            <v>0.992</v>
          </cell>
          <cell r="FP110">
            <v>0.992</v>
          </cell>
          <cell r="FQ110">
            <v>0.992</v>
          </cell>
          <cell r="FR110">
            <v>0.992</v>
          </cell>
          <cell r="FS110">
            <v>0.992</v>
          </cell>
          <cell r="FT110">
            <v>0.992</v>
          </cell>
          <cell r="FU110">
            <v>0.988</v>
          </cell>
          <cell r="FV110">
            <v>0.983</v>
          </cell>
          <cell r="FW110">
            <v>0.97</v>
          </cell>
          <cell r="FX110">
            <v>0.964</v>
          </cell>
          <cell r="FY110">
            <v>0.957</v>
          </cell>
          <cell r="FZ110">
            <v>0.946</v>
          </cell>
          <cell r="GA110">
            <v>0.927</v>
          </cell>
          <cell r="GB110">
            <v>0.88</v>
          </cell>
          <cell r="GC110">
            <v>0.826</v>
          </cell>
          <cell r="GD110">
            <v>0.716</v>
          </cell>
          <cell r="GE110">
            <v>0.475</v>
          </cell>
          <cell r="GF110">
            <v>0.117</v>
          </cell>
          <cell r="GG110">
            <v>0.013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</row>
        <row r="111">
          <cell r="B111" t="str">
            <v>H-ZLaF60</v>
          </cell>
          <cell r="C111">
            <v>850323</v>
          </cell>
          <cell r="D111">
            <v>32.27</v>
          </cell>
          <cell r="E111">
            <v>32.05</v>
          </cell>
          <cell r="F111">
            <v>0.026349</v>
          </cell>
          <cell r="G111">
            <v>0.026727</v>
          </cell>
          <cell r="H111">
            <v>1.79843</v>
          </cell>
          <cell r="I111">
            <v>1.80513</v>
          </cell>
          <cell r="J111">
            <v>1.81293</v>
          </cell>
          <cell r="K111">
            <v>1.821</v>
          </cell>
          <cell r="L111">
            <v>1.82407</v>
          </cell>
          <cell r="M111">
            <v>1.82993</v>
          </cell>
          <cell r="N111">
            <v>1.83424</v>
          </cell>
          <cell r="O111">
            <v>1.83835</v>
          </cell>
          <cell r="P111">
            <v>1.84259</v>
          </cell>
          <cell r="Q111">
            <v>1.84379</v>
          </cell>
          <cell r="R111">
            <v>1.84491</v>
          </cell>
          <cell r="S111">
            <v>1.85003</v>
          </cell>
          <cell r="T111">
            <v>1.85026</v>
          </cell>
          <cell r="U111">
            <v>1.85649</v>
          </cell>
          <cell r="V111">
            <v>1.86893</v>
          </cell>
          <cell r="W111">
            <v>1.87052</v>
          </cell>
          <cell r="X111">
            <v>1.8845</v>
          </cell>
          <cell r="Y111">
            <v>1.89819</v>
          </cell>
          <cell r="Z111">
            <v>0</v>
          </cell>
          <cell r="AA111">
            <v>3.30260921</v>
          </cell>
          <cell r="AB111">
            <v>-0.0139415408</v>
          </cell>
          <cell r="AC111">
            <v>0.0382606507</v>
          </cell>
          <cell r="AD111">
            <v>0.00195805494</v>
          </cell>
          <cell r="AE111">
            <v>-0.000107295242</v>
          </cell>
          <cell r="AF111">
            <v>1.47824013e-5</v>
          </cell>
          <cell r="AG111">
            <v>0.291192103264998</v>
          </cell>
          <cell r="AH111">
            <v>0.236522399392557</v>
          </cell>
          <cell r="AI111">
            <v>0.591116173120731</v>
          </cell>
          <cell r="AJ111">
            <v>0.24205013093902</v>
          </cell>
          <cell r="AK111">
            <v>0.233071455293677</v>
          </cell>
          <cell r="AL111">
            <v>0.523007856341195</v>
          </cell>
          <cell r="AM111">
            <v>-0.00010146265755534</v>
          </cell>
          <cell r="AN111">
            <v>0.00111664312073145</v>
          </cell>
          <cell r="AO111">
            <v>0.00663271591495249</v>
          </cell>
          <cell r="AP111">
            <v>0.00278981321184053</v>
          </cell>
          <cell r="AQ111">
            <v>3.2</v>
          </cell>
          <cell r="AR111">
            <v>3.1</v>
          </cell>
          <cell r="AS111">
            <v>3.1</v>
          </cell>
          <cell r="AT111">
            <v>3</v>
          </cell>
          <cell r="AU111">
            <v>3.1</v>
          </cell>
          <cell r="AV111">
            <v>3.2</v>
          </cell>
          <cell r="AW111">
            <v>4.1</v>
          </cell>
          <cell r="AX111">
            <v>4.2</v>
          </cell>
          <cell r="AY111">
            <v>4.2</v>
          </cell>
          <cell r="AZ111">
            <v>4.2</v>
          </cell>
          <cell r="BA111">
            <v>4.3</v>
          </cell>
          <cell r="BB111">
            <v>4.5</v>
          </cell>
          <cell r="BC111">
            <v>4.2</v>
          </cell>
          <cell r="BD111">
            <v>4.3</v>
          </cell>
          <cell r="BE111">
            <v>4.3</v>
          </cell>
          <cell r="BF111">
            <v>4.3</v>
          </cell>
          <cell r="BG111">
            <v>4.4</v>
          </cell>
          <cell r="BH111">
            <v>4.6</v>
          </cell>
          <cell r="BI111">
            <v>4.5</v>
          </cell>
          <cell r="BJ111">
            <v>4.6</v>
          </cell>
          <cell r="BK111">
            <v>4.7</v>
          </cell>
          <cell r="BL111">
            <v>4.7</v>
          </cell>
          <cell r="BM111">
            <v>4.8</v>
          </cell>
          <cell r="BN111">
            <v>5</v>
          </cell>
          <cell r="BO111">
            <v>5</v>
          </cell>
          <cell r="BP111">
            <v>5.1</v>
          </cell>
          <cell r="BQ111">
            <v>5.1</v>
          </cell>
          <cell r="BR111">
            <v>5.2</v>
          </cell>
          <cell r="BS111">
            <v>5.4</v>
          </cell>
          <cell r="BT111">
            <v>5.6</v>
          </cell>
          <cell r="BU111">
            <v>6</v>
          </cell>
          <cell r="BV111">
            <v>6.2</v>
          </cell>
          <cell r="BW111">
            <v>6.3</v>
          </cell>
          <cell r="BX111">
            <v>6.4</v>
          </cell>
          <cell r="BY111">
            <v>6.6</v>
          </cell>
          <cell r="BZ111">
            <v>6.9</v>
          </cell>
          <cell r="CA111">
            <v>7.1</v>
          </cell>
          <cell r="CB111">
            <v>7.4</v>
          </cell>
          <cell r="CC111">
            <v>7.6</v>
          </cell>
          <cell r="CD111">
            <v>7.8</v>
          </cell>
          <cell r="CE111">
            <v>8.1</v>
          </cell>
          <cell r="CF111">
            <v>8.4</v>
          </cell>
          <cell r="CG111">
            <v>1.7</v>
          </cell>
          <cell r="CH111">
            <v>2.1</v>
          </cell>
          <cell r="CI111">
            <v>2.5</v>
          </cell>
          <cell r="CJ111">
            <v>2.7</v>
          </cell>
          <cell r="CK111">
            <v>3</v>
          </cell>
          <cell r="CL111">
            <v>3.4</v>
          </cell>
          <cell r="CM111">
            <v>8.4e-7</v>
          </cell>
          <cell r="CN111">
            <v>9.44e-9</v>
          </cell>
          <cell r="CO111">
            <v>-1.05e-12</v>
          </cell>
          <cell r="CP111">
            <v>1.052e-6</v>
          </cell>
          <cell r="CQ111">
            <v>1.1933e-9</v>
          </cell>
          <cell r="CR111">
            <v>0.235</v>
          </cell>
          <cell r="CS111">
            <v>1</v>
          </cell>
          <cell r="CT111">
            <v>1</v>
          </cell>
          <cell r="CU111">
            <v>1</v>
          </cell>
          <cell r="CV111">
            <v>1</v>
          </cell>
          <cell r="CW111">
            <v>1</v>
          </cell>
          <cell r="CX111">
            <v>2</v>
          </cell>
          <cell r="CY111">
            <v>0</v>
          </cell>
          <cell r="CZ111">
            <v>0</v>
          </cell>
          <cell r="DA111">
            <v>601</v>
          </cell>
          <cell r="DB111">
            <v>660</v>
          </cell>
          <cell r="DC111">
            <v>569</v>
          </cell>
          <cell r="DD111">
            <v>591</v>
          </cell>
          <cell r="DE111">
            <v>73</v>
          </cell>
          <cell r="DF111">
            <v>0</v>
          </cell>
          <cell r="DG111">
            <v>92</v>
          </cell>
          <cell r="DH111">
            <v>0</v>
          </cell>
          <cell r="DI111">
            <v>164</v>
          </cell>
          <cell r="DJ111">
            <v>0</v>
          </cell>
          <cell r="DK111">
            <v>625</v>
          </cell>
          <cell r="DL111">
            <v>98</v>
          </cell>
          <cell r="DM111">
            <v>10929</v>
          </cell>
          <cell r="DN111">
            <v>4276</v>
          </cell>
          <cell r="DO111">
            <v>0.278</v>
          </cell>
          <cell r="DP111">
            <v>0</v>
          </cell>
          <cell r="DQ111" t="str">
            <v>(400)/360</v>
          </cell>
          <cell r="DR111">
            <v>384</v>
          </cell>
          <cell r="DS111">
            <v>353</v>
          </cell>
          <cell r="DT111">
            <v>4</v>
          </cell>
          <cell r="DU111">
            <v>0.942</v>
          </cell>
          <cell r="DV111">
            <v>0.986</v>
          </cell>
          <cell r="DW111">
            <v>0.993</v>
          </cell>
          <cell r="DX111">
            <v>0.998</v>
          </cell>
          <cell r="DY111">
            <v>0.998</v>
          </cell>
          <cell r="DZ111">
            <v>0.998</v>
          </cell>
          <cell r="EA111">
            <v>0.998</v>
          </cell>
          <cell r="EB111">
            <v>0.998</v>
          </cell>
          <cell r="EC111">
            <v>0.998</v>
          </cell>
          <cell r="ED111">
            <v>0.998</v>
          </cell>
          <cell r="EE111">
            <v>0.998</v>
          </cell>
          <cell r="EF111">
            <v>0.998</v>
          </cell>
          <cell r="EG111">
            <v>0.998</v>
          </cell>
          <cell r="EH111">
            <v>0.998</v>
          </cell>
          <cell r="EI111">
            <v>0.998</v>
          </cell>
          <cell r="EJ111">
            <v>0.998</v>
          </cell>
          <cell r="EK111">
            <v>0.998</v>
          </cell>
          <cell r="EL111">
            <v>0.996</v>
          </cell>
          <cell r="EM111">
            <v>0.993</v>
          </cell>
          <cell r="EN111">
            <v>0.989</v>
          </cell>
          <cell r="EO111">
            <v>0.985</v>
          </cell>
          <cell r="EP111">
            <v>0.979</v>
          </cell>
          <cell r="EQ111">
            <v>0.963</v>
          </cell>
          <cell r="ER111">
            <v>0.935</v>
          </cell>
          <cell r="ES111">
            <v>0.904</v>
          </cell>
          <cell r="ET111">
            <v>0.849</v>
          </cell>
          <cell r="EU111">
            <v>0.733</v>
          </cell>
          <cell r="EV111">
            <v>0.476</v>
          </cell>
          <cell r="EW111">
            <v>0.11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0.882</v>
          </cell>
          <cell r="FF111">
            <v>0.959</v>
          </cell>
          <cell r="FG111">
            <v>0.985</v>
          </cell>
          <cell r="FH111">
            <v>0.996</v>
          </cell>
          <cell r="FI111">
            <v>0.996</v>
          </cell>
          <cell r="FJ111">
            <v>0.996</v>
          </cell>
          <cell r="FK111">
            <v>0.996</v>
          </cell>
          <cell r="FL111">
            <v>0.996</v>
          </cell>
          <cell r="FM111">
            <v>0.996</v>
          </cell>
          <cell r="FN111">
            <v>0.996</v>
          </cell>
          <cell r="FO111">
            <v>0.996</v>
          </cell>
          <cell r="FP111">
            <v>0.996</v>
          </cell>
          <cell r="FQ111">
            <v>0.996</v>
          </cell>
          <cell r="FR111">
            <v>0.996</v>
          </cell>
          <cell r="FS111">
            <v>0.996</v>
          </cell>
          <cell r="FT111">
            <v>0.996</v>
          </cell>
          <cell r="FU111">
            <v>0.996</v>
          </cell>
          <cell r="FV111">
            <v>0.994</v>
          </cell>
          <cell r="FW111">
            <v>0.989</v>
          </cell>
          <cell r="FX111">
            <v>0.983</v>
          </cell>
          <cell r="FY111">
            <v>0.974</v>
          </cell>
          <cell r="FZ111">
            <v>0.96</v>
          </cell>
          <cell r="GA111">
            <v>0.929</v>
          </cell>
          <cell r="GB111">
            <v>0.877</v>
          </cell>
          <cell r="GC111">
            <v>0.82</v>
          </cell>
          <cell r="GD111">
            <v>0.726</v>
          </cell>
          <cell r="GE111">
            <v>0.541</v>
          </cell>
          <cell r="GF111">
            <v>0.231</v>
          </cell>
          <cell r="GG111">
            <v>0.019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</row>
        <row r="112">
          <cell r="B112" t="str">
            <v>H-ZLaF65</v>
          </cell>
          <cell r="C112">
            <v>874306</v>
          </cell>
          <cell r="D112">
            <v>30.55</v>
          </cell>
          <cell r="E112">
            <v>30.34</v>
          </cell>
          <cell r="F112">
            <v>0.02861</v>
          </cell>
          <cell r="G112">
            <v>0.029035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1.86118</v>
          </cell>
          <cell r="P112">
            <v>1.8658</v>
          </cell>
          <cell r="Q112">
            <v>1.8671</v>
          </cell>
          <cell r="R112">
            <v>1.86831</v>
          </cell>
          <cell r="S112">
            <v>1.87383</v>
          </cell>
          <cell r="T112">
            <v>1.87408</v>
          </cell>
          <cell r="U112">
            <v>1.88085</v>
          </cell>
          <cell r="V112">
            <v>1.89441</v>
          </cell>
          <cell r="W112">
            <v>1.89614</v>
          </cell>
          <cell r="X112">
            <v>1.91157</v>
          </cell>
          <cell r="Y112">
            <v>1.92778</v>
          </cell>
          <cell r="Z112">
            <v>1.96624</v>
          </cell>
          <cell r="AA112">
            <v>3.68819098</v>
          </cell>
          <cell r="AB112">
            <v>-0.213796428</v>
          </cell>
          <cell r="AC112">
            <v>-0.143916661</v>
          </cell>
          <cell r="AD112">
            <v>0.0565361901</v>
          </cell>
          <cell r="AE112">
            <v>-0.00787992371</v>
          </cell>
          <cell r="AF112">
            <v>0.000451696508</v>
          </cell>
          <cell r="AG112">
            <v>0.289409297448447</v>
          </cell>
          <cell r="AH112">
            <v>0.236630548759173</v>
          </cell>
          <cell r="AI112">
            <v>0.599790283117793</v>
          </cell>
          <cell r="AJ112">
            <v>0.240358126721763</v>
          </cell>
          <cell r="AK112">
            <v>0.233126721763084</v>
          </cell>
          <cell r="AL112">
            <v>0.531336088154273</v>
          </cell>
          <cell r="AM112">
            <v>0.000623753792380409</v>
          </cell>
          <cell r="AN112">
            <v>0.00693383311779275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1</v>
          </cell>
          <cell r="CT112">
            <v>1</v>
          </cell>
          <cell r="CU112">
            <v>1</v>
          </cell>
          <cell r="CV112">
            <v>3</v>
          </cell>
          <cell r="CW112">
            <v>1</v>
          </cell>
          <cell r="CX112">
            <v>2</v>
          </cell>
          <cell r="CY112">
            <v>0</v>
          </cell>
          <cell r="CZ112">
            <v>0</v>
          </cell>
          <cell r="DA112">
            <v>665</v>
          </cell>
          <cell r="DB112">
            <v>697</v>
          </cell>
          <cell r="DC112">
            <v>625</v>
          </cell>
          <cell r="DD112">
            <v>651</v>
          </cell>
          <cell r="DE112">
            <v>82</v>
          </cell>
          <cell r="DF112">
            <v>0</v>
          </cell>
          <cell r="DG112">
            <v>98</v>
          </cell>
          <cell r="DH112">
            <v>0</v>
          </cell>
          <cell r="DI112">
            <v>180</v>
          </cell>
          <cell r="DJ112">
            <v>0</v>
          </cell>
          <cell r="DK112">
            <v>545</v>
          </cell>
          <cell r="DL112">
            <v>136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 t="str">
            <v>(410)/360</v>
          </cell>
          <cell r="DR112">
            <v>0</v>
          </cell>
          <cell r="DS112">
            <v>0</v>
          </cell>
          <cell r="DT112">
            <v>4.55</v>
          </cell>
          <cell r="DU112">
            <v>0.928</v>
          </cell>
          <cell r="DV112">
            <v>0.982</v>
          </cell>
          <cell r="DW112">
            <v>0.997</v>
          </cell>
          <cell r="DX112">
            <v>0.997</v>
          </cell>
          <cell r="DY112">
            <v>0.997</v>
          </cell>
          <cell r="DZ112">
            <v>0.997</v>
          </cell>
          <cell r="EA112">
            <v>0.997</v>
          </cell>
          <cell r="EB112">
            <v>0.997</v>
          </cell>
          <cell r="EC112">
            <v>0.997</v>
          </cell>
          <cell r="ED112">
            <v>0.997</v>
          </cell>
          <cell r="EE112">
            <v>0.997</v>
          </cell>
          <cell r="EF112">
            <v>0.997</v>
          </cell>
          <cell r="EG112">
            <v>0.997</v>
          </cell>
          <cell r="EH112">
            <v>0.997</v>
          </cell>
          <cell r="EI112">
            <v>0.997</v>
          </cell>
          <cell r="EJ112">
            <v>0.997</v>
          </cell>
          <cell r="EK112">
            <v>0.995</v>
          </cell>
          <cell r="EL112">
            <v>0.993</v>
          </cell>
          <cell r="EM112">
            <v>0.985</v>
          </cell>
          <cell r="EN112">
            <v>0.979</v>
          </cell>
          <cell r="EO112">
            <v>0.973</v>
          </cell>
          <cell r="EP112">
            <v>0.964</v>
          </cell>
          <cell r="EQ112">
            <v>0.944</v>
          </cell>
          <cell r="ER112">
            <v>0.896</v>
          </cell>
          <cell r="ES112">
            <v>0.846</v>
          </cell>
          <cell r="ET112">
            <v>0.75</v>
          </cell>
          <cell r="EU112">
            <v>0.555</v>
          </cell>
          <cell r="EV112">
            <v>0.213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0.861</v>
          </cell>
          <cell r="FF112">
            <v>0.964</v>
          </cell>
          <cell r="FG112">
            <v>0.994</v>
          </cell>
          <cell r="FH112">
            <v>0.994</v>
          </cell>
          <cell r="FI112">
            <v>0.994</v>
          </cell>
          <cell r="FJ112">
            <v>0.994</v>
          </cell>
          <cell r="FK112">
            <v>0.994</v>
          </cell>
          <cell r="FL112">
            <v>0.994</v>
          </cell>
          <cell r="FM112">
            <v>0.994</v>
          </cell>
          <cell r="FN112">
            <v>0.994</v>
          </cell>
          <cell r="FO112">
            <v>0.994</v>
          </cell>
          <cell r="FP112">
            <v>0.994</v>
          </cell>
          <cell r="FQ112">
            <v>0.994</v>
          </cell>
          <cell r="FR112">
            <v>0.994</v>
          </cell>
          <cell r="FS112">
            <v>0.994</v>
          </cell>
          <cell r="FT112">
            <v>0.994</v>
          </cell>
          <cell r="FU112">
            <v>0.99</v>
          </cell>
          <cell r="FV112">
            <v>0.985</v>
          </cell>
          <cell r="FW112">
            <v>0.967</v>
          </cell>
          <cell r="FX112">
            <v>0.956</v>
          </cell>
          <cell r="FY112">
            <v>0.943</v>
          </cell>
          <cell r="FZ112">
            <v>0.926</v>
          </cell>
          <cell r="GA112">
            <v>0.892</v>
          </cell>
          <cell r="GB112">
            <v>0.805</v>
          </cell>
          <cell r="GC112">
            <v>0.718</v>
          </cell>
          <cell r="GD112">
            <v>0.568</v>
          </cell>
          <cell r="GE112">
            <v>0.316</v>
          </cell>
          <cell r="GF112">
            <v>0.051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</row>
        <row r="113">
          <cell r="B113" t="str">
            <v>H-ZLaF66</v>
          </cell>
          <cell r="C113">
            <v>801350</v>
          </cell>
          <cell r="D113">
            <v>34.97</v>
          </cell>
          <cell r="E113">
            <v>34.72</v>
          </cell>
          <cell r="F113">
            <v>0.022907</v>
          </cell>
          <cell r="G113">
            <v>0.023227</v>
          </cell>
          <cell r="H113">
            <v>1.75399</v>
          </cell>
          <cell r="I113">
            <v>1.76033</v>
          </cell>
          <cell r="J113">
            <v>1.76765</v>
          </cell>
          <cell r="K113">
            <v>1.77508</v>
          </cell>
          <cell r="L113">
            <v>1.77787</v>
          </cell>
          <cell r="M113">
            <v>1.78311</v>
          </cell>
          <cell r="N113">
            <v>1.78694</v>
          </cell>
          <cell r="O113">
            <v>1.79055</v>
          </cell>
          <cell r="P113">
            <v>1.79427</v>
          </cell>
          <cell r="Q113">
            <v>1.79533</v>
          </cell>
          <cell r="R113">
            <v>1.79632</v>
          </cell>
          <cell r="S113">
            <v>1.8008</v>
          </cell>
          <cell r="T113">
            <v>1.801</v>
          </cell>
          <cell r="U113">
            <v>1.80642</v>
          </cell>
          <cell r="V113">
            <v>1.81718</v>
          </cell>
          <cell r="W113">
            <v>1.81856</v>
          </cell>
          <cell r="X113">
            <v>1.83061</v>
          </cell>
          <cell r="Y113">
            <v>1.84231</v>
          </cell>
          <cell r="Z113">
            <v>1.86365</v>
          </cell>
          <cell r="AA113">
            <v>3.14027542</v>
          </cell>
          <cell r="AB113">
            <v>-0.0129512754</v>
          </cell>
          <cell r="AC113">
            <v>0.0335869785</v>
          </cell>
          <cell r="AD113">
            <v>0.00129233646</v>
          </cell>
          <cell r="AE113">
            <v>-3.86870024e-5</v>
          </cell>
          <cell r="AF113">
            <v>8.22595195e-6</v>
          </cell>
          <cell r="AG113">
            <v>0.293758184199036</v>
          </cell>
          <cell r="AH113">
            <v>0.236577913574857</v>
          </cell>
          <cell r="AI113">
            <v>0.586206896551727</v>
          </cell>
          <cell r="AJ113">
            <v>0.244080929832108</v>
          </cell>
          <cell r="AK113">
            <v>0.233318984072321</v>
          </cell>
          <cell r="AL113">
            <v>0.518725785622049</v>
          </cell>
          <cell r="AM113">
            <v>-0.00123265777389309</v>
          </cell>
          <cell r="AN113">
            <v>0.000692066551726912</v>
          </cell>
          <cell r="AO113">
            <v>0.00627998934089832</v>
          </cell>
          <cell r="AP113">
            <v>0.00279552684417574</v>
          </cell>
          <cell r="AQ113">
            <v>3.8</v>
          </cell>
          <cell r="AR113">
            <v>3.7</v>
          </cell>
          <cell r="AS113">
            <v>3.6</v>
          </cell>
          <cell r="AT113">
            <v>3.6</v>
          </cell>
          <cell r="AU113">
            <v>3.7</v>
          </cell>
          <cell r="AV113">
            <v>3.9</v>
          </cell>
          <cell r="AW113">
            <v>4.7</v>
          </cell>
          <cell r="AX113">
            <v>4.7</v>
          </cell>
          <cell r="AY113">
            <v>4.7</v>
          </cell>
          <cell r="AZ113">
            <v>4.7</v>
          </cell>
          <cell r="BA113">
            <v>4.8</v>
          </cell>
          <cell r="BB113">
            <v>5</v>
          </cell>
          <cell r="BC113">
            <v>4.8</v>
          </cell>
          <cell r="BD113">
            <v>4.8</v>
          </cell>
          <cell r="BE113">
            <v>4.7</v>
          </cell>
          <cell r="BF113">
            <v>4.8</v>
          </cell>
          <cell r="BG113">
            <v>4.9</v>
          </cell>
          <cell r="BH113">
            <v>5.1</v>
          </cell>
          <cell r="BI113">
            <v>5.1</v>
          </cell>
          <cell r="BJ113">
            <v>5.1</v>
          </cell>
          <cell r="BK113">
            <v>5.1</v>
          </cell>
          <cell r="BL113">
            <v>5.1</v>
          </cell>
          <cell r="BM113">
            <v>5.2</v>
          </cell>
          <cell r="BN113">
            <v>5.4</v>
          </cell>
          <cell r="BO113">
            <v>5.4</v>
          </cell>
          <cell r="BP113">
            <v>5.5</v>
          </cell>
          <cell r="BQ113">
            <v>5.5</v>
          </cell>
          <cell r="BR113">
            <v>5.5</v>
          </cell>
          <cell r="BS113">
            <v>5.7</v>
          </cell>
          <cell r="BT113">
            <v>5.9</v>
          </cell>
          <cell r="BU113">
            <v>6.3</v>
          </cell>
          <cell r="BV113">
            <v>6.4</v>
          </cell>
          <cell r="BW113">
            <v>6.5</v>
          </cell>
          <cell r="BX113">
            <v>6.5</v>
          </cell>
          <cell r="BY113">
            <v>6.8</v>
          </cell>
          <cell r="BZ113">
            <v>7</v>
          </cell>
          <cell r="CA113">
            <v>7.3</v>
          </cell>
          <cell r="CB113">
            <v>7.4</v>
          </cell>
          <cell r="CC113">
            <v>7.5</v>
          </cell>
          <cell r="CD113">
            <v>7.7</v>
          </cell>
          <cell r="CE113">
            <v>7.9</v>
          </cell>
          <cell r="CF113">
            <v>8.3</v>
          </cell>
          <cell r="CG113">
            <v>2.4</v>
          </cell>
          <cell r="CH113">
            <v>2.7</v>
          </cell>
          <cell r="CI113">
            <v>2.9</v>
          </cell>
          <cell r="CJ113">
            <v>3.2</v>
          </cell>
          <cell r="CK113">
            <v>3.5</v>
          </cell>
          <cell r="CL113">
            <v>3.8</v>
          </cell>
          <cell r="CM113">
            <v>2.33e-6</v>
          </cell>
          <cell r="CN113">
            <v>9.24e-9</v>
          </cell>
          <cell r="CO113">
            <v>1.669e-11</v>
          </cell>
          <cell r="CP113">
            <v>8.62e-7</v>
          </cell>
          <cell r="CQ113">
            <v>1.0135e-9</v>
          </cell>
          <cell r="CR113">
            <v>0.25</v>
          </cell>
          <cell r="CS113">
            <v>1</v>
          </cell>
          <cell r="CT113">
            <v>1</v>
          </cell>
          <cell r="CU113">
            <v>1</v>
          </cell>
          <cell r="CV113">
            <v>1</v>
          </cell>
          <cell r="CW113">
            <v>1</v>
          </cell>
          <cell r="CX113">
            <v>1</v>
          </cell>
          <cell r="CY113">
            <v>0</v>
          </cell>
          <cell r="CZ113">
            <v>0</v>
          </cell>
          <cell r="DA113">
            <v>606</v>
          </cell>
          <cell r="DB113">
            <v>669</v>
          </cell>
          <cell r="DC113">
            <v>548</v>
          </cell>
          <cell r="DD113">
            <v>598</v>
          </cell>
          <cell r="DE113">
            <v>72</v>
          </cell>
          <cell r="DF113">
            <v>0</v>
          </cell>
          <cell r="DG113">
            <v>88</v>
          </cell>
          <cell r="DH113">
            <v>0</v>
          </cell>
          <cell r="DI113">
            <v>143</v>
          </cell>
          <cell r="DJ113">
            <v>0</v>
          </cell>
          <cell r="DK113">
            <v>630</v>
          </cell>
          <cell r="DL113">
            <v>91</v>
          </cell>
          <cell r="DM113">
            <v>11096</v>
          </cell>
          <cell r="DN113">
            <v>4324</v>
          </cell>
          <cell r="DO113">
            <v>0.283</v>
          </cell>
          <cell r="DP113">
            <v>0</v>
          </cell>
          <cell r="DQ113" t="str">
            <v>410/350</v>
          </cell>
          <cell r="DR113">
            <v>0</v>
          </cell>
          <cell r="DS113">
            <v>0</v>
          </cell>
          <cell r="DT113">
            <v>3.66</v>
          </cell>
          <cell r="DU113">
            <v>0.951</v>
          </cell>
          <cell r="DV113">
            <v>0.984</v>
          </cell>
          <cell r="DW113">
            <v>0.995</v>
          </cell>
          <cell r="DX113">
            <v>0.998</v>
          </cell>
          <cell r="DY113">
            <v>0.998</v>
          </cell>
          <cell r="DZ113">
            <v>0.998</v>
          </cell>
          <cell r="EA113">
            <v>0.998</v>
          </cell>
          <cell r="EB113">
            <v>0.998</v>
          </cell>
          <cell r="EC113">
            <v>0.998</v>
          </cell>
          <cell r="ED113">
            <v>0.998</v>
          </cell>
          <cell r="EE113">
            <v>0.998</v>
          </cell>
          <cell r="EF113">
            <v>0.998</v>
          </cell>
          <cell r="EG113">
            <v>0.998</v>
          </cell>
          <cell r="EH113">
            <v>0.998</v>
          </cell>
          <cell r="EI113">
            <v>0.998</v>
          </cell>
          <cell r="EJ113">
            <v>0.998</v>
          </cell>
          <cell r="EK113">
            <v>0.998</v>
          </cell>
          <cell r="EL113">
            <v>0.998</v>
          </cell>
          <cell r="EM113">
            <v>0.996</v>
          </cell>
          <cell r="EN113">
            <v>0.994</v>
          </cell>
          <cell r="EO113">
            <v>0.99</v>
          </cell>
          <cell r="EP113">
            <v>0.986</v>
          </cell>
          <cell r="EQ113">
            <v>0.979</v>
          </cell>
          <cell r="ER113">
            <v>0.967</v>
          </cell>
          <cell r="ES113">
            <v>0.948</v>
          </cell>
          <cell r="ET113">
            <v>0.913</v>
          </cell>
          <cell r="EU113">
            <v>0.84</v>
          </cell>
          <cell r="EV113">
            <v>0.655</v>
          </cell>
          <cell r="EW113">
            <v>0.28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0.907</v>
          </cell>
          <cell r="FF113">
            <v>0.966</v>
          </cell>
          <cell r="FG113">
            <v>0.99</v>
          </cell>
          <cell r="FH113">
            <v>0.996</v>
          </cell>
          <cell r="FI113">
            <v>0.996</v>
          </cell>
          <cell r="FJ113">
            <v>0.996</v>
          </cell>
          <cell r="FK113">
            <v>0.996</v>
          </cell>
          <cell r="FL113">
            <v>0.996</v>
          </cell>
          <cell r="FM113">
            <v>0.996</v>
          </cell>
          <cell r="FN113">
            <v>0.996</v>
          </cell>
          <cell r="FO113">
            <v>0.996</v>
          </cell>
          <cell r="FP113">
            <v>0.996</v>
          </cell>
          <cell r="FQ113">
            <v>0.996</v>
          </cell>
          <cell r="FR113">
            <v>0.996</v>
          </cell>
          <cell r="FS113">
            <v>0.996</v>
          </cell>
          <cell r="FT113">
            <v>0.996</v>
          </cell>
          <cell r="FU113">
            <v>0.996</v>
          </cell>
          <cell r="FV113">
            <v>0.996</v>
          </cell>
          <cell r="FW113">
            <v>0.992</v>
          </cell>
          <cell r="FX113">
            <v>0.987</v>
          </cell>
          <cell r="FY113">
            <v>0.98</v>
          </cell>
          <cell r="FZ113">
            <v>0.971</v>
          </cell>
          <cell r="GA113">
            <v>0.959</v>
          </cell>
          <cell r="GB113">
            <v>0.929</v>
          </cell>
          <cell r="GC113">
            <v>0.889</v>
          </cell>
          <cell r="GD113">
            <v>0.828</v>
          </cell>
          <cell r="GE113">
            <v>0.698</v>
          </cell>
          <cell r="GF113">
            <v>0.419</v>
          </cell>
          <cell r="GG113">
            <v>0.074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</row>
        <row r="114">
          <cell r="B114" t="str">
            <v>H-ZLaF67</v>
          </cell>
          <cell r="C114">
            <v>881401</v>
          </cell>
          <cell r="D114">
            <v>40.13</v>
          </cell>
          <cell r="E114">
            <v>39.9</v>
          </cell>
          <cell r="F114">
            <v>0.021952</v>
          </cell>
          <cell r="G114">
            <v>0.022209</v>
          </cell>
          <cell r="H114">
            <v>1.83527</v>
          </cell>
          <cell r="I114">
            <v>1.84141</v>
          </cell>
          <cell r="J114">
            <v>1.84851</v>
          </cell>
          <cell r="K114">
            <v>1.85576</v>
          </cell>
          <cell r="L114">
            <v>1.85849</v>
          </cell>
          <cell r="M114">
            <v>1.86362</v>
          </cell>
          <cell r="N114">
            <v>1.86735</v>
          </cell>
          <cell r="O114">
            <v>1.87088</v>
          </cell>
          <cell r="P114">
            <v>1.8745</v>
          </cell>
          <cell r="Q114">
            <v>1.87552</v>
          </cell>
          <cell r="R114">
            <v>1.87648</v>
          </cell>
          <cell r="S114">
            <v>1.88081</v>
          </cell>
          <cell r="T114">
            <v>1.881</v>
          </cell>
          <cell r="U114">
            <v>1.88622</v>
          </cell>
          <cell r="V114">
            <v>1.89645</v>
          </cell>
          <cell r="W114">
            <v>1.89773</v>
          </cell>
          <cell r="X114">
            <v>1.90896</v>
          </cell>
          <cell r="Y114">
            <v>1.91961</v>
          </cell>
          <cell r="Z114">
            <v>1.93853</v>
          </cell>
          <cell r="AA114">
            <v>3.43263393</v>
          </cell>
          <cell r="AB114">
            <v>-0.0131007856</v>
          </cell>
          <cell r="AC114">
            <v>0.0345483476</v>
          </cell>
          <cell r="AD114">
            <v>0.00134177704</v>
          </cell>
          <cell r="AE114">
            <v>-7.37786129e-5</v>
          </cell>
          <cell r="AF114">
            <v>7.34356017e-6</v>
          </cell>
          <cell r="AG114">
            <v>0.296127562642368</v>
          </cell>
          <cell r="AH114">
            <v>0.237813211845104</v>
          </cell>
          <cell r="AI114">
            <v>0.569931662870163</v>
          </cell>
          <cell r="AJ114">
            <v>0.246735704637549</v>
          </cell>
          <cell r="AK114">
            <v>0.235029266096355</v>
          </cell>
          <cell r="AL114">
            <v>0.505628095452506</v>
          </cell>
          <cell r="AM114">
            <v>-0.00198901448747148</v>
          </cell>
          <cell r="AN114">
            <v>-0.00701240712983733</v>
          </cell>
          <cell r="AO114">
            <v>-0.00518501416855849</v>
          </cell>
          <cell r="AP114">
            <v>-0.00104001822323262</v>
          </cell>
          <cell r="AQ114">
            <v>4.2</v>
          </cell>
          <cell r="AR114">
            <v>4.1</v>
          </cell>
          <cell r="AS114">
            <v>4</v>
          </cell>
          <cell r="AT114">
            <v>4</v>
          </cell>
          <cell r="AU114">
            <v>4.1</v>
          </cell>
          <cell r="AV114">
            <v>4.3</v>
          </cell>
          <cell r="AW114">
            <v>5.1</v>
          </cell>
          <cell r="AX114">
            <v>5.1</v>
          </cell>
          <cell r="AY114">
            <v>5.1</v>
          </cell>
          <cell r="AZ114">
            <v>5.1</v>
          </cell>
          <cell r="BA114">
            <v>5.2</v>
          </cell>
          <cell r="BB114">
            <v>5.4</v>
          </cell>
          <cell r="BC114">
            <v>5.2</v>
          </cell>
          <cell r="BD114">
            <v>5.2</v>
          </cell>
          <cell r="BE114">
            <v>5.2</v>
          </cell>
          <cell r="BF114">
            <v>5.2</v>
          </cell>
          <cell r="BG114">
            <v>5.3</v>
          </cell>
          <cell r="BH114">
            <v>5.5</v>
          </cell>
          <cell r="BI114">
            <v>5.5</v>
          </cell>
          <cell r="BJ114">
            <v>5.5</v>
          </cell>
          <cell r="BK114">
            <v>5.5</v>
          </cell>
          <cell r="BL114">
            <v>5.5</v>
          </cell>
          <cell r="BM114">
            <v>5.6</v>
          </cell>
          <cell r="BN114">
            <v>5.8</v>
          </cell>
          <cell r="BO114">
            <v>5.8</v>
          </cell>
          <cell r="BP114">
            <v>5.8</v>
          </cell>
          <cell r="BQ114">
            <v>5.9</v>
          </cell>
          <cell r="BR114">
            <v>5.9</v>
          </cell>
          <cell r="BS114">
            <v>6</v>
          </cell>
          <cell r="BT114">
            <v>6.2</v>
          </cell>
          <cell r="BU114">
            <v>6.7</v>
          </cell>
          <cell r="BV114">
            <v>6.7</v>
          </cell>
          <cell r="BW114">
            <v>6.8</v>
          </cell>
          <cell r="BX114">
            <v>6.8</v>
          </cell>
          <cell r="BY114">
            <v>7</v>
          </cell>
          <cell r="BZ114">
            <v>7.2</v>
          </cell>
          <cell r="CA114">
            <v>7.5</v>
          </cell>
          <cell r="CB114">
            <v>7.6</v>
          </cell>
          <cell r="CC114">
            <v>7.7</v>
          </cell>
          <cell r="CD114">
            <v>7.8</v>
          </cell>
          <cell r="CE114">
            <v>8</v>
          </cell>
          <cell r="CF114">
            <v>8.3</v>
          </cell>
          <cell r="CG114">
            <v>2.6</v>
          </cell>
          <cell r="CH114">
            <v>3</v>
          </cell>
          <cell r="CI114">
            <v>3.3</v>
          </cell>
          <cell r="CJ114">
            <v>3.5</v>
          </cell>
          <cell r="CK114">
            <v>3.9</v>
          </cell>
          <cell r="CL114">
            <v>4.2</v>
          </cell>
          <cell r="CM114">
            <v>2.65e-6</v>
          </cell>
          <cell r="CN114">
            <v>8.5e-9</v>
          </cell>
          <cell r="CO114">
            <v>-1.1e-12</v>
          </cell>
          <cell r="CP114">
            <v>8.73e-7</v>
          </cell>
          <cell r="CQ114">
            <v>9.601e-10</v>
          </cell>
          <cell r="CR114">
            <v>0.206</v>
          </cell>
          <cell r="CS114">
            <v>1</v>
          </cell>
          <cell r="CT114">
            <v>2</v>
          </cell>
          <cell r="CU114">
            <v>1</v>
          </cell>
          <cell r="CV114">
            <v>2</v>
          </cell>
          <cell r="CW114">
            <v>1</v>
          </cell>
          <cell r="CX114">
            <v>1</v>
          </cell>
          <cell r="CY114">
            <v>0</v>
          </cell>
          <cell r="CZ114">
            <v>0</v>
          </cell>
          <cell r="DA114">
            <v>692</v>
          </cell>
          <cell r="DB114">
            <v>745</v>
          </cell>
          <cell r="DC114">
            <v>647</v>
          </cell>
          <cell r="DD114">
            <v>677</v>
          </cell>
          <cell r="DE114">
            <v>71</v>
          </cell>
          <cell r="DF114">
            <v>0</v>
          </cell>
          <cell r="DG114">
            <v>86</v>
          </cell>
          <cell r="DH114">
            <v>0</v>
          </cell>
          <cell r="DI114">
            <v>105</v>
          </cell>
          <cell r="DJ114">
            <v>0</v>
          </cell>
          <cell r="DK114">
            <v>710</v>
          </cell>
          <cell r="DL114">
            <v>71</v>
          </cell>
          <cell r="DM114">
            <v>12209</v>
          </cell>
          <cell r="DN114">
            <v>4692</v>
          </cell>
          <cell r="DO114">
            <v>0.301</v>
          </cell>
          <cell r="DP114">
            <v>0</v>
          </cell>
          <cell r="DQ114" t="str">
            <v>(390)/340</v>
          </cell>
          <cell r="DR114">
            <v>0</v>
          </cell>
          <cell r="DS114">
            <v>0</v>
          </cell>
          <cell r="DT114">
            <v>5.2</v>
          </cell>
          <cell r="DU114">
            <v>0.945</v>
          </cell>
          <cell r="DV114">
            <v>0.98</v>
          </cell>
          <cell r="DW114">
            <v>0.994</v>
          </cell>
          <cell r="DX114">
            <v>0.999</v>
          </cell>
          <cell r="DY114">
            <v>0.999</v>
          </cell>
          <cell r="DZ114">
            <v>0.999</v>
          </cell>
          <cell r="EA114">
            <v>0.999</v>
          </cell>
          <cell r="EB114">
            <v>0.999</v>
          </cell>
          <cell r="EC114">
            <v>0.999</v>
          </cell>
          <cell r="ED114">
            <v>0.999</v>
          </cell>
          <cell r="EE114">
            <v>0.999</v>
          </cell>
          <cell r="EF114">
            <v>0.999</v>
          </cell>
          <cell r="EG114">
            <v>0.999</v>
          </cell>
          <cell r="EH114">
            <v>0.999</v>
          </cell>
          <cell r="EI114">
            <v>0.998</v>
          </cell>
          <cell r="EJ114">
            <v>0.997</v>
          </cell>
          <cell r="EK114">
            <v>0.996</v>
          </cell>
          <cell r="EL114">
            <v>0.995</v>
          </cell>
          <cell r="EM114">
            <v>0.992</v>
          </cell>
          <cell r="EN114">
            <v>0.989</v>
          </cell>
          <cell r="EO114">
            <v>0.985</v>
          </cell>
          <cell r="EP114">
            <v>0.979</v>
          </cell>
          <cell r="EQ114">
            <v>0.97</v>
          </cell>
          <cell r="ER114">
            <v>0.949</v>
          </cell>
          <cell r="ES114">
            <v>0.93</v>
          </cell>
          <cell r="ET114">
            <v>0.899</v>
          </cell>
          <cell r="EU114">
            <v>0.849</v>
          </cell>
          <cell r="EV114">
            <v>0.761</v>
          </cell>
          <cell r="EW114">
            <v>0.613</v>
          </cell>
          <cell r="EX114">
            <v>0.358</v>
          </cell>
          <cell r="EY114">
            <v>0.078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0.893</v>
          </cell>
          <cell r="FF114">
            <v>0.972</v>
          </cell>
          <cell r="FG114">
            <v>0.989</v>
          </cell>
          <cell r="FH114">
            <v>0.998</v>
          </cell>
          <cell r="FI114">
            <v>0.998</v>
          </cell>
          <cell r="FJ114">
            <v>0.998</v>
          </cell>
          <cell r="FK114">
            <v>0.998</v>
          </cell>
          <cell r="FL114">
            <v>0.998</v>
          </cell>
          <cell r="FM114">
            <v>0.998</v>
          </cell>
          <cell r="FN114">
            <v>0.998</v>
          </cell>
          <cell r="FO114">
            <v>0.998</v>
          </cell>
          <cell r="FP114">
            <v>0.998</v>
          </cell>
          <cell r="FQ114">
            <v>0.998</v>
          </cell>
          <cell r="FR114">
            <v>0.998</v>
          </cell>
          <cell r="FS114">
            <v>0.997</v>
          </cell>
          <cell r="FT114">
            <v>0.995</v>
          </cell>
          <cell r="FU114">
            <v>0.993</v>
          </cell>
          <cell r="FV114">
            <v>0.99</v>
          </cell>
          <cell r="FW114">
            <v>0.983</v>
          </cell>
          <cell r="FX114">
            <v>0.976</v>
          </cell>
          <cell r="FY114">
            <v>0.966</v>
          </cell>
          <cell r="FZ114">
            <v>0.954</v>
          </cell>
          <cell r="GA114">
            <v>0.935</v>
          </cell>
          <cell r="GB114">
            <v>0.896</v>
          </cell>
          <cell r="GC114">
            <v>0.861</v>
          </cell>
          <cell r="GD114">
            <v>0.803</v>
          </cell>
          <cell r="GE114">
            <v>0.716</v>
          </cell>
          <cell r="GF114">
            <v>0.579</v>
          </cell>
          <cell r="GG114">
            <v>0.377</v>
          </cell>
          <cell r="GH114">
            <v>0.129</v>
          </cell>
          <cell r="GI114">
            <v>0.009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</row>
        <row r="115">
          <cell r="B115" t="str">
            <v>H-ZLaF68A</v>
          </cell>
          <cell r="C115">
            <v>883408</v>
          </cell>
          <cell r="D115">
            <v>40.79</v>
          </cell>
          <cell r="E115">
            <v>40.56</v>
          </cell>
          <cell r="F115">
            <v>0.021645</v>
          </cell>
          <cell r="G115">
            <v>0.021897</v>
          </cell>
          <cell r="H115">
            <v>1.83774</v>
          </cell>
          <cell r="I115">
            <v>1.84375</v>
          </cell>
          <cell r="J115">
            <v>1.85077</v>
          </cell>
          <cell r="K115">
            <v>1.85799</v>
          </cell>
          <cell r="L115">
            <v>1.86069</v>
          </cell>
          <cell r="M115">
            <v>1.86579</v>
          </cell>
          <cell r="N115">
            <v>1.8695</v>
          </cell>
          <cell r="O115">
            <v>1.87299</v>
          </cell>
          <cell r="P115">
            <v>1.87657</v>
          </cell>
          <cell r="Q115">
            <v>1.87758</v>
          </cell>
          <cell r="R115">
            <v>1.87853</v>
          </cell>
          <cell r="S115">
            <v>1.88281</v>
          </cell>
          <cell r="T115">
            <v>1.883</v>
          </cell>
          <cell r="U115">
            <v>1.88815</v>
          </cell>
          <cell r="V115">
            <v>1.89821</v>
          </cell>
          <cell r="W115">
            <v>1.89948</v>
          </cell>
          <cell r="X115">
            <v>1.91053</v>
          </cell>
          <cell r="Y115">
            <v>1.92097</v>
          </cell>
          <cell r="Z115">
            <v>1.93924</v>
          </cell>
          <cell r="AA115">
            <v>3.43996305</v>
          </cell>
          <cell r="AB115">
            <v>-0.0128171243</v>
          </cell>
          <cell r="AC115">
            <v>0.0356469712</v>
          </cell>
          <cell r="AD115">
            <v>0.000718879378</v>
          </cell>
          <cell r="AE115">
            <v>3.46401317e-5</v>
          </cell>
          <cell r="AF115">
            <v>-9.501018e-8</v>
          </cell>
          <cell r="AG115">
            <v>0.297134935304989</v>
          </cell>
          <cell r="AH115">
            <v>0.237985212569317</v>
          </cell>
          <cell r="AI115">
            <v>0.569316081330877</v>
          </cell>
          <cell r="AJ115">
            <v>0.247488584474885</v>
          </cell>
          <cell r="AK115">
            <v>0.235159817351597</v>
          </cell>
          <cell r="AL115">
            <v>0.504566210045662</v>
          </cell>
          <cell r="AM115">
            <v>-0.00280406787430626</v>
          </cell>
          <cell r="AN115">
            <v>-0.0065317286691231</v>
          </cell>
          <cell r="AO115">
            <v>-0.00394209231052664</v>
          </cell>
          <cell r="AP115">
            <v>-0.000144428835486543</v>
          </cell>
          <cell r="AQ115">
            <v>4.7</v>
          </cell>
          <cell r="AR115">
            <v>4.7</v>
          </cell>
          <cell r="AS115">
            <v>4.6</v>
          </cell>
          <cell r="AT115">
            <v>4.6</v>
          </cell>
          <cell r="AU115">
            <v>4.7</v>
          </cell>
          <cell r="AV115">
            <v>4.8</v>
          </cell>
          <cell r="AW115">
            <v>5.7</v>
          </cell>
          <cell r="AX115">
            <v>5.6</v>
          </cell>
          <cell r="AY115">
            <v>5.6</v>
          </cell>
          <cell r="AZ115">
            <v>5.6</v>
          </cell>
          <cell r="BA115">
            <v>5.8</v>
          </cell>
          <cell r="BB115">
            <v>6</v>
          </cell>
          <cell r="BC115">
            <v>5.7</v>
          </cell>
          <cell r="BD115">
            <v>5.7</v>
          </cell>
          <cell r="BE115">
            <v>5.7</v>
          </cell>
          <cell r="BF115">
            <v>5.7</v>
          </cell>
          <cell r="BG115">
            <v>5.8</v>
          </cell>
          <cell r="BH115">
            <v>6.1</v>
          </cell>
          <cell r="BI115">
            <v>6</v>
          </cell>
          <cell r="BJ115">
            <v>6</v>
          </cell>
          <cell r="BK115">
            <v>6</v>
          </cell>
          <cell r="BL115">
            <v>6</v>
          </cell>
          <cell r="BM115">
            <v>6.2</v>
          </cell>
          <cell r="BN115">
            <v>6.5</v>
          </cell>
          <cell r="BO115">
            <v>6.3</v>
          </cell>
          <cell r="BP115">
            <v>6.4</v>
          </cell>
          <cell r="BQ115">
            <v>6.4</v>
          </cell>
          <cell r="BR115">
            <v>6.4</v>
          </cell>
          <cell r="BS115">
            <v>6.6</v>
          </cell>
          <cell r="BT115">
            <v>6.9</v>
          </cell>
          <cell r="BU115">
            <v>7.2</v>
          </cell>
          <cell r="BV115">
            <v>7.2</v>
          </cell>
          <cell r="BW115">
            <v>7.3</v>
          </cell>
          <cell r="BX115">
            <v>7.4</v>
          </cell>
          <cell r="BY115">
            <v>7.5</v>
          </cell>
          <cell r="BZ115">
            <v>7.9</v>
          </cell>
          <cell r="CA115">
            <v>8</v>
          </cell>
          <cell r="CB115">
            <v>8.1</v>
          </cell>
          <cell r="CC115">
            <v>8.2</v>
          </cell>
          <cell r="CD115">
            <v>8.3</v>
          </cell>
          <cell r="CE115">
            <v>8.5</v>
          </cell>
          <cell r="CF115">
            <v>8.9</v>
          </cell>
          <cell r="CG115">
            <v>3.2</v>
          </cell>
          <cell r="CH115">
            <v>3.5</v>
          </cell>
          <cell r="CI115">
            <v>3.8</v>
          </cell>
          <cell r="CJ115">
            <v>4.1</v>
          </cell>
          <cell r="CK115">
            <v>4.4</v>
          </cell>
          <cell r="CL115">
            <v>4.8</v>
          </cell>
          <cell r="CM115">
            <v>3.33175998176297e-6</v>
          </cell>
          <cell r="CN115">
            <v>1.04664905148882e-8</v>
          </cell>
          <cell r="CO115">
            <v>2.04030226017214e-11</v>
          </cell>
          <cell r="CP115">
            <v>8.96225942672425e-7</v>
          </cell>
          <cell r="CQ115">
            <v>8.10953273753762e-10</v>
          </cell>
          <cell r="CR115">
            <v>0.193706422954674</v>
          </cell>
          <cell r="CS115">
            <v>1</v>
          </cell>
          <cell r="CT115">
            <v>1</v>
          </cell>
          <cell r="CU115">
            <v>1</v>
          </cell>
          <cell r="CV115">
            <v>2</v>
          </cell>
          <cell r="CW115">
            <v>1</v>
          </cell>
          <cell r="CX115">
            <v>1</v>
          </cell>
          <cell r="CY115">
            <v>0</v>
          </cell>
          <cell r="CZ115">
            <v>0</v>
          </cell>
          <cell r="DA115">
            <v>682</v>
          </cell>
          <cell r="DB115">
            <v>732</v>
          </cell>
          <cell r="DC115">
            <v>629</v>
          </cell>
          <cell r="DD115">
            <v>667</v>
          </cell>
          <cell r="DE115">
            <v>68</v>
          </cell>
          <cell r="DF115">
            <v>0</v>
          </cell>
          <cell r="DG115">
            <v>83</v>
          </cell>
          <cell r="DH115">
            <v>0</v>
          </cell>
          <cell r="DI115">
            <v>100</v>
          </cell>
          <cell r="DJ115">
            <v>0</v>
          </cell>
          <cell r="DK115">
            <v>682</v>
          </cell>
          <cell r="DL115">
            <v>58</v>
          </cell>
          <cell r="DM115">
            <v>12287</v>
          </cell>
          <cell r="DN115">
            <v>4726</v>
          </cell>
          <cell r="DO115">
            <v>0.3</v>
          </cell>
          <cell r="DP115">
            <v>0</v>
          </cell>
          <cell r="DQ115" t="str">
            <v>(370)/315</v>
          </cell>
          <cell r="DR115">
            <v>355</v>
          </cell>
          <cell r="DS115">
            <v>313</v>
          </cell>
          <cell r="DT115">
            <v>5.47</v>
          </cell>
          <cell r="DU115">
            <v>0.949</v>
          </cell>
          <cell r="DV115">
            <v>0.993</v>
          </cell>
          <cell r="DW115">
            <v>0.999</v>
          </cell>
          <cell r="DX115">
            <v>0.999</v>
          </cell>
          <cell r="DY115">
            <v>0.999</v>
          </cell>
          <cell r="DZ115">
            <v>0.999</v>
          </cell>
          <cell r="EA115">
            <v>0.999</v>
          </cell>
          <cell r="EB115">
            <v>0.999</v>
          </cell>
          <cell r="EC115">
            <v>0.999</v>
          </cell>
          <cell r="ED115">
            <v>0.999</v>
          </cell>
          <cell r="EE115">
            <v>0.999</v>
          </cell>
          <cell r="EF115">
            <v>0.999</v>
          </cell>
          <cell r="EG115">
            <v>0.999</v>
          </cell>
          <cell r="EH115">
            <v>0.999</v>
          </cell>
          <cell r="EI115">
            <v>0.999</v>
          </cell>
          <cell r="EJ115">
            <v>0.999</v>
          </cell>
          <cell r="EK115">
            <v>0.999</v>
          </cell>
          <cell r="EL115">
            <v>0.997</v>
          </cell>
          <cell r="EM115">
            <v>0.994</v>
          </cell>
          <cell r="EN115">
            <v>0.991</v>
          </cell>
          <cell r="EO115">
            <v>0.988</v>
          </cell>
          <cell r="EP115">
            <v>0.984</v>
          </cell>
          <cell r="EQ115">
            <v>0.98</v>
          </cell>
          <cell r="ER115">
            <v>0.97</v>
          </cell>
          <cell r="ES115">
            <v>0.956</v>
          </cell>
          <cell r="ET115">
            <v>0.937</v>
          </cell>
          <cell r="EU115">
            <v>0.903</v>
          </cell>
          <cell r="EV115">
            <v>0.857</v>
          </cell>
          <cell r="EW115">
            <v>0.785</v>
          </cell>
          <cell r="EX115">
            <v>0.695</v>
          </cell>
          <cell r="EY115">
            <v>0.572</v>
          </cell>
          <cell r="EZ115">
            <v>0.401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0.9</v>
          </cell>
          <cell r="FF115">
            <v>0.985</v>
          </cell>
          <cell r="FG115">
            <v>0.998</v>
          </cell>
          <cell r="FH115">
            <v>0.998</v>
          </cell>
          <cell r="FI115">
            <v>0.998</v>
          </cell>
          <cell r="FJ115">
            <v>0.998</v>
          </cell>
          <cell r="FK115">
            <v>0.998</v>
          </cell>
          <cell r="FL115">
            <v>0.998</v>
          </cell>
          <cell r="FM115">
            <v>0.998</v>
          </cell>
          <cell r="FN115">
            <v>0.998</v>
          </cell>
          <cell r="FO115">
            <v>0.998</v>
          </cell>
          <cell r="FP115">
            <v>0.998</v>
          </cell>
          <cell r="FQ115">
            <v>0.998</v>
          </cell>
          <cell r="FR115">
            <v>0.998</v>
          </cell>
          <cell r="FS115">
            <v>0.998</v>
          </cell>
          <cell r="FT115">
            <v>0.998</v>
          </cell>
          <cell r="FU115">
            <v>0.998</v>
          </cell>
          <cell r="FV115">
            <v>0.995</v>
          </cell>
          <cell r="FW115">
            <v>0.992</v>
          </cell>
          <cell r="FX115">
            <v>0.989</v>
          </cell>
          <cell r="FY115">
            <v>0.985</v>
          </cell>
          <cell r="FZ115">
            <v>0.981</v>
          </cell>
          <cell r="GA115">
            <v>0.96</v>
          </cell>
          <cell r="GB115">
            <v>0.937</v>
          </cell>
          <cell r="GC115">
            <v>0.909</v>
          </cell>
          <cell r="GD115">
            <v>0.873</v>
          </cell>
          <cell r="GE115">
            <v>0.815</v>
          </cell>
          <cell r="GF115">
            <v>0.73</v>
          </cell>
          <cell r="GG115">
            <v>0.607</v>
          </cell>
          <cell r="GH115">
            <v>0.476</v>
          </cell>
          <cell r="GI115">
            <v>0.318</v>
          </cell>
          <cell r="GJ115">
            <v>0.155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</row>
        <row r="116">
          <cell r="B116" t="str">
            <v>H-ZLaF68L</v>
          </cell>
          <cell r="C116">
            <v>883392</v>
          </cell>
          <cell r="D116">
            <v>39.22</v>
          </cell>
          <cell r="E116">
            <v>38.96</v>
          </cell>
          <cell r="F116">
            <v>0.022515</v>
          </cell>
          <cell r="G116">
            <v>0.022799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1.87263</v>
          </cell>
          <cell r="P116">
            <v>1.87634</v>
          </cell>
          <cell r="Q116">
            <v>1.87739</v>
          </cell>
          <cell r="R116">
            <v>1.87836</v>
          </cell>
          <cell r="S116">
            <v>1.8828</v>
          </cell>
          <cell r="T116">
            <v>1.883</v>
          </cell>
          <cell r="U116">
            <v>1.88834</v>
          </cell>
          <cell r="V116">
            <v>1.89885</v>
          </cell>
          <cell r="W116">
            <v>1.90018</v>
          </cell>
          <cell r="X116">
            <v>1.91175</v>
          </cell>
          <cell r="Y116">
            <v>1.92278</v>
          </cell>
          <cell r="Z116">
            <v>1.9424</v>
          </cell>
          <cell r="AA116">
            <v>3.43490099</v>
          </cell>
          <cell r="AB116">
            <v>-0.0128440234</v>
          </cell>
          <cell r="AC116">
            <v>0.0379193928</v>
          </cell>
          <cell r="AD116">
            <v>0.000418120392</v>
          </cell>
          <cell r="AE116">
            <v>7.90798322e-5</v>
          </cell>
          <cell r="AF116">
            <v>-5.98209483e-7</v>
          </cell>
          <cell r="AG116">
            <v>0.29586850288761</v>
          </cell>
          <cell r="AH116">
            <v>0.237227898711679</v>
          </cell>
          <cell r="AI116">
            <v>0.573078631719241</v>
          </cell>
          <cell r="AJ116">
            <v>0.246160596752966</v>
          </cell>
          <cell r="AK116">
            <v>0.234313295304953</v>
          </cell>
          <cell r="AL116">
            <v>0.507678806494078</v>
          </cell>
          <cell r="AM116">
            <v>-0.00164696159928897</v>
          </cell>
          <cell r="AN116">
            <v>-0.00537694828075884</v>
          </cell>
          <cell r="AO116">
            <v>0</v>
          </cell>
          <cell r="AP116">
            <v>0</v>
          </cell>
          <cell r="AQ116">
            <v>3.8</v>
          </cell>
          <cell r="AR116">
            <v>3.8</v>
          </cell>
          <cell r="AS116">
            <v>3.8</v>
          </cell>
          <cell r="AT116">
            <v>3.7</v>
          </cell>
          <cell r="AU116">
            <v>3.8</v>
          </cell>
          <cell r="AV116">
            <v>4</v>
          </cell>
          <cell r="AW116">
            <v>4.8</v>
          </cell>
          <cell r="AX116">
            <v>4.8</v>
          </cell>
          <cell r="AY116">
            <v>4.8</v>
          </cell>
          <cell r="AZ116">
            <v>4.8</v>
          </cell>
          <cell r="BA116">
            <v>4.9</v>
          </cell>
          <cell r="BB116">
            <v>5.1</v>
          </cell>
          <cell r="BC116">
            <v>4.8</v>
          </cell>
          <cell r="BD116">
            <v>4.9</v>
          </cell>
          <cell r="BE116">
            <v>4.9</v>
          </cell>
          <cell r="BF116">
            <v>4.9</v>
          </cell>
          <cell r="BG116">
            <v>5</v>
          </cell>
          <cell r="BH116">
            <v>5.2</v>
          </cell>
          <cell r="BI116">
            <v>5.1</v>
          </cell>
          <cell r="BJ116">
            <v>5.2</v>
          </cell>
          <cell r="BK116">
            <v>5.2</v>
          </cell>
          <cell r="BL116">
            <v>5.2</v>
          </cell>
          <cell r="BM116">
            <v>5.3</v>
          </cell>
          <cell r="BN116">
            <v>5.6</v>
          </cell>
          <cell r="BO116">
            <v>5.5</v>
          </cell>
          <cell r="BP116">
            <v>5.6</v>
          </cell>
          <cell r="BQ116">
            <v>5.6</v>
          </cell>
          <cell r="BR116">
            <v>5.7</v>
          </cell>
          <cell r="BS116">
            <v>5.8</v>
          </cell>
          <cell r="BT116">
            <v>6</v>
          </cell>
          <cell r="BU116">
            <v>6.4</v>
          </cell>
          <cell r="BV116">
            <v>6.5</v>
          </cell>
          <cell r="BW116">
            <v>6.6</v>
          </cell>
          <cell r="BX116">
            <v>6.7</v>
          </cell>
          <cell r="BY116">
            <v>6.8</v>
          </cell>
          <cell r="BZ116">
            <v>7.1</v>
          </cell>
          <cell r="CA116">
            <v>7.3</v>
          </cell>
          <cell r="CB116">
            <v>7.4</v>
          </cell>
          <cell r="CC116">
            <v>7.6</v>
          </cell>
          <cell r="CD116">
            <v>7.7</v>
          </cell>
          <cell r="CE116">
            <v>7.9</v>
          </cell>
          <cell r="CF116">
            <v>8.2</v>
          </cell>
          <cell r="CG116">
            <v>2.3</v>
          </cell>
          <cell r="CH116">
            <v>2.7</v>
          </cell>
          <cell r="CI116">
            <v>3</v>
          </cell>
          <cell r="CJ116">
            <v>3.3</v>
          </cell>
          <cell r="CK116">
            <v>3.6</v>
          </cell>
          <cell r="CL116">
            <v>3.9</v>
          </cell>
          <cell r="CM116">
            <v>2.31513897757964e-6</v>
          </cell>
          <cell r="CN116">
            <v>9.72297685054009e-9</v>
          </cell>
          <cell r="CO116">
            <v>3.80435424692199e-14</v>
          </cell>
          <cell r="CP116">
            <v>7.9896670454619e-7</v>
          </cell>
          <cell r="CQ116">
            <v>9.04510631183649e-10</v>
          </cell>
          <cell r="CR116">
            <v>0.237189249168319</v>
          </cell>
          <cell r="CS116">
            <v>1</v>
          </cell>
          <cell r="CT116">
            <v>1</v>
          </cell>
          <cell r="CU116">
            <v>1</v>
          </cell>
          <cell r="CV116">
            <v>2</v>
          </cell>
          <cell r="CW116">
            <v>1</v>
          </cell>
          <cell r="CX116">
            <v>1</v>
          </cell>
          <cell r="CY116">
            <v>0</v>
          </cell>
          <cell r="CZ116">
            <v>0</v>
          </cell>
          <cell r="DA116">
            <v>719</v>
          </cell>
          <cell r="DB116">
            <v>756</v>
          </cell>
          <cell r="DC116">
            <v>668</v>
          </cell>
          <cell r="DD116">
            <v>705</v>
          </cell>
          <cell r="DE116">
            <v>71</v>
          </cell>
          <cell r="DF116">
            <v>0</v>
          </cell>
          <cell r="DG116">
            <v>82</v>
          </cell>
          <cell r="DH116">
            <v>0</v>
          </cell>
          <cell r="DI116">
            <v>112</v>
          </cell>
          <cell r="DJ116">
            <v>0</v>
          </cell>
          <cell r="DK116">
            <v>680</v>
          </cell>
          <cell r="DL116">
            <v>59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 t="str">
            <v>(390)/340</v>
          </cell>
          <cell r="DR116">
            <v>373</v>
          </cell>
          <cell r="DS116">
            <v>341</v>
          </cell>
          <cell r="DT116">
            <v>5.04</v>
          </cell>
          <cell r="DU116">
            <v>0.935</v>
          </cell>
          <cell r="DV116">
            <v>0.985</v>
          </cell>
          <cell r="DW116">
            <v>0.994</v>
          </cell>
          <cell r="DX116">
            <v>0.999</v>
          </cell>
          <cell r="DY116">
            <v>0.999</v>
          </cell>
          <cell r="DZ116">
            <v>0.999</v>
          </cell>
          <cell r="EA116">
            <v>0.999</v>
          </cell>
          <cell r="EB116">
            <v>0.999</v>
          </cell>
          <cell r="EC116">
            <v>0.999</v>
          </cell>
          <cell r="ED116">
            <v>0.999</v>
          </cell>
          <cell r="EE116">
            <v>0.999</v>
          </cell>
          <cell r="EF116">
            <v>0.999</v>
          </cell>
          <cell r="EG116">
            <v>0.999</v>
          </cell>
          <cell r="EH116">
            <v>0.999</v>
          </cell>
          <cell r="EI116">
            <v>0.999</v>
          </cell>
          <cell r="EJ116">
            <v>0.999</v>
          </cell>
          <cell r="EK116">
            <v>0.999</v>
          </cell>
          <cell r="EL116">
            <v>0.996</v>
          </cell>
          <cell r="EM116">
            <v>0.993</v>
          </cell>
          <cell r="EN116">
            <v>0.989</v>
          </cell>
          <cell r="EO116">
            <v>0.984</v>
          </cell>
          <cell r="EP116">
            <v>0.978</v>
          </cell>
          <cell r="EQ116">
            <v>0.966</v>
          </cell>
          <cell r="ER116">
            <v>0.942</v>
          </cell>
          <cell r="ES116">
            <v>0.918</v>
          </cell>
          <cell r="ET116">
            <v>0.881</v>
          </cell>
          <cell r="EU116">
            <v>0.822</v>
          </cell>
          <cell r="EV116">
            <v>0.713</v>
          </cell>
          <cell r="EW116">
            <v>0.507</v>
          </cell>
          <cell r="EX116">
            <v>0.186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0.874</v>
          </cell>
          <cell r="FF116">
            <v>0.97</v>
          </cell>
          <cell r="FG116">
            <v>0.989</v>
          </cell>
          <cell r="FH116">
            <v>0.998</v>
          </cell>
          <cell r="FI116">
            <v>0.998</v>
          </cell>
          <cell r="FJ116">
            <v>0.998</v>
          </cell>
          <cell r="FK116">
            <v>0.998</v>
          </cell>
          <cell r="FL116">
            <v>0.998</v>
          </cell>
          <cell r="FM116">
            <v>0.998</v>
          </cell>
          <cell r="FN116">
            <v>0.998</v>
          </cell>
          <cell r="FO116">
            <v>0.998</v>
          </cell>
          <cell r="FP116">
            <v>0.998</v>
          </cell>
          <cell r="FQ116">
            <v>0.998</v>
          </cell>
          <cell r="FR116">
            <v>0.998</v>
          </cell>
          <cell r="FS116">
            <v>0.998</v>
          </cell>
          <cell r="FT116">
            <v>0.998</v>
          </cell>
          <cell r="FU116">
            <v>0.998</v>
          </cell>
          <cell r="FV116">
            <v>0.993</v>
          </cell>
          <cell r="FW116">
            <v>0.985</v>
          </cell>
          <cell r="FX116">
            <v>0.975</v>
          </cell>
          <cell r="FY116">
            <v>0.965</v>
          </cell>
          <cell r="FZ116">
            <v>0.952</v>
          </cell>
          <cell r="GA116">
            <v>0.931</v>
          </cell>
          <cell r="GB116">
            <v>0.884</v>
          </cell>
          <cell r="GC116">
            <v>0.841</v>
          </cell>
          <cell r="GD116">
            <v>0.775</v>
          </cell>
          <cell r="GE116">
            <v>0.675</v>
          </cell>
          <cell r="GF116">
            <v>0.511</v>
          </cell>
          <cell r="GG116">
            <v>0.261</v>
          </cell>
          <cell r="GH116">
            <v>0.039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</row>
        <row r="117">
          <cell r="B117" t="str">
            <v>H-ZLaF70</v>
          </cell>
          <cell r="C117">
            <v>904313</v>
          </cell>
          <cell r="D117">
            <v>31.32</v>
          </cell>
          <cell r="E117">
            <v>31.08</v>
          </cell>
          <cell r="F117">
            <v>0.028857</v>
          </cell>
          <cell r="G117">
            <v>0.029295</v>
          </cell>
          <cell r="H117">
            <v>1.84663</v>
          </cell>
          <cell r="I117">
            <v>1.85408</v>
          </cell>
          <cell r="J117">
            <v>1.86274</v>
          </cell>
          <cell r="K117">
            <v>1.87166</v>
          </cell>
          <cell r="L117">
            <v>1.87504</v>
          </cell>
          <cell r="M117">
            <v>1.88144</v>
          </cell>
          <cell r="N117">
            <v>1.88615</v>
          </cell>
          <cell r="O117">
            <v>1.89065</v>
          </cell>
          <cell r="P117">
            <v>1.89526</v>
          </cell>
          <cell r="Q117">
            <v>1.89657</v>
          </cell>
          <cell r="R117">
            <v>1.89781</v>
          </cell>
          <cell r="S117">
            <v>1.90341</v>
          </cell>
          <cell r="T117">
            <v>1.90366</v>
          </cell>
          <cell r="U117">
            <v>1.91048</v>
          </cell>
          <cell r="V117">
            <v>1.92412</v>
          </cell>
          <cell r="W117">
            <v>1.92587</v>
          </cell>
          <cell r="X117">
            <v>1.94128</v>
          </cell>
          <cell r="Y117">
            <v>1.95645</v>
          </cell>
          <cell r="Z117">
            <v>1.98472</v>
          </cell>
          <cell r="AA117">
            <v>3.48854243</v>
          </cell>
          <cell r="AB117">
            <v>-0.0159982726</v>
          </cell>
          <cell r="AC117">
            <v>0.0428443509</v>
          </cell>
          <cell r="AD117">
            <v>0.00218903241</v>
          </cell>
          <cell r="AE117">
            <v>-0.000115672643</v>
          </cell>
          <cell r="AF117">
            <v>1.78697063e-5</v>
          </cell>
          <cell r="AG117">
            <v>0.291060291060289</v>
          </cell>
          <cell r="AH117">
            <v>0.236313236313237</v>
          </cell>
          <cell r="AI117">
            <v>0.594594594594587</v>
          </cell>
          <cell r="AJ117">
            <v>0.241979522184295</v>
          </cell>
          <cell r="AK117">
            <v>0.232764505119457</v>
          </cell>
          <cell r="AL117">
            <v>0.5259385665529</v>
          </cell>
          <cell r="AM117">
            <v>-0.000284887373525798</v>
          </cell>
          <cell r="AN117">
            <v>0.0030171145945869</v>
          </cell>
          <cell r="AO117">
            <v>0.00874698062369472</v>
          </cell>
          <cell r="AP117">
            <v>0.00329547886347516</v>
          </cell>
          <cell r="AQ117">
            <v>2.4</v>
          </cell>
          <cell r="AR117">
            <v>2.4</v>
          </cell>
          <cell r="AS117">
            <v>2.5</v>
          </cell>
          <cell r="AT117">
            <v>2.5</v>
          </cell>
          <cell r="AU117">
            <v>2.7</v>
          </cell>
          <cell r="AV117">
            <v>2.8</v>
          </cell>
          <cell r="AW117">
            <v>3.4</v>
          </cell>
          <cell r="AX117">
            <v>3.5</v>
          </cell>
          <cell r="AY117">
            <v>3.6</v>
          </cell>
          <cell r="AZ117">
            <v>3.7</v>
          </cell>
          <cell r="BA117">
            <v>3.9</v>
          </cell>
          <cell r="BB117">
            <v>4.1</v>
          </cell>
          <cell r="BC117">
            <v>3.5</v>
          </cell>
          <cell r="BD117">
            <v>3.5</v>
          </cell>
          <cell r="BE117">
            <v>3.7</v>
          </cell>
          <cell r="BF117">
            <v>3.8</v>
          </cell>
          <cell r="BG117">
            <v>4</v>
          </cell>
          <cell r="BH117">
            <v>4.2</v>
          </cell>
          <cell r="BI117">
            <v>3.8</v>
          </cell>
          <cell r="BJ117">
            <v>3.9</v>
          </cell>
          <cell r="BK117">
            <v>4</v>
          </cell>
          <cell r="BL117">
            <v>4.2</v>
          </cell>
          <cell r="BM117">
            <v>4.4</v>
          </cell>
          <cell r="BN117">
            <v>4.7</v>
          </cell>
          <cell r="BO117">
            <v>4.2</v>
          </cell>
          <cell r="BP117">
            <v>4.4</v>
          </cell>
          <cell r="BQ117">
            <v>4.6</v>
          </cell>
          <cell r="BR117">
            <v>4.7</v>
          </cell>
          <cell r="BS117">
            <v>5</v>
          </cell>
          <cell r="BT117">
            <v>5.2</v>
          </cell>
          <cell r="BU117">
            <v>5.3</v>
          </cell>
          <cell r="BV117">
            <v>5.5</v>
          </cell>
          <cell r="BW117">
            <v>5.8</v>
          </cell>
          <cell r="BX117">
            <v>6</v>
          </cell>
          <cell r="BY117">
            <v>6.3</v>
          </cell>
          <cell r="BZ117">
            <v>6.7</v>
          </cell>
          <cell r="CA117">
            <v>6.6</v>
          </cell>
          <cell r="CB117">
            <v>6.9</v>
          </cell>
          <cell r="CC117">
            <v>7.2</v>
          </cell>
          <cell r="CD117">
            <v>7.5</v>
          </cell>
          <cell r="CE117">
            <v>7.9</v>
          </cell>
          <cell r="CF117">
            <v>8.2</v>
          </cell>
          <cell r="CG117">
            <v>0.9</v>
          </cell>
          <cell r="CH117">
            <v>1.3</v>
          </cell>
          <cell r="CI117">
            <v>1.8</v>
          </cell>
          <cell r="CJ117">
            <v>2.2</v>
          </cell>
          <cell r="CK117">
            <v>2.6</v>
          </cell>
          <cell r="CL117">
            <v>2.9</v>
          </cell>
          <cell r="CM117">
            <v>1.1e-7</v>
          </cell>
          <cell r="CN117">
            <v>1.147e-8</v>
          </cell>
          <cell r="CO117">
            <v>-1.998e-11</v>
          </cell>
          <cell r="CP117">
            <v>9.32e-7</v>
          </cell>
          <cell r="CQ117">
            <v>1.1758e-9</v>
          </cell>
          <cell r="CR117">
            <v>0.26</v>
          </cell>
          <cell r="CS117">
            <v>1</v>
          </cell>
          <cell r="CT117">
            <v>2</v>
          </cell>
          <cell r="CU117">
            <v>1</v>
          </cell>
          <cell r="CV117">
            <v>2</v>
          </cell>
          <cell r="CW117">
            <v>1</v>
          </cell>
          <cell r="CX117">
            <v>1</v>
          </cell>
          <cell r="CY117">
            <v>0</v>
          </cell>
          <cell r="CZ117">
            <v>0</v>
          </cell>
          <cell r="DA117">
            <v>660</v>
          </cell>
          <cell r="DB117">
            <v>698</v>
          </cell>
          <cell r="DC117">
            <v>595</v>
          </cell>
          <cell r="DD117">
            <v>643</v>
          </cell>
          <cell r="DE117">
            <v>66</v>
          </cell>
          <cell r="DF117">
            <v>0</v>
          </cell>
          <cell r="DG117">
            <v>82</v>
          </cell>
          <cell r="DH117">
            <v>0</v>
          </cell>
          <cell r="DI117">
            <v>185</v>
          </cell>
          <cell r="DJ117">
            <v>0</v>
          </cell>
          <cell r="DK117">
            <v>640</v>
          </cell>
          <cell r="DL117">
            <v>80</v>
          </cell>
          <cell r="DM117">
            <v>11725</v>
          </cell>
          <cell r="DN117">
            <v>4501</v>
          </cell>
          <cell r="DO117">
            <v>0.296</v>
          </cell>
          <cell r="DP117">
            <v>0</v>
          </cell>
          <cell r="DQ117" t="str">
            <v>(410)/360</v>
          </cell>
          <cell r="DR117">
            <v>0</v>
          </cell>
          <cell r="DS117">
            <v>0</v>
          </cell>
          <cell r="DT117">
            <v>4.54</v>
          </cell>
          <cell r="DU117">
            <v>0.904</v>
          </cell>
          <cell r="DV117">
            <v>0.979</v>
          </cell>
          <cell r="DW117">
            <v>0.998</v>
          </cell>
          <cell r="DX117">
            <v>0.998</v>
          </cell>
          <cell r="DY117">
            <v>0.998</v>
          </cell>
          <cell r="DZ117">
            <v>0.998</v>
          </cell>
          <cell r="EA117">
            <v>0.998</v>
          </cell>
          <cell r="EB117">
            <v>0.998</v>
          </cell>
          <cell r="EC117">
            <v>0.998</v>
          </cell>
          <cell r="ED117">
            <v>0.998</v>
          </cell>
          <cell r="EE117">
            <v>0.998</v>
          </cell>
          <cell r="EF117">
            <v>0.998</v>
          </cell>
          <cell r="EG117">
            <v>0.998</v>
          </cell>
          <cell r="EH117">
            <v>0.998</v>
          </cell>
          <cell r="EI117">
            <v>0.998</v>
          </cell>
          <cell r="EJ117">
            <v>0.998</v>
          </cell>
          <cell r="EK117">
            <v>0.998</v>
          </cell>
          <cell r="EL117">
            <v>0.996</v>
          </cell>
          <cell r="EM117">
            <v>0.99</v>
          </cell>
          <cell r="EN117">
            <v>0.984</v>
          </cell>
          <cell r="EO117">
            <v>0.977</v>
          </cell>
          <cell r="EP117">
            <v>0.968</v>
          </cell>
          <cell r="EQ117">
            <v>0.95</v>
          </cell>
          <cell r="ER117">
            <v>0.914</v>
          </cell>
          <cell r="ES117">
            <v>0.874</v>
          </cell>
          <cell r="ET117">
            <v>0.79</v>
          </cell>
          <cell r="EU117">
            <v>0.591</v>
          </cell>
          <cell r="EV117">
            <v>0.229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0.817</v>
          </cell>
          <cell r="FF117">
            <v>0.958</v>
          </cell>
          <cell r="FG117">
            <v>0.996</v>
          </cell>
          <cell r="FH117">
            <v>0.996</v>
          </cell>
          <cell r="FI117">
            <v>0.996</v>
          </cell>
          <cell r="FJ117">
            <v>0.996</v>
          </cell>
          <cell r="FK117">
            <v>0.996</v>
          </cell>
          <cell r="FL117">
            <v>0.996</v>
          </cell>
          <cell r="FM117">
            <v>0.996</v>
          </cell>
          <cell r="FN117">
            <v>0.996</v>
          </cell>
          <cell r="FO117">
            <v>0.996</v>
          </cell>
          <cell r="FP117">
            <v>0.996</v>
          </cell>
          <cell r="FQ117">
            <v>0.996</v>
          </cell>
          <cell r="FR117">
            <v>0.996</v>
          </cell>
          <cell r="FS117">
            <v>0.996</v>
          </cell>
          <cell r="FT117">
            <v>0.996</v>
          </cell>
          <cell r="FU117">
            <v>0.996</v>
          </cell>
          <cell r="FV117">
            <v>0.994</v>
          </cell>
          <cell r="FW117">
            <v>0.984</v>
          </cell>
          <cell r="FX117">
            <v>0.977</v>
          </cell>
          <cell r="FY117">
            <v>0.969</v>
          </cell>
          <cell r="FZ117">
            <v>0.954</v>
          </cell>
          <cell r="GA117">
            <v>0.927</v>
          </cell>
          <cell r="GB117">
            <v>0.859</v>
          </cell>
          <cell r="GC117">
            <v>0.784</v>
          </cell>
          <cell r="GD117">
            <v>0.635</v>
          </cell>
          <cell r="GE117">
            <v>0.348</v>
          </cell>
          <cell r="GF117">
            <v>0.053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</row>
        <row r="118">
          <cell r="B118" t="str">
            <v>H-ZLaF72</v>
          </cell>
          <cell r="C118">
            <v>911353</v>
          </cell>
          <cell r="D118">
            <v>35.25</v>
          </cell>
          <cell r="E118">
            <v>35.01</v>
          </cell>
          <cell r="F118">
            <v>0.025839</v>
          </cell>
          <cell r="G118">
            <v>0.026194</v>
          </cell>
          <cell r="H118">
            <v>1.85959</v>
          </cell>
          <cell r="I118">
            <v>1.86612</v>
          </cell>
          <cell r="J118">
            <v>1.87377</v>
          </cell>
          <cell r="K118">
            <v>1.88177</v>
          </cell>
          <cell r="L118">
            <v>1.88484</v>
          </cell>
          <cell r="M118">
            <v>1.89068</v>
          </cell>
          <cell r="N118">
            <v>1.89497</v>
          </cell>
          <cell r="O118">
            <v>1.89905</v>
          </cell>
          <cell r="P118">
            <v>1.90323</v>
          </cell>
          <cell r="Q118">
            <v>1.90443</v>
          </cell>
          <cell r="R118">
            <v>1.90554</v>
          </cell>
          <cell r="S118">
            <v>1.9106</v>
          </cell>
          <cell r="T118">
            <v>1.91082</v>
          </cell>
          <cell r="U118">
            <v>1.91695</v>
          </cell>
          <cell r="V118">
            <v>1.92907</v>
          </cell>
          <cell r="W118">
            <v>1.93062</v>
          </cell>
          <cell r="X118">
            <v>1.94415</v>
          </cell>
          <cell r="Y118">
            <v>1.9572</v>
          </cell>
          <cell r="Z118">
            <v>1.98078</v>
          </cell>
          <cell r="AA118">
            <v>3.52587871</v>
          </cell>
          <cell r="AB118">
            <v>-0.0139436897</v>
          </cell>
          <cell r="AC118">
            <v>0.040903752</v>
          </cell>
          <cell r="AD118">
            <v>0.00138553859</v>
          </cell>
          <cell r="AE118">
            <v>-1.74895373e-5</v>
          </cell>
          <cell r="AF118">
            <v>6.86910964e-6</v>
          </cell>
          <cell r="AG118">
            <v>0.293730650154797</v>
          </cell>
          <cell r="AH118">
            <v>0.237229102167181</v>
          </cell>
          <cell r="AI118">
            <v>0.583591331269347</v>
          </cell>
          <cell r="AJ118">
            <v>0.243986254295529</v>
          </cell>
          <cell r="AK118">
            <v>0.23405880106911</v>
          </cell>
          <cell r="AL118">
            <v>0.516609392898056</v>
          </cell>
          <cell r="AM118">
            <v>-0.00170175232197792</v>
          </cell>
          <cell r="AN118">
            <v>-0.00145841873065269</v>
          </cell>
          <cell r="AO118">
            <v>0.000765806501541982</v>
          </cell>
          <cell r="AP118">
            <v>0.000681114551084397</v>
          </cell>
          <cell r="AQ118">
            <v>4.5</v>
          </cell>
          <cell r="AR118">
            <v>4.5</v>
          </cell>
          <cell r="AS118">
            <v>4.6</v>
          </cell>
          <cell r="AT118">
            <v>4.6</v>
          </cell>
          <cell r="AU118">
            <v>4.7</v>
          </cell>
          <cell r="AV118">
            <v>4.8</v>
          </cell>
          <cell r="AW118">
            <v>5.6</v>
          </cell>
          <cell r="AX118">
            <v>5.6</v>
          </cell>
          <cell r="AY118">
            <v>5.7</v>
          </cell>
          <cell r="AZ118">
            <v>5.8</v>
          </cell>
          <cell r="BA118">
            <v>5.9</v>
          </cell>
          <cell r="BB118">
            <v>6</v>
          </cell>
          <cell r="BC118">
            <v>5.6</v>
          </cell>
          <cell r="BD118">
            <v>5.7</v>
          </cell>
          <cell r="BE118">
            <v>5.8</v>
          </cell>
          <cell r="BF118">
            <v>5.9</v>
          </cell>
          <cell r="BG118">
            <v>5.9</v>
          </cell>
          <cell r="BH118">
            <v>6.1</v>
          </cell>
          <cell r="BI118">
            <v>5.9</v>
          </cell>
          <cell r="BJ118">
            <v>6.1</v>
          </cell>
          <cell r="BK118">
            <v>6.2</v>
          </cell>
          <cell r="BL118">
            <v>6.2</v>
          </cell>
          <cell r="BM118">
            <v>6.3</v>
          </cell>
          <cell r="BN118">
            <v>6.5</v>
          </cell>
          <cell r="BO118">
            <v>6.4</v>
          </cell>
          <cell r="BP118">
            <v>6.5</v>
          </cell>
          <cell r="BQ118">
            <v>6.7</v>
          </cell>
          <cell r="BR118">
            <v>6.7</v>
          </cell>
          <cell r="BS118">
            <v>6.8</v>
          </cell>
          <cell r="BT118">
            <v>7</v>
          </cell>
          <cell r="BU118">
            <v>7.4</v>
          </cell>
          <cell r="BV118">
            <v>7.6</v>
          </cell>
          <cell r="BW118">
            <v>7.8</v>
          </cell>
          <cell r="BX118">
            <v>7.9</v>
          </cell>
          <cell r="BY118">
            <v>8</v>
          </cell>
          <cell r="BZ118">
            <v>8.3</v>
          </cell>
          <cell r="CA118">
            <v>8.5</v>
          </cell>
          <cell r="CB118">
            <v>8.8</v>
          </cell>
          <cell r="CC118">
            <v>9</v>
          </cell>
          <cell r="CD118">
            <v>9.1</v>
          </cell>
          <cell r="CE118">
            <v>9.3</v>
          </cell>
          <cell r="CF118">
            <v>9.6</v>
          </cell>
          <cell r="CG118">
            <v>3</v>
          </cell>
          <cell r="CH118">
            <v>3.5</v>
          </cell>
          <cell r="CI118">
            <v>3.9</v>
          </cell>
          <cell r="CJ118">
            <v>4.2</v>
          </cell>
          <cell r="CK118">
            <v>4.5</v>
          </cell>
          <cell r="CL118">
            <v>4.8</v>
          </cell>
          <cell r="CM118">
            <v>3.21e-6</v>
          </cell>
          <cell r="CN118">
            <v>9.18e-9</v>
          </cell>
          <cell r="CO118">
            <v>-1.788e-11</v>
          </cell>
          <cell r="CP118">
            <v>9e-7</v>
          </cell>
          <cell r="CQ118">
            <v>1.0978e-9</v>
          </cell>
          <cell r="CR118">
            <v>0.24</v>
          </cell>
          <cell r="CS118">
            <v>1</v>
          </cell>
          <cell r="CT118">
            <v>1</v>
          </cell>
          <cell r="CU118">
            <v>1</v>
          </cell>
          <cell r="CV118">
            <v>1</v>
          </cell>
          <cell r="CW118">
            <v>1</v>
          </cell>
          <cell r="CX118">
            <v>1</v>
          </cell>
          <cell r="CY118">
            <v>0</v>
          </cell>
          <cell r="CZ118">
            <v>0</v>
          </cell>
          <cell r="DA118">
            <v>688</v>
          </cell>
          <cell r="DB118">
            <v>747</v>
          </cell>
          <cell r="DC118">
            <v>655</v>
          </cell>
          <cell r="DD118">
            <v>680</v>
          </cell>
          <cell r="DE118">
            <v>67</v>
          </cell>
          <cell r="DF118">
            <v>0</v>
          </cell>
          <cell r="DG118">
            <v>83</v>
          </cell>
          <cell r="DH118">
            <v>0</v>
          </cell>
          <cell r="DI118">
            <v>140</v>
          </cell>
          <cell r="DJ118">
            <v>0</v>
          </cell>
          <cell r="DK118">
            <v>663</v>
          </cell>
          <cell r="DL118">
            <v>74</v>
          </cell>
          <cell r="DM118">
            <v>12687</v>
          </cell>
          <cell r="DN118">
            <v>4872</v>
          </cell>
          <cell r="DO118">
            <v>0.302</v>
          </cell>
          <cell r="DP118">
            <v>0</v>
          </cell>
          <cell r="DQ118" t="str">
            <v>(400)/350</v>
          </cell>
          <cell r="DR118">
            <v>381</v>
          </cell>
          <cell r="DS118">
            <v>350</v>
          </cell>
          <cell r="DT118">
            <v>4.88</v>
          </cell>
          <cell r="DU118">
            <v>0.931</v>
          </cell>
          <cell r="DV118">
            <v>0.987</v>
          </cell>
          <cell r="DW118">
            <v>0.997</v>
          </cell>
          <cell r="DX118">
            <v>0.997</v>
          </cell>
          <cell r="DY118">
            <v>0.997</v>
          </cell>
          <cell r="DZ118">
            <v>0.997</v>
          </cell>
          <cell r="EA118">
            <v>0.997</v>
          </cell>
          <cell r="EB118">
            <v>0.997</v>
          </cell>
          <cell r="EC118">
            <v>0.997</v>
          </cell>
          <cell r="ED118">
            <v>0.997</v>
          </cell>
          <cell r="EE118">
            <v>0.997</v>
          </cell>
          <cell r="EF118">
            <v>0.997</v>
          </cell>
          <cell r="EG118">
            <v>0.997</v>
          </cell>
          <cell r="EH118">
            <v>0.997</v>
          </cell>
          <cell r="EI118">
            <v>0.997</v>
          </cell>
          <cell r="EJ118">
            <v>0.997</v>
          </cell>
          <cell r="EK118">
            <v>0.997</v>
          </cell>
          <cell r="EL118">
            <v>0.992</v>
          </cell>
          <cell r="EM118">
            <v>0.983</v>
          </cell>
          <cell r="EN118">
            <v>0.98</v>
          </cell>
          <cell r="EO118">
            <v>0.974</v>
          </cell>
          <cell r="EP118">
            <v>0.966</v>
          </cell>
          <cell r="EQ118">
            <v>0.955</v>
          </cell>
          <cell r="ER118">
            <v>0.921</v>
          </cell>
          <cell r="ES118">
            <v>0.886</v>
          </cell>
          <cell r="ET118">
            <v>0.828</v>
          </cell>
          <cell r="EU118">
            <v>0.721</v>
          </cell>
          <cell r="EV118">
            <v>0.517</v>
          </cell>
          <cell r="EW118">
            <v>0.205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0.867</v>
          </cell>
          <cell r="FF118">
            <v>0.974</v>
          </cell>
          <cell r="FG118">
            <v>0.994</v>
          </cell>
          <cell r="FH118">
            <v>0.994</v>
          </cell>
          <cell r="FI118">
            <v>0.994</v>
          </cell>
          <cell r="FJ118">
            <v>0.994</v>
          </cell>
          <cell r="FK118">
            <v>0.994</v>
          </cell>
          <cell r="FL118">
            <v>0.994</v>
          </cell>
          <cell r="FM118">
            <v>0.994</v>
          </cell>
          <cell r="FN118">
            <v>0.994</v>
          </cell>
          <cell r="FO118">
            <v>0.994</v>
          </cell>
          <cell r="FP118">
            <v>0.994</v>
          </cell>
          <cell r="FQ118">
            <v>0.994</v>
          </cell>
          <cell r="FR118">
            <v>0.994</v>
          </cell>
          <cell r="FS118">
            <v>0.994</v>
          </cell>
          <cell r="FT118">
            <v>0.994</v>
          </cell>
          <cell r="FU118">
            <v>0.994</v>
          </cell>
          <cell r="FV118">
            <v>0.987</v>
          </cell>
          <cell r="FW118">
            <v>0.969</v>
          </cell>
          <cell r="FX118">
            <v>0.96</v>
          </cell>
          <cell r="FY118">
            <v>0.948</v>
          </cell>
          <cell r="FZ118">
            <v>0.931</v>
          </cell>
          <cell r="GA118">
            <v>0.904</v>
          </cell>
          <cell r="GB118">
            <v>0.837</v>
          </cell>
          <cell r="GC118">
            <v>0.773</v>
          </cell>
          <cell r="GD118">
            <v>0.673</v>
          </cell>
          <cell r="GE118">
            <v>0.51</v>
          </cell>
          <cell r="GF118">
            <v>0.261</v>
          </cell>
          <cell r="GG118">
            <v>0.041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</row>
        <row r="119">
          <cell r="B119" t="str">
            <v>H-ZLaF75</v>
          </cell>
          <cell r="C119">
            <v>950294</v>
          </cell>
          <cell r="D119">
            <v>29.37</v>
          </cell>
          <cell r="E119">
            <v>29.15</v>
          </cell>
          <cell r="F119">
            <v>0.03235</v>
          </cell>
          <cell r="G119">
            <v>0.032852</v>
          </cell>
          <cell r="H119">
            <v>0</v>
          </cell>
          <cell r="I119">
            <v>0</v>
          </cell>
          <cell r="J119">
            <v>0</v>
          </cell>
          <cell r="K119">
            <v>1.91478</v>
          </cell>
          <cell r="L119">
            <v>1.91838</v>
          </cell>
          <cell r="M119">
            <v>1.92534</v>
          </cell>
          <cell r="N119">
            <v>1.93052</v>
          </cell>
          <cell r="O119">
            <v>1.9355</v>
          </cell>
          <cell r="P119">
            <v>1.94063</v>
          </cell>
          <cell r="Q119">
            <v>1.94209</v>
          </cell>
          <cell r="R119">
            <v>1.94346</v>
          </cell>
          <cell r="S119">
            <v>1.94972</v>
          </cell>
          <cell r="T119">
            <v>1.95</v>
          </cell>
          <cell r="U119">
            <v>1.95764</v>
          </cell>
          <cell r="V119">
            <v>1.97298</v>
          </cell>
          <cell r="W119">
            <v>1.97494</v>
          </cell>
          <cell r="X119">
            <v>1.99239</v>
          </cell>
          <cell r="Y119">
            <v>2.00956</v>
          </cell>
          <cell r="Z119">
            <v>0</v>
          </cell>
          <cell r="AA119">
            <v>3.64292365</v>
          </cell>
          <cell r="AB119">
            <v>-0.0142947125</v>
          </cell>
          <cell r="AC119">
            <v>0.0520033015</v>
          </cell>
          <cell r="AD119">
            <v>0.00131391485</v>
          </cell>
          <cell r="AE119">
            <v>9.97387202e-5</v>
          </cell>
          <cell r="AF119">
            <v>6.08040455e-6</v>
          </cell>
          <cell r="AG119">
            <v>0.289644513137555</v>
          </cell>
          <cell r="AH119">
            <v>0.236166924265846</v>
          </cell>
          <cell r="AI119">
            <v>0.600000000000007</v>
          </cell>
          <cell r="AJ119">
            <v>0.240791476407912</v>
          </cell>
          <cell r="AK119">
            <v>0.232572298325727</v>
          </cell>
          <cell r="AL119">
            <v>0.531202435312033</v>
          </cell>
          <cell r="AM119">
            <v>0.000200802596598614</v>
          </cell>
          <cell r="AN119">
            <v>0.00518357000000691</v>
          </cell>
          <cell r="AO119">
            <v>0.00536277907264868</v>
          </cell>
          <cell r="AP119">
            <v>0.00175496754250648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1</v>
          </cell>
          <cell r="CT119">
            <v>1</v>
          </cell>
          <cell r="CU119">
            <v>1</v>
          </cell>
          <cell r="CV119">
            <v>1</v>
          </cell>
          <cell r="CW119">
            <v>0</v>
          </cell>
          <cell r="CX119">
            <v>1</v>
          </cell>
          <cell r="CY119">
            <v>0</v>
          </cell>
          <cell r="CZ119">
            <v>0</v>
          </cell>
          <cell r="DA119">
            <v>666</v>
          </cell>
          <cell r="DB119">
            <v>706</v>
          </cell>
          <cell r="DC119">
            <v>617</v>
          </cell>
          <cell r="DD119">
            <v>653</v>
          </cell>
          <cell r="DE119">
            <v>68</v>
          </cell>
          <cell r="DF119">
            <v>0</v>
          </cell>
          <cell r="DG119">
            <v>83</v>
          </cell>
          <cell r="DH119">
            <v>0</v>
          </cell>
          <cell r="DI119">
            <v>0</v>
          </cell>
          <cell r="DJ119">
            <v>0</v>
          </cell>
          <cell r="DK119">
            <v>625</v>
          </cell>
          <cell r="DL119">
            <v>66</v>
          </cell>
          <cell r="DM119">
            <v>11784</v>
          </cell>
          <cell r="DN119">
            <v>4529</v>
          </cell>
          <cell r="DO119">
            <v>0.301</v>
          </cell>
          <cell r="DP119">
            <v>0</v>
          </cell>
          <cell r="DQ119" t="str">
            <v>(430)/370</v>
          </cell>
          <cell r="DR119">
            <v>0</v>
          </cell>
          <cell r="DS119">
            <v>0</v>
          </cell>
          <cell r="DT119">
            <v>4.77</v>
          </cell>
          <cell r="DU119">
            <v>0.926</v>
          </cell>
          <cell r="DV119">
            <v>0.976</v>
          </cell>
          <cell r="DW119">
            <v>0.983</v>
          </cell>
          <cell r="DX119">
            <v>0.996</v>
          </cell>
          <cell r="DY119">
            <v>0.996</v>
          </cell>
          <cell r="DZ119">
            <v>0.996</v>
          </cell>
          <cell r="EA119">
            <v>0.996</v>
          </cell>
          <cell r="EB119">
            <v>0.996</v>
          </cell>
          <cell r="EC119">
            <v>0.996</v>
          </cell>
          <cell r="ED119">
            <v>0.996</v>
          </cell>
          <cell r="EE119">
            <v>0.996</v>
          </cell>
          <cell r="EF119">
            <v>0.996</v>
          </cell>
          <cell r="EG119">
            <v>0.996</v>
          </cell>
          <cell r="EH119">
            <v>0.996</v>
          </cell>
          <cell r="EI119">
            <v>0.996</v>
          </cell>
          <cell r="EJ119">
            <v>0.996</v>
          </cell>
          <cell r="EK119">
            <v>0.996</v>
          </cell>
          <cell r="EL119">
            <v>0.991</v>
          </cell>
          <cell r="EM119">
            <v>0.981</v>
          </cell>
          <cell r="EN119">
            <v>0.968</v>
          </cell>
          <cell r="EO119">
            <v>0.953</v>
          </cell>
          <cell r="EP119">
            <v>0.929</v>
          </cell>
          <cell r="EQ119">
            <v>0.87</v>
          </cell>
          <cell r="ER119">
            <v>0.73</v>
          </cell>
          <cell r="ES119">
            <v>0.604</v>
          </cell>
          <cell r="ET119">
            <v>0.426</v>
          </cell>
          <cell r="EU119">
            <v>0.212</v>
          </cell>
          <cell r="EV119">
            <v>0.165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0.857</v>
          </cell>
          <cell r="FF119">
            <v>0.953</v>
          </cell>
          <cell r="FG119">
            <v>0.966</v>
          </cell>
          <cell r="FH119">
            <v>0.992</v>
          </cell>
          <cell r="FI119">
            <v>0.992</v>
          </cell>
          <cell r="FJ119">
            <v>0.992</v>
          </cell>
          <cell r="FK119">
            <v>0.992</v>
          </cell>
          <cell r="FL119">
            <v>0.992</v>
          </cell>
          <cell r="FM119">
            <v>0.992</v>
          </cell>
          <cell r="FN119">
            <v>0.992</v>
          </cell>
          <cell r="FO119">
            <v>0.992</v>
          </cell>
          <cell r="FP119">
            <v>0.992</v>
          </cell>
          <cell r="FQ119">
            <v>0.992</v>
          </cell>
          <cell r="FR119">
            <v>0.992</v>
          </cell>
          <cell r="FS119">
            <v>0.992</v>
          </cell>
          <cell r="FT119">
            <v>0.992</v>
          </cell>
          <cell r="FU119">
            <v>0.992</v>
          </cell>
          <cell r="FV119">
            <v>0.982</v>
          </cell>
          <cell r="FW119">
            <v>0.962</v>
          </cell>
          <cell r="FX119">
            <v>0.937</v>
          </cell>
          <cell r="FY119">
            <v>0.908</v>
          </cell>
          <cell r="FZ119">
            <v>0.863</v>
          </cell>
          <cell r="GA119">
            <v>0.757</v>
          </cell>
          <cell r="GB119">
            <v>0.533</v>
          </cell>
          <cell r="GC119">
            <v>0.365</v>
          </cell>
          <cell r="GD119">
            <v>0.181</v>
          </cell>
          <cell r="GE119">
            <v>0.045</v>
          </cell>
          <cell r="GF119">
            <v>0.027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</row>
        <row r="120">
          <cell r="B120" t="str">
            <v>H-ZLaF76</v>
          </cell>
          <cell r="C120">
            <v>850301</v>
          </cell>
          <cell r="D120">
            <v>30.06</v>
          </cell>
          <cell r="E120">
            <v>29.84</v>
          </cell>
          <cell r="F120">
            <v>0.028285</v>
          </cell>
          <cell r="G120">
            <v>0.028715</v>
          </cell>
          <cell r="H120">
            <v>1.79436</v>
          </cell>
          <cell r="I120">
            <v>1.80166</v>
          </cell>
          <cell r="J120">
            <v>1.81015</v>
          </cell>
          <cell r="K120">
            <v>1.81887</v>
          </cell>
          <cell r="L120">
            <v>1.82215</v>
          </cell>
          <cell r="M120">
            <v>1.82843</v>
          </cell>
          <cell r="N120">
            <v>1.83302</v>
          </cell>
          <cell r="O120">
            <v>1.83741</v>
          </cell>
          <cell r="P120">
            <v>1.84191</v>
          </cell>
          <cell r="Q120">
            <v>1.8432</v>
          </cell>
          <cell r="R120">
            <v>1.84441</v>
          </cell>
          <cell r="S120">
            <v>1.84989</v>
          </cell>
          <cell r="T120">
            <v>1.85013</v>
          </cell>
          <cell r="U120">
            <v>1.85681</v>
          </cell>
          <cell r="V120">
            <v>1.8702</v>
          </cell>
          <cell r="W120">
            <v>1.87191</v>
          </cell>
          <cell r="X120">
            <v>1.88711</v>
          </cell>
          <cell r="Y120">
            <v>1.90212</v>
          </cell>
          <cell r="Z120">
            <v>0</v>
          </cell>
          <cell r="AA120">
            <v>3.29452328</v>
          </cell>
          <cell r="AB120">
            <v>-0.0152382302</v>
          </cell>
          <cell r="AC120">
            <v>0.040708447</v>
          </cell>
          <cell r="AD120">
            <v>0.00200555089</v>
          </cell>
          <cell r="AE120">
            <v>-8.95622178e-5</v>
          </cell>
          <cell r="AF120">
            <v>1.65722537e-5</v>
          </cell>
          <cell r="AG120">
            <v>0.290562036055146</v>
          </cell>
          <cell r="AH120">
            <v>0.236125839519264</v>
          </cell>
          <cell r="AI120">
            <v>0.597737716507596</v>
          </cell>
          <cell r="AJ120">
            <v>0.241379310344831</v>
          </cell>
          <cell r="AK120">
            <v>0.232671543016371</v>
          </cell>
          <cell r="AL120">
            <v>0.529432253570188</v>
          </cell>
          <cell r="AM120">
            <v>-0.000294755574409961</v>
          </cell>
          <cell r="AN120">
            <v>0.00406737650759604</v>
          </cell>
          <cell r="AO120">
            <v>0.0127092682785399</v>
          </cell>
          <cell r="AP120">
            <v>0.00394946058677509</v>
          </cell>
          <cell r="AQ120">
            <v>4.3</v>
          </cell>
          <cell r="AR120">
            <v>4.3</v>
          </cell>
          <cell r="AS120">
            <v>4.3</v>
          </cell>
          <cell r="AT120">
            <v>4.3</v>
          </cell>
          <cell r="AU120">
            <v>4.4</v>
          </cell>
          <cell r="AV120">
            <v>4.5</v>
          </cell>
          <cell r="AW120">
            <v>5.3</v>
          </cell>
          <cell r="AX120">
            <v>5.4</v>
          </cell>
          <cell r="AY120">
            <v>5.4</v>
          </cell>
          <cell r="AZ120">
            <v>5.5</v>
          </cell>
          <cell r="BA120">
            <v>5.6</v>
          </cell>
          <cell r="BB120">
            <v>5.8</v>
          </cell>
          <cell r="BC120">
            <v>5.4</v>
          </cell>
          <cell r="BD120">
            <v>5.5</v>
          </cell>
          <cell r="BE120">
            <v>5.5</v>
          </cell>
          <cell r="BF120">
            <v>5.6</v>
          </cell>
          <cell r="BG120">
            <v>5.7</v>
          </cell>
          <cell r="BH120">
            <v>5.9</v>
          </cell>
          <cell r="BI120">
            <v>5.7</v>
          </cell>
          <cell r="BJ120">
            <v>5.8</v>
          </cell>
          <cell r="BK120">
            <v>5.9</v>
          </cell>
          <cell r="BL120">
            <v>6</v>
          </cell>
          <cell r="BM120">
            <v>6.1</v>
          </cell>
          <cell r="BN120">
            <v>6.4</v>
          </cell>
          <cell r="BO120">
            <v>6.2</v>
          </cell>
          <cell r="BP120">
            <v>6.3</v>
          </cell>
          <cell r="BQ120">
            <v>6.4</v>
          </cell>
          <cell r="BR120">
            <v>6.5</v>
          </cell>
          <cell r="BS120">
            <v>6.7</v>
          </cell>
          <cell r="BT120">
            <v>7</v>
          </cell>
          <cell r="BU120">
            <v>7.3</v>
          </cell>
          <cell r="BV120">
            <v>7.5</v>
          </cell>
          <cell r="BW120">
            <v>7.7</v>
          </cell>
          <cell r="BX120">
            <v>7.9</v>
          </cell>
          <cell r="BY120">
            <v>8.1</v>
          </cell>
          <cell r="BZ120">
            <v>8.4</v>
          </cell>
          <cell r="CA120">
            <v>8.6</v>
          </cell>
          <cell r="CB120">
            <v>8.9</v>
          </cell>
          <cell r="CC120">
            <v>9.1</v>
          </cell>
          <cell r="CD120">
            <v>9.4</v>
          </cell>
          <cell r="CE120">
            <v>9.7</v>
          </cell>
          <cell r="CF120">
            <v>10.1</v>
          </cell>
          <cell r="CG120">
            <v>2.9</v>
          </cell>
          <cell r="CH120">
            <v>3.3</v>
          </cell>
          <cell r="CI120">
            <v>3.7</v>
          </cell>
          <cell r="CJ120">
            <v>4</v>
          </cell>
          <cell r="CK120">
            <v>4.3</v>
          </cell>
          <cell r="CL120">
            <v>4.7</v>
          </cell>
          <cell r="CM120">
            <v>2.94e-6</v>
          </cell>
          <cell r="CN120">
            <v>9.91e-9</v>
          </cell>
          <cell r="CO120">
            <v>-5.27e-12</v>
          </cell>
          <cell r="CP120">
            <v>9.62e-7</v>
          </cell>
          <cell r="CQ120">
            <v>1.2765e-9</v>
          </cell>
          <cell r="CR120">
            <v>0.264</v>
          </cell>
          <cell r="CS120">
            <v>1</v>
          </cell>
          <cell r="CT120">
            <v>1</v>
          </cell>
          <cell r="CU120">
            <v>1</v>
          </cell>
          <cell r="CV120">
            <v>1</v>
          </cell>
          <cell r="CW120">
            <v>1</v>
          </cell>
          <cell r="CX120">
            <v>2</v>
          </cell>
          <cell r="CY120">
            <v>0</v>
          </cell>
          <cell r="CZ120">
            <v>0</v>
          </cell>
          <cell r="DA120">
            <v>566</v>
          </cell>
          <cell r="DB120">
            <v>621</v>
          </cell>
          <cell r="DC120">
            <v>519</v>
          </cell>
          <cell r="DD120">
            <v>556</v>
          </cell>
          <cell r="DE120">
            <v>66</v>
          </cell>
          <cell r="DF120">
            <v>0</v>
          </cell>
          <cell r="DG120">
            <v>82</v>
          </cell>
          <cell r="DH120">
            <v>0</v>
          </cell>
          <cell r="DI120">
            <v>200</v>
          </cell>
          <cell r="DJ120">
            <v>0</v>
          </cell>
          <cell r="DK120">
            <v>600</v>
          </cell>
          <cell r="DL120">
            <v>138</v>
          </cell>
          <cell r="DM120">
            <v>10214</v>
          </cell>
          <cell r="DN120">
            <v>4066</v>
          </cell>
          <cell r="DO120">
            <v>0.256</v>
          </cell>
          <cell r="DP120">
            <v>0</v>
          </cell>
          <cell r="DQ120" t="str">
            <v>(410)/360</v>
          </cell>
          <cell r="DR120">
            <v>386</v>
          </cell>
          <cell r="DS120">
            <v>358</v>
          </cell>
          <cell r="DT120">
            <v>3.97</v>
          </cell>
          <cell r="DU120">
            <v>0.9</v>
          </cell>
          <cell r="DV120">
            <v>0.965</v>
          </cell>
          <cell r="DW120">
            <v>0.99</v>
          </cell>
          <cell r="DX120">
            <v>0.997</v>
          </cell>
          <cell r="DY120">
            <v>0.997</v>
          </cell>
          <cell r="DZ120">
            <v>0.997</v>
          </cell>
          <cell r="EA120">
            <v>0.997</v>
          </cell>
          <cell r="EB120">
            <v>0.997</v>
          </cell>
          <cell r="EC120">
            <v>0.997</v>
          </cell>
          <cell r="ED120">
            <v>0.997</v>
          </cell>
          <cell r="EE120">
            <v>0.997</v>
          </cell>
          <cell r="EF120">
            <v>0.997</v>
          </cell>
          <cell r="EG120">
            <v>0.997</v>
          </cell>
          <cell r="EH120">
            <v>0.997</v>
          </cell>
          <cell r="EI120">
            <v>0.997</v>
          </cell>
          <cell r="EJ120">
            <v>0.997</v>
          </cell>
          <cell r="EK120">
            <v>0.994</v>
          </cell>
          <cell r="EL120">
            <v>0.992</v>
          </cell>
          <cell r="EM120">
            <v>0.976</v>
          </cell>
          <cell r="EN120">
            <v>0.971</v>
          </cell>
          <cell r="EO120">
            <v>0.966</v>
          </cell>
          <cell r="EP120">
            <v>0.955</v>
          </cell>
          <cell r="EQ120">
            <v>0.944</v>
          </cell>
          <cell r="ER120">
            <v>0.903</v>
          </cell>
          <cell r="ES120">
            <v>0.861</v>
          </cell>
          <cell r="ET120">
            <v>0.785</v>
          </cell>
          <cell r="EU120">
            <v>0.622</v>
          </cell>
          <cell r="EV120">
            <v>0.295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0.81</v>
          </cell>
          <cell r="FF120">
            <v>0.931</v>
          </cell>
          <cell r="FG120">
            <v>0.98</v>
          </cell>
          <cell r="FH120">
            <v>0.994</v>
          </cell>
          <cell r="FI120">
            <v>0.994</v>
          </cell>
          <cell r="FJ120">
            <v>0.994</v>
          </cell>
          <cell r="FK120">
            <v>0.994</v>
          </cell>
          <cell r="FL120">
            <v>0.994</v>
          </cell>
          <cell r="FM120">
            <v>0.994</v>
          </cell>
          <cell r="FN120">
            <v>0.994</v>
          </cell>
          <cell r="FO120">
            <v>0.994</v>
          </cell>
          <cell r="FP120">
            <v>0.994</v>
          </cell>
          <cell r="FQ120">
            <v>0.994</v>
          </cell>
          <cell r="FR120">
            <v>0.994</v>
          </cell>
          <cell r="FS120">
            <v>0.994</v>
          </cell>
          <cell r="FT120">
            <v>0.991</v>
          </cell>
          <cell r="FU120">
            <v>0.989</v>
          </cell>
          <cell r="FV120">
            <v>0.984</v>
          </cell>
          <cell r="FW120">
            <v>0.965</v>
          </cell>
          <cell r="FX120">
            <v>0.956</v>
          </cell>
          <cell r="FY120">
            <v>0.943</v>
          </cell>
          <cell r="FZ120">
            <v>0.924</v>
          </cell>
          <cell r="GA120">
            <v>0.891</v>
          </cell>
          <cell r="GB120">
            <v>0.814</v>
          </cell>
          <cell r="GC120">
            <v>0.741</v>
          </cell>
          <cell r="GD120">
            <v>0.618</v>
          </cell>
          <cell r="GE120">
            <v>0.39</v>
          </cell>
          <cell r="GF120">
            <v>0.089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</row>
        <row r="121">
          <cell r="B121" t="str">
            <v>H-ZLaF77</v>
          </cell>
          <cell r="C121">
            <v>954323</v>
          </cell>
          <cell r="D121">
            <v>32.32</v>
          </cell>
          <cell r="E121">
            <v>32.09</v>
          </cell>
          <cell r="F121">
            <v>0.02951</v>
          </cell>
          <cell r="G121">
            <v>0.029943</v>
          </cell>
          <cell r="H121">
            <v>1.89741</v>
          </cell>
          <cell r="I121">
            <v>1.90433</v>
          </cell>
          <cell r="J121">
            <v>1.91249</v>
          </cell>
          <cell r="K121">
            <v>1.92115</v>
          </cell>
          <cell r="L121">
            <v>1.92452</v>
          </cell>
          <cell r="M121">
            <v>1.931</v>
          </cell>
          <cell r="N121">
            <v>1.93581</v>
          </cell>
          <cell r="O121">
            <v>1.94041</v>
          </cell>
          <cell r="P121">
            <v>1.94513</v>
          </cell>
          <cell r="Q121">
            <v>1.94648</v>
          </cell>
          <cell r="R121">
            <v>1.94775</v>
          </cell>
          <cell r="S121">
            <v>1.95349</v>
          </cell>
          <cell r="T121">
            <v>1.95375</v>
          </cell>
          <cell r="U121">
            <v>1.96073</v>
          </cell>
          <cell r="V121">
            <v>1.97465</v>
          </cell>
          <cell r="W121">
            <v>1.97642</v>
          </cell>
          <cell r="X121">
            <v>1.99206</v>
          </cell>
          <cell r="Y121">
            <v>2.00732</v>
          </cell>
          <cell r="Z121">
            <v>2.03532</v>
          </cell>
          <cell r="AA121">
            <v>3.67264109</v>
          </cell>
          <cell r="AB121">
            <v>-0.014979666</v>
          </cell>
          <cell r="AC121">
            <v>0.0458318172</v>
          </cell>
          <cell r="AD121">
            <v>0.00218043028</v>
          </cell>
          <cell r="AE121">
            <v>-0.000101312424</v>
          </cell>
          <cell r="AF121">
            <v>1.50904325e-5</v>
          </cell>
          <cell r="AG121">
            <v>0.292005420054203</v>
          </cell>
          <cell r="AH121">
            <v>0.236449864498645</v>
          </cell>
          <cell r="AI121">
            <v>0.589769647696475</v>
          </cell>
          <cell r="AJ121">
            <v>0.242818971275888</v>
          </cell>
          <cell r="AK121">
            <v>0.233132932531729</v>
          </cell>
          <cell r="AL121">
            <v>0.522378089512353</v>
          </cell>
          <cell r="AM121">
            <v>-0.000814644552847708</v>
          </cell>
          <cell r="AN121">
            <v>-0.000146832303525288</v>
          </cell>
          <cell r="AO121">
            <v>0.0014480117073179</v>
          </cell>
          <cell r="AP121">
            <v>0.000690536585365192</v>
          </cell>
          <cell r="AQ121">
            <v>3.3</v>
          </cell>
          <cell r="AR121">
            <v>3.4</v>
          </cell>
          <cell r="AS121">
            <v>3.4</v>
          </cell>
          <cell r="AT121">
            <v>3.4</v>
          </cell>
          <cell r="AU121">
            <v>3.5</v>
          </cell>
          <cell r="AV121">
            <v>3.7</v>
          </cell>
          <cell r="AW121">
            <v>4.5</v>
          </cell>
          <cell r="AX121">
            <v>4.6</v>
          </cell>
          <cell r="AY121">
            <v>4.6</v>
          </cell>
          <cell r="AZ121">
            <v>4.7</v>
          </cell>
          <cell r="BA121">
            <v>4.9</v>
          </cell>
          <cell r="BB121">
            <v>5.1</v>
          </cell>
          <cell r="BC121">
            <v>4.6</v>
          </cell>
          <cell r="BD121">
            <v>4.7</v>
          </cell>
          <cell r="BE121">
            <v>4.7</v>
          </cell>
          <cell r="BF121">
            <v>4.8</v>
          </cell>
          <cell r="BG121">
            <v>4.9</v>
          </cell>
          <cell r="BH121">
            <v>5.2</v>
          </cell>
          <cell r="BI121">
            <v>5</v>
          </cell>
          <cell r="BJ121">
            <v>5.1</v>
          </cell>
          <cell r="BK121">
            <v>5.1</v>
          </cell>
          <cell r="BL121">
            <v>5.2</v>
          </cell>
          <cell r="BM121">
            <v>5.4</v>
          </cell>
          <cell r="BN121">
            <v>5.6</v>
          </cell>
          <cell r="BO121">
            <v>5.5</v>
          </cell>
          <cell r="BP121">
            <v>5.6</v>
          </cell>
          <cell r="BQ121">
            <v>5.7</v>
          </cell>
          <cell r="BR121">
            <v>5.8</v>
          </cell>
          <cell r="BS121">
            <v>6</v>
          </cell>
          <cell r="BT121">
            <v>6.2</v>
          </cell>
          <cell r="BU121">
            <v>6.6</v>
          </cell>
          <cell r="BV121">
            <v>6.8</v>
          </cell>
          <cell r="BW121">
            <v>7</v>
          </cell>
          <cell r="BX121">
            <v>7.1</v>
          </cell>
          <cell r="BY121">
            <v>7.4</v>
          </cell>
          <cell r="BZ121">
            <v>7.7</v>
          </cell>
          <cell r="CA121">
            <v>7.9</v>
          </cell>
          <cell r="CB121">
            <v>8.2</v>
          </cell>
          <cell r="CC121">
            <v>8.4</v>
          </cell>
          <cell r="CD121">
            <v>8.6</v>
          </cell>
          <cell r="CE121">
            <v>8.9</v>
          </cell>
          <cell r="CF121">
            <v>9.3</v>
          </cell>
          <cell r="CG121">
            <v>2</v>
          </cell>
          <cell r="CH121">
            <v>2.4</v>
          </cell>
          <cell r="CI121">
            <v>2.8</v>
          </cell>
          <cell r="CJ121">
            <v>3.1</v>
          </cell>
          <cell r="CK121">
            <v>3.5</v>
          </cell>
          <cell r="CL121">
            <v>3.9</v>
          </cell>
          <cell r="CM121">
            <v>1.19e-6</v>
          </cell>
          <cell r="CN121">
            <v>9.42e-9</v>
          </cell>
          <cell r="CO121">
            <v>1.89e-12</v>
          </cell>
          <cell r="CP121">
            <v>9.72e-7</v>
          </cell>
          <cell r="CQ121">
            <v>1.2753e-9</v>
          </cell>
          <cell r="CR121">
            <v>0.248</v>
          </cell>
          <cell r="CS121">
            <v>1</v>
          </cell>
          <cell r="CT121">
            <v>1</v>
          </cell>
          <cell r="CU121">
            <v>1</v>
          </cell>
          <cell r="CV121">
            <v>1</v>
          </cell>
          <cell r="CW121">
            <v>1</v>
          </cell>
          <cell r="CX121">
            <v>1</v>
          </cell>
          <cell r="CY121">
            <v>0</v>
          </cell>
          <cell r="CZ121">
            <v>0</v>
          </cell>
          <cell r="DA121">
            <v>695</v>
          </cell>
          <cell r="DB121">
            <v>740</v>
          </cell>
          <cell r="DC121">
            <v>643</v>
          </cell>
          <cell r="DD121">
            <v>681</v>
          </cell>
          <cell r="DE121">
            <v>70</v>
          </cell>
          <cell r="DF121">
            <v>0</v>
          </cell>
          <cell r="DG121">
            <v>85</v>
          </cell>
          <cell r="DH121">
            <v>0</v>
          </cell>
          <cell r="DI121">
            <v>153</v>
          </cell>
          <cell r="DJ121">
            <v>0</v>
          </cell>
          <cell r="DK121">
            <v>675</v>
          </cell>
          <cell r="DL121">
            <v>81</v>
          </cell>
          <cell r="DM121">
            <v>12879</v>
          </cell>
          <cell r="DN121">
            <v>4998</v>
          </cell>
          <cell r="DO121">
            <v>0.303</v>
          </cell>
          <cell r="DP121">
            <v>0</v>
          </cell>
          <cell r="DQ121" t="str">
            <v>(420)/360</v>
          </cell>
          <cell r="DR121">
            <v>400</v>
          </cell>
          <cell r="DS121">
            <v>359</v>
          </cell>
          <cell r="DT121">
            <v>5.12</v>
          </cell>
          <cell r="DU121">
            <v>0.94</v>
          </cell>
          <cell r="DV121">
            <v>0.987</v>
          </cell>
          <cell r="DW121">
            <v>0.995</v>
          </cell>
          <cell r="DX121">
            <v>0.995</v>
          </cell>
          <cell r="DY121">
            <v>0.995</v>
          </cell>
          <cell r="DZ121">
            <v>0.995</v>
          </cell>
          <cell r="EA121">
            <v>0.995</v>
          </cell>
          <cell r="EB121">
            <v>0.995</v>
          </cell>
          <cell r="EC121">
            <v>0.995</v>
          </cell>
          <cell r="ED121">
            <v>0.995</v>
          </cell>
          <cell r="EE121">
            <v>0.995</v>
          </cell>
          <cell r="EF121">
            <v>0.995</v>
          </cell>
          <cell r="EG121">
            <v>0.995</v>
          </cell>
          <cell r="EH121">
            <v>0.995</v>
          </cell>
          <cell r="EI121">
            <v>0.995</v>
          </cell>
          <cell r="EJ121">
            <v>0.995</v>
          </cell>
          <cell r="EK121">
            <v>0.995</v>
          </cell>
          <cell r="EL121">
            <v>0.993</v>
          </cell>
          <cell r="EM121">
            <v>0.985</v>
          </cell>
          <cell r="EN121">
            <v>0.977</v>
          </cell>
          <cell r="EO121">
            <v>0.968</v>
          </cell>
          <cell r="EP121">
            <v>0.954</v>
          </cell>
          <cell r="EQ121">
            <v>0.926</v>
          </cell>
          <cell r="ER121">
            <v>0.868</v>
          </cell>
          <cell r="ES121">
            <v>0.814</v>
          </cell>
          <cell r="ET121">
            <v>0.726</v>
          </cell>
          <cell r="EU121">
            <v>0.571</v>
          </cell>
          <cell r="EV121">
            <v>0.311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0.883</v>
          </cell>
          <cell r="FF121">
            <v>0.966</v>
          </cell>
          <cell r="FG121">
            <v>0.99</v>
          </cell>
          <cell r="FH121">
            <v>0.99</v>
          </cell>
          <cell r="FI121">
            <v>0.99</v>
          </cell>
          <cell r="FJ121">
            <v>0.99</v>
          </cell>
          <cell r="FK121">
            <v>0.99</v>
          </cell>
          <cell r="FL121">
            <v>0.99</v>
          </cell>
          <cell r="FM121">
            <v>0.99</v>
          </cell>
          <cell r="FN121">
            <v>0.99</v>
          </cell>
          <cell r="FO121">
            <v>0.99</v>
          </cell>
          <cell r="FP121">
            <v>0.99</v>
          </cell>
          <cell r="FQ121">
            <v>0.99</v>
          </cell>
          <cell r="FR121">
            <v>0.99</v>
          </cell>
          <cell r="FS121">
            <v>0.99</v>
          </cell>
          <cell r="FT121">
            <v>0.99</v>
          </cell>
          <cell r="FU121">
            <v>0.99</v>
          </cell>
          <cell r="FV121">
            <v>0.985</v>
          </cell>
          <cell r="FW121">
            <v>0.97</v>
          </cell>
          <cell r="FX121">
            <v>0.956</v>
          </cell>
          <cell r="FY121">
            <v>0.939</v>
          </cell>
          <cell r="FZ121">
            <v>0.909</v>
          </cell>
          <cell r="GA121">
            <v>0.857</v>
          </cell>
          <cell r="GB121">
            <v>0.754</v>
          </cell>
          <cell r="GC121">
            <v>0.662</v>
          </cell>
          <cell r="GD121">
            <v>0.528</v>
          </cell>
          <cell r="GE121">
            <v>0.327</v>
          </cell>
          <cell r="GF121">
            <v>0.103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</row>
        <row r="122">
          <cell r="B122" t="str">
            <v>H-ZLaF78</v>
          </cell>
          <cell r="C122">
            <v>901371</v>
          </cell>
          <cell r="D122">
            <v>37.1</v>
          </cell>
          <cell r="E122">
            <v>36.88</v>
          </cell>
          <cell r="F122">
            <v>0.02428</v>
          </cell>
          <cell r="G122">
            <v>0.02458</v>
          </cell>
          <cell r="H122">
            <v>1.85201</v>
          </cell>
          <cell r="I122">
            <v>1.85828</v>
          </cell>
          <cell r="J122">
            <v>1.86561</v>
          </cell>
          <cell r="K122">
            <v>1.87323</v>
          </cell>
          <cell r="L122">
            <v>1.87614</v>
          </cell>
          <cell r="M122">
            <v>1.88167</v>
          </cell>
          <cell r="N122">
            <v>1.88573</v>
          </cell>
          <cell r="O122">
            <v>1.88958</v>
          </cell>
          <cell r="P122">
            <v>1.89352</v>
          </cell>
          <cell r="Q122">
            <v>1.89465</v>
          </cell>
          <cell r="R122">
            <v>1.89571</v>
          </cell>
          <cell r="S122">
            <v>1.90048</v>
          </cell>
          <cell r="T122">
            <v>1.90069</v>
          </cell>
          <cell r="U122">
            <v>1.90645</v>
          </cell>
          <cell r="V122">
            <v>1.9178</v>
          </cell>
          <cell r="W122">
            <v>1.91923</v>
          </cell>
          <cell r="X122">
            <v>1.93177</v>
          </cell>
          <cell r="Y122">
            <v>1.94382</v>
          </cell>
          <cell r="Z122">
            <v>1.96535</v>
          </cell>
          <cell r="AA122">
            <v>3.49532543</v>
          </cell>
          <cell r="AB122">
            <v>-0.0133990335</v>
          </cell>
          <cell r="AC122">
            <v>0.0379713413</v>
          </cell>
          <cell r="AD122">
            <v>0.00156188624</v>
          </cell>
          <cell r="AE122">
            <v>-7.42686015e-5</v>
          </cell>
          <cell r="AF122">
            <v>8.65884802e-6</v>
          </cell>
          <cell r="AG122">
            <v>0.295304777594726</v>
          </cell>
          <cell r="AH122">
            <v>0.237232289950577</v>
          </cell>
          <cell r="AI122">
            <v>0.575370675453053</v>
          </cell>
          <cell r="AJ122">
            <v>0.245728234336861</v>
          </cell>
          <cell r="AK122">
            <v>0.23433685923515</v>
          </cell>
          <cell r="AL122">
            <v>0.510170870626524</v>
          </cell>
          <cell r="AM122">
            <v>-0.00225786754530325</v>
          </cell>
          <cell r="AN122">
            <v>-0.00660622454694719</v>
          </cell>
          <cell r="AO122">
            <v>-0.00407111400328361</v>
          </cell>
          <cell r="AP122">
            <v>-0.00138398682041972</v>
          </cell>
          <cell r="AQ122">
            <v>4.8</v>
          </cell>
          <cell r="AR122">
            <v>4.7</v>
          </cell>
          <cell r="AS122">
            <v>4.7</v>
          </cell>
          <cell r="AT122">
            <v>4.7</v>
          </cell>
          <cell r="AU122">
            <v>4.8</v>
          </cell>
          <cell r="AV122">
            <v>4.9</v>
          </cell>
          <cell r="AW122">
            <v>5.8</v>
          </cell>
          <cell r="AX122">
            <v>5.8</v>
          </cell>
          <cell r="AY122">
            <v>5.8</v>
          </cell>
          <cell r="AZ122">
            <v>5.8</v>
          </cell>
          <cell r="BA122">
            <v>5.9</v>
          </cell>
          <cell r="BB122">
            <v>6.1</v>
          </cell>
          <cell r="BC122">
            <v>5.8</v>
          </cell>
          <cell r="BD122">
            <v>5.8</v>
          </cell>
          <cell r="BE122">
            <v>5.9</v>
          </cell>
          <cell r="BF122">
            <v>5.9</v>
          </cell>
          <cell r="BG122">
            <v>6</v>
          </cell>
          <cell r="BH122">
            <v>6.2</v>
          </cell>
          <cell r="BI122">
            <v>6.1</v>
          </cell>
          <cell r="BJ122">
            <v>6.2</v>
          </cell>
          <cell r="BK122">
            <v>6.2</v>
          </cell>
          <cell r="BL122">
            <v>6.3</v>
          </cell>
          <cell r="BM122">
            <v>6.4</v>
          </cell>
          <cell r="BN122">
            <v>6.6</v>
          </cell>
          <cell r="BO122">
            <v>6.6</v>
          </cell>
          <cell r="BP122">
            <v>6.6</v>
          </cell>
          <cell r="BQ122">
            <v>6.7</v>
          </cell>
          <cell r="BR122">
            <v>6.7</v>
          </cell>
          <cell r="BS122">
            <v>6.9</v>
          </cell>
          <cell r="BT122">
            <v>7.1</v>
          </cell>
          <cell r="BU122">
            <v>7.5</v>
          </cell>
          <cell r="BV122">
            <v>7.6</v>
          </cell>
          <cell r="BW122">
            <v>7.7</v>
          </cell>
          <cell r="BX122">
            <v>7.8</v>
          </cell>
          <cell r="BY122">
            <v>8</v>
          </cell>
          <cell r="BZ122">
            <v>8.3</v>
          </cell>
          <cell r="CA122">
            <v>8.5</v>
          </cell>
          <cell r="CB122">
            <v>8.7</v>
          </cell>
          <cell r="CC122">
            <v>8.8</v>
          </cell>
          <cell r="CD122">
            <v>9</v>
          </cell>
          <cell r="CE122">
            <v>9.2</v>
          </cell>
          <cell r="CF122">
            <v>9.5</v>
          </cell>
          <cell r="CG122">
            <v>3.3</v>
          </cell>
          <cell r="CH122">
            <v>3.6</v>
          </cell>
          <cell r="CI122">
            <v>4</v>
          </cell>
          <cell r="CJ122">
            <v>4.3</v>
          </cell>
          <cell r="CK122">
            <v>4.6</v>
          </cell>
          <cell r="CL122">
            <v>4.9</v>
          </cell>
          <cell r="CM122">
            <v>3.19e-6</v>
          </cell>
          <cell r="CN122">
            <v>8.7e-9</v>
          </cell>
          <cell r="CO122">
            <v>-3.01e-12</v>
          </cell>
          <cell r="CP122">
            <v>1.005e-6</v>
          </cell>
          <cell r="CQ122">
            <v>1.116e-9</v>
          </cell>
          <cell r="CR122">
            <v>0.206</v>
          </cell>
          <cell r="CS122">
            <v>1</v>
          </cell>
          <cell r="CT122">
            <v>1</v>
          </cell>
          <cell r="CU122">
            <v>1</v>
          </cell>
          <cell r="CV122">
            <v>2</v>
          </cell>
          <cell r="CW122">
            <v>1</v>
          </cell>
          <cell r="CX122">
            <v>1</v>
          </cell>
          <cell r="CY122">
            <v>0</v>
          </cell>
          <cell r="CZ122">
            <v>0</v>
          </cell>
          <cell r="DA122">
            <v>673</v>
          </cell>
          <cell r="DB122">
            <v>723</v>
          </cell>
          <cell r="DC122">
            <v>625</v>
          </cell>
          <cell r="DD122">
            <v>663</v>
          </cell>
          <cell r="DE122">
            <v>65</v>
          </cell>
          <cell r="DF122">
            <v>0</v>
          </cell>
          <cell r="DG122">
            <v>84</v>
          </cell>
          <cell r="DH122">
            <v>0</v>
          </cell>
          <cell r="DI122">
            <v>115</v>
          </cell>
          <cell r="DJ122">
            <v>0</v>
          </cell>
          <cell r="DK122">
            <v>670</v>
          </cell>
          <cell r="DL122">
            <v>72</v>
          </cell>
          <cell r="DM122">
            <v>12103</v>
          </cell>
          <cell r="DN122">
            <v>4691</v>
          </cell>
          <cell r="DO122">
            <v>0.29</v>
          </cell>
          <cell r="DP122">
            <v>0</v>
          </cell>
          <cell r="DQ122" t="str">
            <v>(390)/345</v>
          </cell>
          <cell r="DR122">
            <v>0</v>
          </cell>
          <cell r="DS122">
            <v>0</v>
          </cell>
          <cell r="DT122">
            <v>5.05</v>
          </cell>
          <cell r="DU122">
            <v>0.943</v>
          </cell>
          <cell r="DV122">
            <v>0.987</v>
          </cell>
          <cell r="DW122">
            <v>0.998</v>
          </cell>
          <cell r="DX122">
            <v>0.998</v>
          </cell>
          <cell r="DY122">
            <v>0.998</v>
          </cell>
          <cell r="DZ122">
            <v>0.998</v>
          </cell>
          <cell r="EA122">
            <v>0.998</v>
          </cell>
          <cell r="EB122">
            <v>0.998</v>
          </cell>
          <cell r="EC122">
            <v>0.998</v>
          </cell>
          <cell r="ED122">
            <v>0.998</v>
          </cell>
          <cell r="EE122">
            <v>0.998</v>
          </cell>
          <cell r="EF122">
            <v>0.998</v>
          </cell>
          <cell r="EG122">
            <v>0.998</v>
          </cell>
          <cell r="EH122">
            <v>0.998</v>
          </cell>
          <cell r="EI122">
            <v>0.998</v>
          </cell>
          <cell r="EJ122">
            <v>0.998</v>
          </cell>
          <cell r="EK122">
            <v>0.998</v>
          </cell>
          <cell r="EL122">
            <v>0.995</v>
          </cell>
          <cell r="EM122">
            <v>0.991</v>
          </cell>
          <cell r="EN122">
            <v>0.986</v>
          </cell>
          <cell r="EO122">
            <v>0.98</v>
          </cell>
          <cell r="EP122">
            <v>0.97</v>
          </cell>
          <cell r="EQ122">
            <v>0.953</v>
          </cell>
          <cell r="ER122">
            <v>0.92</v>
          </cell>
          <cell r="ES122">
            <v>0.891</v>
          </cell>
          <cell r="ET122">
            <v>0.845</v>
          </cell>
          <cell r="EU122">
            <v>0.775</v>
          </cell>
          <cell r="EV122">
            <v>0.652</v>
          </cell>
          <cell r="EW122">
            <v>0.429</v>
          </cell>
          <cell r="EX122">
            <v>0.133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0.89</v>
          </cell>
          <cell r="FF122">
            <v>0.974</v>
          </cell>
          <cell r="FG122">
            <v>0.996</v>
          </cell>
          <cell r="FH122">
            <v>0.996</v>
          </cell>
          <cell r="FI122">
            <v>0.996</v>
          </cell>
          <cell r="FJ122">
            <v>0.996</v>
          </cell>
          <cell r="FK122">
            <v>0.996</v>
          </cell>
          <cell r="FL122">
            <v>0.996</v>
          </cell>
          <cell r="FM122">
            <v>0.996</v>
          </cell>
          <cell r="FN122">
            <v>0.996</v>
          </cell>
          <cell r="FO122">
            <v>0.996</v>
          </cell>
          <cell r="FP122">
            <v>0.996</v>
          </cell>
          <cell r="FQ122">
            <v>0.996</v>
          </cell>
          <cell r="FR122">
            <v>0.996</v>
          </cell>
          <cell r="FS122">
            <v>0.996</v>
          </cell>
          <cell r="FT122">
            <v>0.996</v>
          </cell>
          <cell r="FU122">
            <v>0.996</v>
          </cell>
          <cell r="FV122">
            <v>0.99</v>
          </cell>
          <cell r="FW122">
            <v>0.984</v>
          </cell>
          <cell r="FX122">
            <v>0.974</v>
          </cell>
          <cell r="FY122">
            <v>0.962</v>
          </cell>
          <cell r="FZ122">
            <v>0.948</v>
          </cell>
          <cell r="GA122">
            <v>0.915</v>
          </cell>
          <cell r="GB122">
            <v>0.855</v>
          </cell>
          <cell r="GC122">
            <v>0.804</v>
          </cell>
          <cell r="GD122">
            <v>0.723</v>
          </cell>
          <cell r="GE122">
            <v>0.611</v>
          </cell>
          <cell r="GF122">
            <v>0.439</v>
          </cell>
          <cell r="GG122">
            <v>0.194</v>
          </cell>
          <cell r="GH122">
            <v>0.03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</row>
        <row r="123">
          <cell r="B123" t="str">
            <v>H-ZLaF79</v>
          </cell>
          <cell r="C123">
            <v>921240</v>
          </cell>
          <cell r="D123">
            <v>23.96</v>
          </cell>
          <cell r="E123">
            <v>23.77</v>
          </cell>
          <cell r="F123">
            <v>0.038453</v>
          </cell>
          <cell r="G123">
            <v>0.039142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1.90425</v>
          </cell>
          <cell r="P123">
            <v>1.9102</v>
          </cell>
          <cell r="Q123">
            <v>1.91191</v>
          </cell>
          <cell r="R123">
            <v>1.91351</v>
          </cell>
          <cell r="S123">
            <v>1.92086</v>
          </cell>
          <cell r="T123">
            <v>1.92119</v>
          </cell>
          <cell r="U123">
            <v>1.93024</v>
          </cell>
          <cell r="V123">
            <v>1.94865</v>
          </cell>
          <cell r="W123">
            <v>1.95105</v>
          </cell>
          <cell r="X123">
            <v>1.9725</v>
          </cell>
          <cell r="Y123">
            <v>1.9942</v>
          </cell>
          <cell r="Z123">
            <v>2.03607</v>
          </cell>
          <cell r="AA123">
            <v>3.51327855</v>
          </cell>
          <cell r="AB123">
            <v>-0.0160873538</v>
          </cell>
          <cell r="AC123">
            <v>0.0538297548</v>
          </cell>
          <cell r="AD123">
            <v>0.00346338538</v>
          </cell>
          <cell r="AE123">
            <v>-0.000169149618</v>
          </cell>
          <cell r="AF123">
            <v>3.36607277e-5</v>
          </cell>
          <cell r="AG123">
            <v>0.285825747724318</v>
          </cell>
          <cell r="AH123">
            <v>0.235370611183354</v>
          </cell>
          <cell r="AI123">
            <v>0.620286085825744</v>
          </cell>
          <cell r="AJ123">
            <v>0.237097598364843</v>
          </cell>
          <cell r="AK123">
            <v>0.231221257026061</v>
          </cell>
          <cell r="AL123">
            <v>0.548032703117016</v>
          </cell>
          <cell r="AM123">
            <v>0.00182956109232746</v>
          </cell>
          <cell r="AN123">
            <v>0.0164836458257443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1</v>
          </cell>
          <cell r="CT123">
            <v>1</v>
          </cell>
          <cell r="CU123">
            <v>1</v>
          </cell>
          <cell r="CV123">
            <v>1</v>
          </cell>
          <cell r="CW123">
            <v>1</v>
          </cell>
          <cell r="CX123">
            <v>1</v>
          </cell>
          <cell r="CY123">
            <v>0</v>
          </cell>
          <cell r="CZ123">
            <v>0</v>
          </cell>
          <cell r="DA123">
            <v>622</v>
          </cell>
          <cell r="DB123">
            <v>661</v>
          </cell>
          <cell r="DC123">
            <v>567</v>
          </cell>
          <cell r="DD123">
            <v>601</v>
          </cell>
          <cell r="DE123">
            <v>69</v>
          </cell>
          <cell r="DF123">
            <v>0</v>
          </cell>
          <cell r="DG123">
            <v>87</v>
          </cell>
          <cell r="DH123">
            <v>0</v>
          </cell>
          <cell r="DI123">
            <v>255</v>
          </cell>
          <cell r="DJ123">
            <v>0</v>
          </cell>
          <cell r="DK123">
            <v>600</v>
          </cell>
          <cell r="DL123">
            <v>94</v>
          </cell>
          <cell r="DM123">
            <v>11525</v>
          </cell>
          <cell r="DN123">
            <v>4528</v>
          </cell>
          <cell r="DO123">
            <v>0.276</v>
          </cell>
          <cell r="DP123">
            <v>0</v>
          </cell>
          <cell r="DQ123" t="str">
            <v>(435)/370</v>
          </cell>
          <cell r="DR123">
            <v>0</v>
          </cell>
          <cell r="DS123">
            <v>0</v>
          </cell>
          <cell r="DT123">
            <v>3.89</v>
          </cell>
          <cell r="DU123">
            <v>0.986</v>
          </cell>
          <cell r="DV123">
            <v>0.989</v>
          </cell>
          <cell r="DW123">
            <v>0.995</v>
          </cell>
          <cell r="DX123">
            <v>0.995</v>
          </cell>
          <cell r="DY123">
            <v>0.995</v>
          </cell>
          <cell r="DZ123">
            <v>0.995</v>
          </cell>
          <cell r="EA123">
            <v>0.995</v>
          </cell>
          <cell r="EB123">
            <v>0.995</v>
          </cell>
          <cell r="EC123">
            <v>0.995</v>
          </cell>
          <cell r="ED123">
            <v>0.995</v>
          </cell>
          <cell r="EE123">
            <v>0.995</v>
          </cell>
          <cell r="EF123">
            <v>0.995</v>
          </cell>
          <cell r="EG123">
            <v>0.995</v>
          </cell>
          <cell r="EH123">
            <v>0.995</v>
          </cell>
          <cell r="EI123">
            <v>0.995</v>
          </cell>
          <cell r="EJ123">
            <v>0.995</v>
          </cell>
          <cell r="EK123">
            <v>0.993</v>
          </cell>
          <cell r="EL123">
            <v>0.988</v>
          </cell>
          <cell r="EM123">
            <v>0.967</v>
          </cell>
          <cell r="EN123">
            <v>0.958</v>
          </cell>
          <cell r="EO123">
            <v>0.942</v>
          </cell>
          <cell r="EP123">
            <v>0.913</v>
          </cell>
          <cell r="EQ123">
            <v>0.86</v>
          </cell>
          <cell r="ER123">
            <v>0.745</v>
          </cell>
          <cell r="ES123">
            <v>0.643</v>
          </cell>
          <cell r="ET123">
            <v>0.466</v>
          </cell>
          <cell r="EU123">
            <v>0.186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0.972</v>
          </cell>
          <cell r="FF123">
            <v>0.978</v>
          </cell>
          <cell r="FG123">
            <v>0.99</v>
          </cell>
          <cell r="FH123">
            <v>0.99</v>
          </cell>
          <cell r="FI123">
            <v>0.99</v>
          </cell>
          <cell r="FJ123">
            <v>0.99</v>
          </cell>
          <cell r="FK123">
            <v>0.99</v>
          </cell>
          <cell r="FL123">
            <v>0.99</v>
          </cell>
          <cell r="FM123">
            <v>0.99</v>
          </cell>
          <cell r="FN123">
            <v>0.99</v>
          </cell>
          <cell r="FO123">
            <v>0.99</v>
          </cell>
          <cell r="FP123">
            <v>0.99</v>
          </cell>
          <cell r="FQ123">
            <v>0.99</v>
          </cell>
          <cell r="FR123">
            <v>0.99</v>
          </cell>
          <cell r="FS123">
            <v>0.99</v>
          </cell>
          <cell r="FT123">
            <v>0.99</v>
          </cell>
          <cell r="FU123">
            <v>0.985</v>
          </cell>
          <cell r="FV123">
            <v>0.97</v>
          </cell>
          <cell r="FW123">
            <v>0.935</v>
          </cell>
          <cell r="FX123">
            <v>0.916</v>
          </cell>
          <cell r="FY123">
            <v>0.885</v>
          </cell>
          <cell r="FZ123">
            <v>0.829</v>
          </cell>
          <cell r="GA123">
            <v>0.726</v>
          </cell>
          <cell r="GB123">
            <v>0.543</v>
          </cell>
          <cell r="GC123">
            <v>0.403</v>
          </cell>
          <cell r="GD123">
            <v>0.212</v>
          </cell>
          <cell r="GE123">
            <v>0.038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</row>
        <row r="124">
          <cell r="B124" t="str">
            <v>H-ZLaF80</v>
          </cell>
          <cell r="C124" t="str">
            <v>001254</v>
          </cell>
          <cell r="D124">
            <v>25.46</v>
          </cell>
          <cell r="E124">
            <v>25.26</v>
          </cell>
          <cell r="F124">
            <v>0.039308</v>
          </cell>
          <cell r="G124">
            <v>0.039985</v>
          </cell>
          <cell r="H124">
            <v>1.9329</v>
          </cell>
          <cell r="I124">
            <v>1.94015</v>
          </cell>
          <cell r="J124">
            <v>1.94903</v>
          </cell>
          <cell r="K124">
            <v>1.95916</v>
          </cell>
          <cell r="L124">
            <v>1.96328</v>
          </cell>
          <cell r="M124">
            <v>1.97139</v>
          </cell>
          <cell r="N124">
            <v>1.97747</v>
          </cell>
          <cell r="O124">
            <v>1.98335</v>
          </cell>
          <cell r="P124">
            <v>1.98944</v>
          </cell>
          <cell r="Q124">
            <v>1.99119</v>
          </cell>
          <cell r="R124">
            <v>1.99284</v>
          </cell>
          <cell r="S124">
            <v>2.00035</v>
          </cell>
          <cell r="T124">
            <v>2.00069</v>
          </cell>
          <cell r="U124">
            <v>2.00996</v>
          </cell>
          <cell r="V124">
            <v>2.02875</v>
          </cell>
          <cell r="W124">
            <v>2.03118</v>
          </cell>
          <cell r="X124">
            <v>2.05296</v>
          </cell>
          <cell r="Y124">
            <v>2.07475</v>
          </cell>
          <cell r="Z124">
            <v>0</v>
          </cell>
          <cell r="AA124">
            <v>3.80762148</v>
          </cell>
          <cell r="AB124">
            <v>-0.0153801657</v>
          </cell>
          <cell r="AC124">
            <v>0.0626758348</v>
          </cell>
          <cell r="AD124">
            <v>0.00157569502</v>
          </cell>
          <cell r="AE124">
            <v>0.000215980103</v>
          </cell>
          <cell r="AF124">
            <v>6.30489693e-6</v>
          </cell>
          <cell r="AG124">
            <v>0.286186720936148</v>
          </cell>
          <cell r="AH124">
            <v>0.235817858051384</v>
          </cell>
          <cell r="AI124">
            <v>0.615873823454594</v>
          </cell>
          <cell r="AJ124">
            <v>0.237559389847464</v>
          </cell>
          <cell r="AK124">
            <v>0.231807951987994</v>
          </cell>
          <cell r="AL124">
            <v>0.544636159039764</v>
          </cell>
          <cell r="AM124">
            <v>0.0018493410124677</v>
          </cell>
          <cell r="AN124">
            <v>0.0145628834545941</v>
          </cell>
          <cell r="AO124">
            <v>0.00200036175019619</v>
          </cell>
          <cell r="AP124">
            <v>-0.00233330552022021</v>
          </cell>
          <cell r="AQ124">
            <v>1.7</v>
          </cell>
          <cell r="AR124">
            <v>1.8</v>
          </cell>
          <cell r="AS124">
            <v>1.8</v>
          </cell>
          <cell r="AT124">
            <v>1.9</v>
          </cell>
          <cell r="AU124">
            <v>2</v>
          </cell>
          <cell r="AV124">
            <v>2.2</v>
          </cell>
          <cell r="AW124">
            <v>3.1</v>
          </cell>
          <cell r="AX124">
            <v>3.3</v>
          </cell>
          <cell r="AY124">
            <v>3.4</v>
          </cell>
          <cell r="AZ124">
            <v>3.5</v>
          </cell>
          <cell r="BA124">
            <v>3.7</v>
          </cell>
          <cell r="BB124">
            <v>4</v>
          </cell>
          <cell r="BC124">
            <v>3.2</v>
          </cell>
          <cell r="BD124">
            <v>3.4</v>
          </cell>
          <cell r="BE124">
            <v>3.5</v>
          </cell>
          <cell r="BF124">
            <v>3.7</v>
          </cell>
          <cell r="BG124">
            <v>3.9</v>
          </cell>
          <cell r="BH124">
            <v>4.1</v>
          </cell>
          <cell r="BI124">
            <v>3.7</v>
          </cell>
          <cell r="BJ124">
            <v>3.9</v>
          </cell>
          <cell r="BK124">
            <v>4.1</v>
          </cell>
          <cell r="BL124">
            <v>4.2</v>
          </cell>
          <cell r="BM124">
            <v>4.4</v>
          </cell>
          <cell r="BN124">
            <v>4.7</v>
          </cell>
          <cell r="BO124">
            <v>4.3</v>
          </cell>
          <cell r="BP124">
            <v>4.6</v>
          </cell>
          <cell r="BQ124">
            <v>4.8</v>
          </cell>
          <cell r="BR124">
            <v>5</v>
          </cell>
          <cell r="BS124">
            <v>5.3</v>
          </cell>
          <cell r="BT124">
            <v>5.6</v>
          </cell>
          <cell r="BU124">
            <v>6</v>
          </cell>
          <cell r="BV124">
            <v>6.3</v>
          </cell>
          <cell r="BW124">
            <v>6.7</v>
          </cell>
          <cell r="BX124">
            <v>7</v>
          </cell>
          <cell r="BY124">
            <v>7.3</v>
          </cell>
          <cell r="BZ124">
            <v>7.7</v>
          </cell>
          <cell r="CA124">
            <v>7.9</v>
          </cell>
          <cell r="CB124">
            <v>8.4</v>
          </cell>
          <cell r="CC124">
            <v>8.8</v>
          </cell>
          <cell r="CD124">
            <v>9.2</v>
          </cell>
          <cell r="CE124">
            <v>9.7</v>
          </cell>
          <cell r="CF124">
            <v>10.2</v>
          </cell>
          <cell r="CG124">
            <v>0.5</v>
          </cell>
          <cell r="CH124">
            <v>1.1</v>
          </cell>
          <cell r="CI124">
            <v>1.5</v>
          </cell>
          <cell r="CJ124">
            <v>1.9</v>
          </cell>
          <cell r="CK124">
            <v>2.3</v>
          </cell>
          <cell r="CL124">
            <v>2.8</v>
          </cell>
          <cell r="CM124">
            <v>-1.3e-6</v>
          </cell>
          <cell r="CN124">
            <v>1.043e-8</v>
          </cell>
          <cell r="CO124">
            <v>-1.189e-11</v>
          </cell>
          <cell r="CP124">
            <v>1.155e-6</v>
          </cell>
          <cell r="CQ124">
            <v>1.4874e-9</v>
          </cell>
          <cell r="CR124">
            <v>0.278</v>
          </cell>
          <cell r="CS124">
            <v>1</v>
          </cell>
          <cell r="CT124">
            <v>1</v>
          </cell>
          <cell r="CU124">
            <v>1</v>
          </cell>
          <cell r="CV124">
            <v>1</v>
          </cell>
          <cell r="CW124">
            <v>1</v>
          </cell>
          <cell r="CX124">
            <v>1</v>
          </cell>
          <cell r="CY124">
            <v>0</v>
          </cell>
          <cell r="CZ124">
            <v>0</v>
          </cell>
          <cell r="DA124">
            <v>685</v>
          </cell>
          <cell r="DB124">
            <v>732</v>
          </cell>
          <cell r="DC124">
            <v>629</v>
          </cell>
          <cell r="DD124">
            <v>675</v>
          </cell>
          <cell r="DE124">
            <v>73</v>
          </cell>
          <cell r="DF124">
            <v>0</v>
          </cell>
          <cell r="DG124">
            <v>89</v>
          </cell>
          <cell r="DH124">
            <v>0</v>
          </cell>
          <cell r="DI124">
            <v>215</v>
          </cell>
          <cell r="DJ124">
            <v>0</v>
          </cell>
          <cell r="DK124">
            <v>630</v>
          </cell>
          <cell r="DL124">
            <v>78</v>
          </cell>
          <cell r="DM124">
            <v>11093</v>
          </cell>
          <cell r="DN124">
            <v>4263</v>
          </cell>
          <cell r="DO124">
            <v>0.301</v>
          </cell>
          <cell r="DP124">
            <v>0</v>
          </cell>
          <cell r="DQ124" t="str">
            <v>(460)/375</v>
          </cell>
          <cell r="DR124">
            <v>419</v>
          </cell>
          <cell r="DS124">
            <v>372</v>
          </cell>
          <cell r="DT124">
            <v>4.76</v>
          </cell>
          <cell r="DU124">
            <v>0.955</v>
          </cell>
          <cell r="DV124">
            <v>0.983</v>
          </cell>
          <cell r="DW124">
            <v>0.99</v>
          </cell>
          <cell r="DX124">
            <v>0.995</v>
          </cell>
          <cell r="DY124">
            <v>0.995</v>
          </cell>
          <cell r="DZ124">
            <v>0.995</v>
          </cell>
          <cell r="EA124">
            <v>0.995</v>
          </cell>
          <cell r="EB124">
            <v>0.995</v>
          </cell>
          <cell r="EC124">
            <v>0.995</v>
          </cell>
          <cell r="ED124">
            <v>0.995</v>
          </cell>
          <cell r="EE124">
            <v>0.995</v>
          </cell>
          <cell r="EF124">
            <v>0.995</v>
          </cell>
          <cell r="EG124">
            <v>0.995</v>
          </cell>
          <cell r="EH124">
            <v>0.995</v>
          </cell>
          <cell r="EI124">
            <v>0.995</v>
          </cell>
          <cell r="EJ124">
            <v>0.995</v>
          </cell>
          <cell r="EK124">
            <v>0.995</v>
          </cell>
          <cell r="EL124">
            <v>0.988</v>
          </cell>
          <cell r="EM124">
            <v>0.967</v>
          </cell>
          <cell r="EN124">
            <v>0.953</v>
          </cell>
          <cell r="EO124">
            <v>0.931</v>
          </cell>
          <cell r="EP124">
            <v>0.893</v>
          </cell>
          <cell r="EQ124">
            <v>0.816</v>
          </cell>
          <cell r="ER124">
            <v>0.669</v>
          </cell>
          <cell r="ES124">
            <v>0.55</v>
          </cell>
          <cell r="ET124">
            <v>0.373</v>
          </cell>
          <cell r="EU124">
            <v>0.144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0.912</v>
          </cell>
          <cell r="FF124">
            <v>0.966</v>
          </cell>
          <cell r="FG124">
            <v>0.98</v>
          </cell>
          <cell r="FH124">
            <v>0.99</v>
          </cell>
          <cell r="FI124">
            <v>0.99</v>
          </cell>
          <cell r="FJ124">
            <v>0.99</v>
          </cell>
          <cell r="FK124">
            <v>0.99</v>
          </cell>
          <cell r="FL124">
            <v>0.99</v>
          </cell>
          <cell r="FM124">
            <v>0.99</v>
          </cell>
          <cell r="FN124">
            <v>0.99</v>
          </cell>
          <cell r="FO124">
            <v>0.99</v>
          </cell>
          <cell r="FP124">
            <v>0.99</v>
          </cell>
          <cell r="FQ124">
            <v>0.99</v>
          </cell>
          <cell r="FR124">
            <v>0.99</v>
          </cell>
          <cell r="FS124">
            <v>0.99</v>
          </cell>
          <cell r="FT124">
            <v>0.99</v>
          </cell>
          <cell r="FU124">
            <v>0.99</v>
          </cell>
          <cell r="FV124">
            <v>0.979</v>
          </cell>
          <cell r="FW124">
            <v>0.941</v>
          </cell>
          <cell r="FX124">
            <v>0.912</v>
          </cell>
          <cell r="FY124">
            <v>0.87</v>
          </cell>
          <cell r="FZ124">
            <v>0.798</v>
          </cell>
          <cell r="GA124">
            <v>0.662</v>
          </cell>
          <cell r="GB124">
            <v>0.441</v>
          </cell>
          <cell r="GC124">
            <v>0.295</v>
          </cell>
          <cell r="GD124">
            <v>0.135</v>
          </cell>
          <cell r="GE124">
            <v>0.024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</row>
        <row r="125">
          <cell r="B125" t="str">
            <v>F4</v>
          </cell>
          <cell r="C125">
            <v>620364</v>
          </cell>
          <cell r="D125">
            <v>36.35</v>
          </cell>
          <cell r="E125">
            <v>36.09</v>
          </cell>
          <cell r="F125">
            <v>0.01706</v>
          </cell>
          <cell r="G125">
            <v>0.017291</v>
          </cell>
          <cell r="H125">
            <v>1.58511</v>
          </cell>
          <cell r="I125">
            <v>1.5898</v>
          </cell>
          <cell r="J125">
            <v>1.59522</v>
          </cell>
          <cell r="K125">
            <v>1.60075</v>
          </cell>
          <cell r="L125">
            <v>1.60282</v>
          </cell>
          <cell r="M125">
            <v>1.60672</v>
          </cell>
          <cell r="N125">
            <v>1.60957</v>
          </cell>
          <cell r="O125">
            <v>1.61228</v>
          </cell>
          <cell r="P125">
            <v>1.61504</v>
          </cell>
          <cell r="Q125">
            <v>1.61582</v>
          </cell>
          <cell r="R125">
            <v>1.61656</v>
          </cell>
          <cell r="S125">
            <v>1.6199</v>
          </cell>
          <cell r="T125">
            <v>1.62005</v>
          </cell>
          <cell r="U125">
            <v>1.62408</v>
          </cell>
          <cell r="V125">
            <v>1.6321</v>
          </cell>
          <cell r="W125">
            <v>1.63312</v>
          </cell>
          <cell r="X125">
            <v>1.64205</v>
          </cell>
          <cell r="Y125">
            <v>1.65066</v>
          </cell>
          <cell r="Z125">
            <v>1.66625</v>
          </cell>
          <cell r="AA125">
            <v>2.55510802</v>
          </cell>
          <cell r="AB125">
            <v>-0.0086443101</v>
          </cell>
          <cell r="AC125">
            <v>0.0226592448</v>
          </cell>
          <cell r="AD125">
            <v>0.000822256872</v>
          </cell>
          <cell r="AE125">
            <v>-1.60646686e-5</v>
          </cell>
          <cell r="AF125">
            <v>4.04183096e-6</v>
          </cell>
          <cell r="AG125">
            <v>0.293669402110196</v>
          </cell>
          <cell r="AH125">
            <v>0.236225087924968</v>
          </cell>
          <cell r="AI125">
            <v>0.583235638921445</v>
          </cell>
          <cell r="AJ125">
            <v>0.24450867052023</v>
          </cell>
          <cell r="AK125">
            <v>0.232947976878613</v>
          </cell>
          <cell r="AL125">
            <v>0.516184971098276</v>
          </cell>
          <cell r="AM125">
            <v>-2.92900351640049e-5</v>
          </cell>
          <cell r="AN125">
            <v>1.29889214455295e-5</v>
          </cell>
          <cell r="AO125">
            <v>4.3327901527862e-5</v>
          </cell>
          <cell r="AP125">
            <v>5.05041031693548e-5</v>
          </cell>
          <cell r="AQ125">
            <v>1.1</v>
          </cell>
          <cell r="AR125">
            <v>1.2</v>
          </cell>
          <cell r="AS125">
            <v>1.3</v>
          </cell>
          <cell r="AT125">
            <v>1.3</v>
          </cell>
          <cell r="AU125">
            <v>1.4</v>
          </cell>
          <cell r="AV125">
            <v>1.6</v>
          </cell>
          <cell r="AW125">
            <v>2</v>
          </cell>
          <cell r="AX125">
            <v>2.1</v>
          </cell>
          <cell r="AY125">
            <v>2.1</v>
          </cell>
          <cell r="AZ125">
            <v>2.2</v>
          </cell>
          <cell r="BA125">
            <v>2.4</v>
          </cell>
          <cell r="BB125">
            <v>2.6</v>
          </cell>
          <cell r="BC125">
            <v>2</v>
          </cell>
          <cell r="BD125">
            <v>2.1</v>
          </cell>
          <cell r="BE125">
            <v>2.2</v>
          </cell>
          <cell r="BF125">
            <v>2.3</v>
          </cell>
          <cell r="BG125">
            <v>2.4</v>
          </cell>
          <cell r="BH125">
            <v>2.6</v>
          </cell>
          <cell r="BI125">
            <v>2.3</v>
          </cell>
          <cell r="BJ125">
            <v>2.4</v>
          </cell>
          <cell r="BK125">
            <v>2.5</v>
          </cell>
          <cell r="BL125">
            <v>2.5</v>
          </cell>
          <cell r="BM125">
            <v>2.7</v>
          </cell>
          <cell r="BN125">
            <v>2.9</v>
          </cell>
          <cell r="BO125">
            <v>2.6</v>
          </cell>
          <cell r="BP125">
            <v>2.7</v>
          </cell>
          <cell r="BQ125">
            <v>2.8</v>
          </cell>
          <cell r="BR125">
            <v>2.9</v>
          </cell>
          <cell r="BS125">
            <v>3.1</v>
          </cell>
          <cell r="BT125">
            <v>3.3</v>
          </cell>
          <cell r="BU125">
            <v>3.4</v>
          </cell>
          <cell r="BV125">
            <v>3.6</v>
          </cell>
          <cell r="BW125">
            <v>3.7</v>
          </cell>
          <cell r="BX125">
            <v>3.8</v>
          </cell>
          <cell r="BY125">
            <v>4</v>
          </cell>
          <cell r="BZ125">
            <v>4.3</v>
          </cell>
          <cell r="CA125">
            <v>4.3</v>
          </cell>
          <cell r="CB125">
            <v>4.5</v>
          </cell>
          <cell r="CC125">
            <v>4.7</v>
          </cell>
          <cell r="CD125">
            <v>4.8</v>
          </cell>
          <cell r="CE125">
            <v>5</v>
          </cell>
          <cell r="CF125">
            <v>5.3</v>
          </cell>
          <cell r="CG125">
            <v>-0.2</v>
          </cell>
          <cell r="CH125">
            <v>0.2</v>
          </cell>
          <cell r="CI125">
            <v>0.6</v>
          </cell>
          <cell r="CJ125">
            <v>0.9</v>
          </cell>
          <cell r="CK125">
            <v>1.2</v>
          </cell>
          <cell r="CL125">
            <v>1.5</v>
          </cell>
          <cell r="CM125">
            <v>-1.22e-6</v>
          </cell>
          <cell r="CN125">
            <v>1.419e-8</v>
          </cell>
          <cell r="CO125">
            <v>-3.98e-12</v>
          </cell>
          <cell r="CP125">
            <v>8.66e-7</v>
          </cell>
          <cell r="CQ125">
            <v>8.463e-10</v>
          </cell>
          <cell r="CR125">
            <v>0.267</v>
          </cell>
          <cell r="CS125">
            <v>1</v>
          </cell>
          <cell r="CT125">
            <v>3</v>
          </cell>
          <cell r="CU125">
            <v>1</v>
          </cell>
          <cell r="CV125">
            <v>1</v>
          </cell>
          <cell r="CW125">
            <v>1</v>
          </cell>
          <cell r="CX125">
            <v>1</v>
          </cell>
          <cell r="CY125">
            <v>0</v>
          </cell>
          <cell r="CZ125">
            <v>0</v>
          </cell>
          <cell r="DA125">
            <v>405</v>
          </cell>
          <cell r="DB125">
            <v>469</v>
          </cell>
          <cell r="DC125">
            <v>355</v>
          </cell>
          <cell r="DD125">
            <v>398</v>
          </cell>
          <cell r="DE125">
            <v>88</v>
          </cell>
          <cell r="DF125">
            <v>0</v>
          </cell>
          <cell r="DG125">
            <v>110</v>
          </cell>
          <cell r="DH125">
            <v>0</v>
          </cell>
          <cell r="DI125">
            <v>48</v>
          </cell>
          <cell r="DJ125">
            <v>0</v>
          </cell>
          <cell r="DK125">
            <v>418</v>
          </cell>
          <cell r="DL125">
            <v>172</v>
          </cell>
          <cell r="DM125">
            <v>5439</v>
          </cell>
          <cell r="DN125">
            <v>2204</v>
          </cell>
          <cell r="DO125">
            <v>0.234</v>
          </cell>
          <cell r="DP125">
            <v>0</v>
          </cell>
          <cell r="DQ125" t="str">
            <v>350/320</v>
          </cell>
          <cell r="DR125">
            <v>342</v>
          </cell>
          <cell r="DS125">
            <v>320</v>
          </cell>
          <cell r="DT125">
            <v>3.57</v>
          </cell>
          <cell r="DU125">
            <v>0.889</v>
          </cell>
          <cell r="DV125">
            <v>0.918</v>
          </cell>
          <cell r="DW125">
            <v>0.964</v>
          </cell>
          <cell r="DX125">
            <v>0.986</v>
          </cell>
          <cell r="DY125">
            <v>0.999</v>
          </cell>
          <cell r="DZ125">
            <v>0.999</v>
          </cell>
          <cell r="EA125">
            <v>0.999</v>
          </cell>
          <cell r="EB125">
            <v>0.999</v>
          </cell>
          <cell r="EC125">
            <v>0.999</v>
          </cell>
          <cell r="ED125">
            <v>0.999</v>
          </cell>
          <cell r="EE125">
            <v>0.999</v>
          </cell>
          <cell r="EF125">
            <v>0.999</v>
          </cell>
          <cell r="EG125">
            <v>0.999</v>
          </cell>
          <cell r="EH125">
            <v>0.999</v>
          </cell>
          <cell r="EI125">
            <v>0.999</v>
          </cell>
          <cell r="EJ125">
            <v>0.999</v>
          </cell>
          <cell r="EK125">
            <v>0.999</v>
          </cell>
          <cell r="EL125">
            <v>0.999</v>
          </cell>
          <cell r="EM125">
            <v>0.999</v>
          </cell>
          <cell r="EN125">
            <v>0.999</v>
          </cell>
          <cell r="EO125">
            <v>0.999</v>
          </cell>
          <cell r="EP125">
            <v>0.997</v>
          </cell>
          <cell r="EQ125">
            <v>0.995</v>
          </cell>
          <cell r="ER125">
            <v>0.993</v>
          </cell>
          <cell r="ES125">
            <v>0.991</v>
          </cell>
          <cell r="ET125">
            <v>0.987</v>
          </cell>
          <cell r="EU125">
            <v>0.982</v>
          </cell>
          <cell r="EV125">
            <v>0.971</v>
          </cell>
          <cell r="EW125">
            <v>0.94</v>
          </cell>
          <cell r="EX125">
            <v>0.855</v>
          </cell>
          <cell r="EY125">
            <v>0.62</v>
          </cell>
          <cell r="EZ125">
            <v>0.178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0.79</v>
          </cell>
          <cell r="FF125">
            <v>0.843</v>
          </cell>
          <cell r="FG125">
            <v>0.93</v>
          </cell>
          <cell r="FH125">
            <v>0.972</v>
          </cell>
          <cell r="FI125">
            <v>0.998</v>
          </cell>
          <cell r="FJ125">
            <v>0.998</v>
          </cell>
          <cell r="FK125">
            <v>0.998</v>
          </cell>
          <cell r="FL125">
            <v>0.998</v>
          </cell>
          <cell r="FM125">
            <v>0.998</v>
          </cell>
          <cell r="FN125">
            <v>0.998</v>
          </cell>
          <cell r="FO125">
            <v>0.998</v>
          </cell>
          <cell r="FP125">
            <v>0.998</v>
          </cell>
          <cell r="FQ125">
            <v>0.998</v>
          </cell>
          <cell r="FR125">
            <v>0.998</v>
          </cell>
          <cell r="FS125">
            <v>0.998</v>
          </cell>
          <cell r="FT125">
            <v>0.998</v>
          </cell>
          <cell r="FU125">
            <v>0.998</v>
          </cell>
          <cell r="FV125">
            <v>0.998</v>
          </cell>
          <cell r="FW125">
            <v>0.998</v>
          </cell>
          <cell r="FX125">
            <v>0.998</v>
          </cell>
          <cell r="FY125">
            <v>0.998</v>
          </cell>
          <cell r="FZ125">
            <v>0.994</v>
          </cell>
          <cell r="GA125">
            <v>0.99</v>
          </cell>
          <cell r="GB125">
            <v>0.986</v>
          </cell>
          <cell r="GC125">
            <v>0.978</v>
          </cell>
          <cell r="GD125">
            <v>0.968</v>
          </cell>
          <cell r="GE125">
            <v>0.957</v>
          </cell>
          <cell r="GF125">
            <v>0.932</v>
          </cell>
          <cell r="GG125">
            <v>0.874</v>
          </cell>
          <cell r="GH125">
            <v>0.725</v>
          </cell>
          <cell r="GI125">
            <v>0.383</v>
          </cell>
          <cell r="GJ125">
            <v>0.036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</row>
        <row r="126">
          <cell r="B126" t="str">
            <v>ZF1</v>
          </cell>
          <cell r="C126">
            <v>648338</v>
          </cell>
          <cell r="D126">
            <v>33.84</v>
          </cell>
          <cell r="E126">
            <v>33.58</v>
          </cell>
          <cell r="F126">
            <v>0.01914</v>
          </cell>
          <cell r="G126">
            <v>0.019421</v>
          </cell>
          <cell r="H126">
            <v>0</v>
          </cell>
          <cell r="I126">
            <v>0</v>
          </cell>
          <cell r="J126">
            <v>0</v>
          </cell>
          <cell r="K126">
            <v>1.62635</v>
          </cell>
          <cell r="L126">
            <v>1.62858</v>
          </cell>
          <cell r="M126">
            <v>1.63286</v>
          </cell>
          <cell r="N126">
            <v>1.63602</v>
          </cell>
          <cell r="O126">
            <v>1.63902</v>
          </cell>
          <cell r="P126">
            <v>1.6421</v>
          </cell>
          <cell r="Q126">
            <v>1.64297</v>
          </cell>
          <cell r="R126">
            <v>1.6438</v>
          </cell>
          <cell r="S126">
            <v>1.64753</v>
          </cell>
          <cell r="T126">
            <v>1.64769</v>
          </cell>
          <cell r="U126">
            <v>1.65223</v>
          </cell>
          <cell r="V126">
            <v>1.66124</v>
          </cell>
          <cell r="W126">
            <v>1.66239</v>
          </cell>
          <cell r="X126">
            <v>1.67251</v>
          </cell>
          <cell r="Y126">
            <v>1.68236</v>
          </cell>
          <cell r="Z126">
            <v>1.70035</v>
          </cell>
          <cell r="AA126">
            <v>2.63432553</v>
          </cell>
          <cell r="AB126">
            <v>-0.00834175937</v>
          </cell>
          <cell r="AC126">
            <v>0.0266049594</v>
          </cell>
          <cell r="AD126">
            <v>0.000667095078</v>
          </cell>
          <cell r="AE126">
            <v>2.25596868e-5</v>
          </cell>
          <cell r="AF126">
            <v>3.51837667e-6</v>
          </cell>
          <cell r="AG126">
            <v>0.292058516196456</v>
          </cell>
          <cell r="AH126">
            <v>0.237199582027166</v>
          </cell>
          <cell r="AI126">
            <v>0.588819226750251</v>
          </cell>
          <cell r="AJ126">
            <v>0.243048403707521</v>
          </cell>
          <cell r="AK126">
            <v>0.233779608650875</v>
          </cell>
          <cell r="AL126">
            <v>0.521112255406793</v>
          </cell>
          <cell r="AM126">
            <v>-0.000778418223621322</v>
          </cell>
          <cell r="AN126">
            <v>0.00142746675025072</v>
          </cell>
          <cell r="AO126">
            <v>0.00228544568442349</v>
          </cell>
          <cell r="AP126">
            <v>0.00114262068964678</v>
          </cell>
          <cell r="AQ126">
            <v>2.4</v>
          </cell>
          <cell r="AR126">
            <v>2.4</v>
          </cell>
          <cell r="AS126">
            <v>2.4</v>
          </cell>
          <cell r="AT126">
            <v>2.4</v>
          </cell>
          <cell r="AU126">
            <v>2.5</v>
          </cell>
          <cell r="AV126">
            <v>2.7</v>
          </cell>
          <cell r="AW126">
            <v>3.1</v>
          </cell>
          <cell r="AX126">
            <v>3.1</v>
          </cell>
          <cell r="AY126">
            <v>3.2</v>
          </cell>
          <cell r="AZ126">
            <v>3.2</v>
          </cell>
          <cell r="BA126">
            <v>3.3</v>
          </cell>
          <cell r="BB126">
            <v>3.5</v>
          </cell>
          <cell r="BC126">
            <v>3.1</v>
          </cell>
          <cell r="BD126">
            <v>3.2</v>
          </cell>
          <cell r="BE126">
            <v>3.2</v>
          </cell>
          <cell r="BF126">
            <v>3.2</v>
          </cell>
          <cell r="BG126">
            <v>3.3</v>
          </cell>
          <cell r="BH126">
            <v>3.5</v>
          </cell>
          <cell r="BI126">
            <v>3.3</v>
          </cell>
          <cell r="BJ126">
            <v>3.4</v>
          </cell>
          <cell r="BK126">
            <v>3.4</v>
          </cell>
          <cell r="BL126">
            <v>3.5</v>
          </cell>
          <cell r="BM126">
            <v>3.6</v>
          </cell>
          <cell r="BN126">
            <v>3.8</v>
          </cell>
          <cell r="BO126">
            <v>3.6</v>
          </cell>
          <cell r="BP126">
            <v>3.7</v>
          </cell>
          <cell r="BQ126">
            <v>3.8</v>
          </cell>
          <cell r="BR126">
            <v>3.8</v>
          </cell>
          <cell r="BS126">
            <v>3.9</v>
          </cell>
          <cell r="BT126">
            <v>4.2</v>
          </cell>
          <cell r="BU126">
            <v>4.3</v>
          </cell>
          <cell r="BV126">
            <v>4.4</v>
          </cell>
          <cell r="BW126">
            <v>4.5</v>
          </cell>
          <cell r="BX126">
            <v>4.6</v>
          </cell>
          <cell r="BY126">
            <v>4.8</v>
          </cell>
          <cell r="BZ126">
            <v>5</v>
          </cell>
          <cell r="CA126">
            <v>5.1</v>
          </cell>
          <cell r="CB126">
            <v>5.2</v>
          </cell>
          <cell r="CC126">
            <v>5.4</v>
          </cell>
          <cell r="CD126">
            <v>5.5</v>
          </cell>
          <cell r="CE126">
            <v>5.7</v>
          </cell>
          <cell r="CF126">
            <v>6</v>
          </cell>
          <cell r="CG126">
            <v>0.9</v>
          </cell>
          <cell r="CH126">
            <v>1.3</v>
          </cell>
          <cell r="CI126">
            <v>1.6</v>
          </cell>
          <cell r="CJ126">
            <v>1.8</v>
          </cell>
          <cell r="CK126">
            <v>2.1</v>
          </cell>
          <cell r="CL126">
            <v>2.4</v>
          </cell>
          <cell r="CM126">
            <v>9.9e-7</v>
          </cell>
          <cell r="CN126">
            <v>1.257e-8</v>
          </cell>
          <cell r="CO126">
            <v>2.54e-12</v>
          </cell>
          <cell r="CP126">
            <v>7.26e-7</v>
          </cell>
          <cell r="CQ126">
            <v>7.929e-10</v>
          </cell>
          <cell r="CR126">
            <v>0.267</v>
          </cell>
          <cell r="CS126">
            <v>1</v>
          </cell>
          <cell r="CT126">
            <v>2</v>
          </cell>
          <cell r="CU126">
            <v>1</v>
          </cell>
          <cell r="CV126">
            <v>2</v>
          </cell>
          <cell r="CW126">
            <v>1</v>
          </cell>
          <cell r="CX126">
            <v>2</v>
          </cell>
          <cell r="CY126">
            <v>0</v>
          </cell>
          <cell r="CZ126">
            <v>0</v>
          </cell>
          <cell r="DA126">
            <v>418</v>
          </cell>
          <cell r="DB126">
            <v>475</v>
          </cell>
          <cell r="DC126">
            <v>388</v>
          </cell>
          <cell r="DD126">
            <v>403</v>
          </cell>
          <cell r="DE126">
            <v>88</v>
          </cell>
          <cell r="DF126">
            <v>0</v>
          </cell>
          <cell r="DG126">
            <v>102</v>
          </cell>
          <cell r="DH126">
            <v>0</v>
          </cell>
          <cell r="DI126">
            <v>55</v>
          </cell>
          <cell r="DJ126">
            <v>0</v>
          </cell>
          <cell r="DK126">
            <v>395</v>
          </cell>
          <cell r="DL126">
            <v>198</v>
          </cell>
          <cell r="DM126">
            <v>5519</v>
          </cell>
          <cell r="DN126">
            <v>2233</v>
          </cell>
          <cell r="DO126">
            <v>0.236</v>
          </cell>
          <cell r="DP126">
            <v>0</v>
          </cell>
          <cell r="DQ126" t="str">
            <v>360/330</v>
          </cell>
          <cell r="DR126">
            <v>349</v>
          </cell>
          <cell r="DS126">
            <v>327</v>
          </cell>
          <cell r="DT126">
            <v>3.85</v>
          </cell>
          <cell r="DU126">
            <v>0.931</v>
          </cell>
          <cell r="DV126">
            <v>0.95</v>
          </cell>
          <cell r="DW126">
            <v>0.987</v>
          </cell>
          <cell r="DX126">
            <v>0.995</v>
          </cell>
          <cell r="DY126">
            <v>0.999</v>
          </cell>
          <cell r="DZ126">
            <v>0.999</v>
          </cell>
          <cell r="EA126">
            <v>0.999</v>
          </cell>
          <cell r="EB126">
            <v>0.999</v>
          </cell>
          <cell r="EC126">
            <v>0.999</v>
          </cell>
          <cell r="ED126">
            <v>0.999</v>
          </cell>
          <cell r="EE126">
            <v>0.999</v>
          </cell>
          <cell r="EF126">
            <v>0.999</v>
          </cell>
          <cell r="EG126">
            <v>0.999</v>
          </cell>
          <cell r="EH126">
            <v>0.999</v>
          </cell>
          <cell r="EI126">
            <v>0.999</v>
          </cell>
          <cell r="EJ126">
            <v>0.999</v>
          </cell>
          <cell r="EK126">
            <v>0.999</v>
          </cell>
          <cell r="EL126">
            <v>0.999</v>
          </cell>
          <cell r="EM126">
            <v>0.999</v>
          </cell>
          <cell r="EN126">
            <v>0.999</v>
          </cell>
          <cell r="EO126">
            <v>0.999</v>
          </cell>
          <cell r="EP126">
            <v>0.998</v>
          </cell>
          <cell r="EQ126">
            <v>0.997</v>
          </cell>
          <cell r="ER126">
            <v>0.995</v>
          </cell>
          <cell r="ES126">
            <v>0.992</v>
          </cell>
          <cell r="ET126">
            <v>0.986</v>
          </cell>
          <cell r="EU126">
            <v>0.979</v>
          </cell>
          <cell r="EV126">
            <v>0.949</v>
          </cell>
          <cell r="EW126">
            <v>0.895</v>
          </cell>
          <cell r="EX126">
            <v>0.732</v>
          </cell>
          <cell r="EY126">
            <v>0.343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0.867</v>
          </cell>
          <cell r="FF126">
            <v>0.9</v>
          </cell>
          <cell r="FG126">
            <v>0.974</v>
          </cell>
          <cell r="FH126">
            <v>0.99</v>
          </cell>
          <cell r="FI126">
            <v>0.998</v>
          </cell>
          <cell r="FJ126">
            <v>0.998</v>
          </cell>
          <cell r="FK126">
            <v>0.998</v>
          </cell>
          <cell r="FL126">
            <v>0.998</v>
          </cell>
          <cell r="FM126">
            <v>0.998</v>
          </cell>
          <cell r="FN126">
            <v>0.998</v>
          </cell>
          <cell r="FO126">
            <v>0.998</v>
          </cell>
          <cell r="FP126">
            <v>0.998</v>
          </cell>
          <cell r="FQ126">
            <v>0.998</v>
          </cell>
          <cell r="FR126">
            <v>0.998</v>
          </cell>
          <cell r="FS126">
            <v>0.998</v>
          </cell>
          <cell r="FT126">
            <v>0.998</v>
          </cell>
          <cell r="FU126">
            <v>0.998</v>
          </cell>
          <cell r="FV126">
            <v>0.998</v>
          </cell>
          <cell r="FW126">
            <v>0.998</v>
          </cell>
          <cell r="FX126">
            <v>0.998</v>
          </cell>
          <cell r="FY126">
            <v>0.998</v>
          </cell>
          <cell r="FZ126">
            <v>0.996</v>
          </cell>
          <cell r="GA126">
            <v>0.994</v>
          </cell>
          <cell r="GB126">
            <v>0.992</v>
          </cell>
          <cell r="GC126">
            <v>0.986</v>
          </cell>
          <cell r="GD126">
            <v>0.976</v>
          </cell>
          <cell r="GE126">
            <v>0.961</v>
          </cell>
          <cell r="GF126">
            <v>0.914</v>
          </cell>
          <cell r="GG126">
            <v>0.811</v>
          </cell>
          <cell r="GH126">
            <v>0.541</v>
          </cell>
          <cell r="GI126">
            <v>0.12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</row>
        <row r="127">
          <cell r="B127" t="str">
            <v>ZF2</v>
          </cell>
          <cell r="C127">
            <v>673322</v>
          </cell>
          <cell r="D127">
            <v>32.17</v>
          </cell>
          <cell r="E127">
            <v>31.92</v>
          </cell>
          <cell r="F127">
            <v>0.02091</v>
          </cell>
          <cell r="G127">
            <v>0.021227</v>
          </cell>
          <cell r="H127">
            <v>1.63283</v>
          </cell>
          <cell r="I127">
            <v>1.63777</v>
          </cell>
          <cell r="J127">
            <v>1.64358</v>
          </cell>
          <cell r="K127">
            <v>1.64972</v>
          </cell>
          <cell r="L127">
            <v>1.65209</v>
          </cell>
          <cell r="M127">
            <v>1.65665</v>
          </cell>
          <cell r="N127">
            <v>1.66003</v>
          </cell>
          <cell r="O127">
            <v>1.66327</v>
          </cell>
          <cell r="P127">
            <v>1.66661</v>
          </cell>
          <cell r="Q127">
            <v>1.66756</v>
          </cell>
          <cell r="R127">
            <v>1.66846</v>
          </cell>
          <cell r="S127">
            <v>1.67252</v>
          </cell>
          <cell r="T127">
            <v>1.6727</v>
          </cell>
          <cell r="U127">
            <v>1.67765</v>
          </cell>
          <cell r="V127">
            <v>1.68752</v>
          </cell>
          <cell r="W127">
            <v>1.68878</v>
          </cell>
          <cell r="X127">
            <v>1.69988</v>
          </cell>
          <cell r="Y127">
            <v>1.7107</v>
          </cell>
          <cell r="Z127">
            <v>1.73059</v>
          </cell>
          <cell r="AA127">
            <v>2.71117096</v>
          </cell>
          <cell r="AB127">
            <v>-0.00926643122</v>
          </cell>
          <cell r="AC127">
            <v>0.0271311967</v>
          </cell>
          <cell r="AD127">
            <v>0.00151892246</v>
          </cell>
          <cell r="AE127">
            <v>-8.58228606e-5</v>
          </cell>
          <cell r="AF127">
            <v>1.01100745e-5</v>
          </cell>
          <cell r="AG127">
            <v>0.291248206599721</v>
          </cell>
          <cell r="AH127">
            <v>0.236728837876615</v>
          </cell>
          <cell r="AI127">
            <v>0.591104734576765</v>
          </cell>
          <cell r="AJ127">
            <v>0.242224316682382</v>
          </cell>
          <cell r="AK127">
            <v>0.233270499528747</v>
          </cell>
          <cell r="AL127">
            <v>0.523091423185679</v>
          </cell>
          <cell r="AM127">
            <v>-0.000419204476335224</v>
          </cell>
          <cell r="AN127">
            <v>0.000939104576765097</v>
          </cell>
          <cell r="AO127">
            <v>-0.00159122889527127</v>
          </cell>
          <cell r="AP127">
            <v>-0.0012808837876625</v>
          </cell>
          <cell r="AQ127">
            <v>3.6</v>
          </cell>
          <cell r="AR127">
            <v>3.8</v>
          </cell>
          <cell r="AS127">
            <v>3.9</v>
          </cell>
          <cell r="AT127">
            <v>4</v>
          </cell>
          <cell r="AU127">
            <v>4.2</v>
          </cell>
          <cell r="AV127">
            <v>4.5</v>
          </cell>
          <cell r="AW127">
            <v>4.8</v>
          </cell>
          <cell r="AX127">
            <v>5</v>
          </cell>
          <cell r="AY127">
            <v>5.2</v>
          </cell>
          <cell r="AZ127">
            <v>5.3</v>
          </cell>
          <cell r="BA127">
            <v>5.5</v>
          </cell>
          <cell r="BB127">
            <v>5.8</v>
          </cell>
          <cell r="BC127">
            <v>4.8</v>
          </cell>
          <cell r="BD127">
            <v>5.1</v>
          </cell>
          <cell r="BE127">
            <v>5.2</v>
          </cell>
          <cell r="BF127">
            <v>5.4</v>
          </cell>
          <cell r="BG127">
            <v>5.6</v>
          </cell>
          <cell r="BH127">
            <v>5.9</v>
          </cell>
          <cell r="BI127">
            <v>5.2</v>
          </cell>
          <cell r="BJ127">
            <v>5.4</v>
          </cell>
          <cell r="BK127">
            <v>5.6</v>
          </cell>
          <cell r="BL127">
            <v>5.8</v>
          </cell>
          <cell r="BM127">
            <v>6</v>
          </cell>
          <cell r="BN127">
            <v>6.4</v>
          </cell>
          <cell r="BO127">
            <v>5.7</v>
          </cell>
          <cell r="BP127">
            <v>6</v>
          </cell>
          <cell r="BQ127">
            <v>6.2</v>
          </cell>
          <cell r="BR127">
            <v>6.3</v>
          </cell>
          <cell r="BS127">
            <v>6.6</v>
          </cell>
          <cell r="BT127">
            <v>6.9</v>
          </cell>
          <cell r="BU127">
            <v>6.8</v>
          </cell>
          <cell r="BV127">
            <v>7.2</v>
          </cell>
          <cell r="BW127">
            <v>7.4</v>
          </cell>
          <cell r="BX127">
            <v>7.6</v>
          </cell>
          <cell r="BY127">
            <v>7.9</v>
          </cell>
          <cell r="BZ127">
            <v>8.3</v>
          </cell>
          <cell r="CA127">
            <v>8.1</v>
          </cell>
          <cell r="CB127">
            <v>8.5</v>
          </cell>
          <cell r="CC127">
            <v>8.8</v>
          </cell>
          <cell r="CD127">
            <v>9</v>
          </cell>
          <cell r="CE127">
            <v>9.3</v>
          </cell>
          <cell r="CF127">
            <v>9.8</v>
          </cell>
          <cell r="CG127">
            <v>2.6</v>
          </cell>
          <cell r="CH127">
            <v>3.1</v>
          </cell>
          <cell r="CI127">
            <v>3.6</v>
          </cell>
          <cell r="CJ127">
            <v>3.9</v>
          </cell>
          <cell r="CK127">
            <v>4.3</v>
          </cell>
          <cell r="CL127">
            <v>4.8</v>
          </cell>
          <cell r="CM127">
            <v>3.26e-6</v>
          </cell>
          <cell r="CN127">
            <v>1.823e-8</v>
          </cell>
          <cell r="CO127">
            <v>-1.16e-11</v>
          </cell>
          <cell r="CP127">
            <v>1.261e-6</v>
          </cell>
          <cell r="CQ127">
            <v>9.019e-10</v>
          </cell>
          <cell r="CR127">
            <v>0.247</v>
          </cell>
          <cell r="CS127">
            <v>1</v>
          </cell>
          <cell r="CT127">
            <v>3</v>
          </cell>
          <cell r="CU127">
            <v>1</v>
          </cell>
          <cell r="CV127">
            <v>2</v>
          </cell>
          <cell r="CW127">
            <v>2</v>
          </cell>
          <cell r="CX127">
            <v>1</v>
          </cell>
          <cell r="CY127">
            <v>0</v>
          </cell>
          <cell r="CZ127">
            <v>0</v>
          </cell>
          <cell r="DA127">
            <v>432</v>
          </cell>
          <cell r="DB127">
            <v>493</v>
          </cell>
          <cell r="DC127">
            <v>417</v>
          </cell>
          <cell r="DD127">
            <v>430</v>
          </cell>
          <cell r="DE127">
            <v>81</v>
          </cell>
          <cell r="DF127">
            <v>0</v>
          </cell>
          <cell r="DG127">
            <v>94</v>
          </cell>
          <cell r="DH127">
            <v>0</v>
          </cell>
          <cell r="DI127">
            <v>62</v>
          </cell>
          <cell r="DJ127">
            <v>0</v>
          </cell>
          <cell r="DK127">
            <v>392</v>
          </cell>
          <cell r="DL127">
            <v>191</v>
          </cell>
          <cell r="DM127">
            <v>5820</v>
          </cell>
          <cell r="DN127">
            <v>2366</v>
          </cell>
          <cell r="DO127">
            <v>0.23</v>
          </cell>
          <cell r="DP127">
            <v>2.34</v>
          </cell>
          <cell r="DQ127" t="str">
            <v>380/335</v>
          </cell>
          <cell r="DR127">
            <v>360</v>
          </cell>
          <cell r="DS127">
            <v>335</v>
          </cell>
          <cell r="DT127">
            <v>4.07</v>
          </cell>
          <cell r="DU127">
            <v>0.937</v>
          </cell>
          <cell r="DV127">
            <v>0.949</v>
          </cell>
          <cell r="DW127">
            <v>0.98</v>
          </cell>
          <cell r="DX127">
            <v>0.99</v>
          </cell>
          <cell r="DY127">
            <v>0.999</v>
          </cell>
          <cell r="DZ127">
            <v>0.999</v>
          </cell>
          <cell r="EA127">
            <v>0.999</v>
          </cell>
          <cell r="EB127">
            <v>0.999</v>
          </cell>
          <cell r="EC127">
            <v>0.999</v>
          </cell>
          <cell r="ED127">
            <v>0.999</v>
          </cell>
          <cell r="EE127">
            <v>0.999</v>
          </cell>
          <cell r="EF127">
            <v>0.999</v>
          </cell>
          <cell r="EG127">
            <v>0.999</v>
          </cell>
          <cell r="EH127">
            <v>0.999</v>
          </cell>
          <cell r="EI127">
            <v>0.999</v>
          </cell>
          <cell r="EJ127">
            <v>0.999</v>
          </cell>
          <cell r="EK127">
            <v>0.999</v>
          </cell>
          <cell r="EL127">
            <v>0.999</v>
          </cell>
          <cell r="EM127">
            <v>0.999</v>
          </cell>
          <cell r="EN127">
            <v>0.999</v>
          </cell>
          <cell r="EO127">
            <v>0.998</v>
          </cell>
          <cell r="EP127">
            <v>0.996</v>
          </cell>
          <cell r="EQ127">
            <v>0.994</v>
          </cell>
          <cell r="ER127">
            <v>0.99</v>
          </cell>
          <cell r="ES127">
            <v>0.986</v>
          </cell>
          <cell r="ET127">
            <v>0.973</v>
          </cell>
          <cell r="EU127">
            <v>0.951</v>
          </cell>
          <cell r="EV127">
            <v>0.895</v>
          </cell>
          <cell r="EW127">
            <v>0.757</v>
          </cell>
          <cell r="EX127">
            <v>0.434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0.878</v>
          </cell>
          <cell r="FF127">
            <v>0.901</v>
          </cell>
          <cell r="FG127">
            <v>0.96</v>
          </cell>
          <cell r="FH127">
            <v>0.98</v>
          </cell>
          <cell r="FI127">
            <v>0.998</v>
          </cell>
          <cell r="FJ127">
            <v>0.998</v>
          </cell>
          <cell r="FK127">
            <v>0.998</v>
          </cell>
          <cell r="FL127">
            <v>0.998</v>
          </cell>
          <cell r="FM127">
            <v>0.998</v>
          </cell>
          <cell r="FN127">
            <v>0.998</v>
          </cell>
          <cell r="FO127">
            <v>0.998</v>
          </cell>
          <cell r="FP127">
            <v>0.998</v>
          </cell>
          <cell r="FQ127">
            <v>0.998</v>
          </cell>
          <cell r="FR127">
            <v>0.998</v>
          </cell>
          <cell r="FS127">
            <v>0.998</v>
          </cell>
          <cell r="FT127">
            <v>0.998</v>
          </cell>
          <cell r="FU127">
            <v>0.998</v>
          </cell>
          <cell r="FV127">
            <v>0.998</v>
          </cell>
          <cell r="FW127">
            <v>0.998</v>
          </cell>
          <cell r="FX127">
            <v>0.998</v>
          </cell>
          <cell r="FY127">
            <v>0.996</v>
          </cell>
          <cell r="FZ127">
            <v>0.993</v>
          </cell>
          <cell r="GA127">
            <v>0.989</v>
          </cell>
          <cell r="GB127">
            <v>0.976</v>
          </cell>
          <cell r="GC127">
            <v>0.961</v>
          </cell>
          <cell r="GD127">
            <v>0.932</v>
          </cell>
          <cell r="GE127">
            <v>0.884</v>
          </cell>
          <cell r="GF127">
            <v>0.772</v>
          </cell>
          <cell r="GG127">
            <v>0.531</v>
          </cell>
          <cell r="GH127">
            <v>0.152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</row>
        <row r="128">
          <cell r="B128" t="str">
            <v>ZF3</v>
          </cell>
          <cell r="C128">
            <v>717295</v>
          </cell>
          <cell r="D128">
            <v>29.5</v>
          </cell>
          <cell r="E128">
            <v>29.27</v>
          </cell>
          <cell r="F128">
            <v>0.024317</v>
          </cell>
          <cell r="G128">
            <v>0.024703</v>
          </cell>
          <cell r="H128">
            <v>1.6735</v>
          </cell>
          <cell r="I128">
            <v>1.67852</v>
          </cell>
          <cell r="J128">
            <v>1.68453</v>
          </cell>
          <cell r="K128">
            <v>1.69113</v>
          </cell>
          <cell r="L128">
            <v>1.69376</v>
          </cell>
          <cell r="M128">
            <v>1.6989</v>
          </cell>
          <cell r="N128">
            <v>1.70276</v>
          </cell>
          <cell r="O128">
            <v>1.70647</v>
          </cell>
          <cell r="P128">
            <v>1.71032</v>
          </cell>
          <cell r="Q128">
            <v>1.71142</v>
          </cell>
          <cell r="R128">
            <v>1.71245</v>
          </cell>
          <cell r="S128">
            <v>1.71715</v>
          </cell>
          <cell r="T128">
            <v>1.71736</v>
          </cell>
          <cell r="U128">
            <v>1.72311</v>
          </cell>
          <cell r="V128">
            <v>1.73464</v>
          </cell>
          <cell r="W128">
            <v>1.73612</v>
          </cell>
          <cell r="X128">
            <v>1.74915</v>
          </cell>
          <cell r="Y128">
            <v>1.76195</v>
          </cell>
          <cell r="Z128">
            <v>1.78575</v>
          </cell>
          <cell r="AA128">
            <v>2.84584649</v>
          </cell>
          <cell r="AB128">
            <v>-0.00946700467</v>
          </cell>
          <cell r="AC128">
            <v>0.0318063247</v>
          </cell>
          <cell r="AD128">
            <v>0.00198612859</v>
          </cell>
          <cell r="AE128">
            <v>-0.000126050821</v>
          </cell>
          <cell r="AF128">
            <v>1.48076105e-5</v>
          </cell>
          <cell r="AG128">
            <v>0.289473684210525</v>
          </cell>
          <cell r="AH128">
            <v>0.236430921052629</v>
          </cell>
          <cell r="AI128">
            <v>0.596628289473688</v>
          </cell>
          <cell r="AJ128">
            <v>0.240485829959515</v>
          </cell>
          <cell r="AK128">
            <v>0.232793522267202</v>
          </cell>
          <cell r="AL128">
            <v>0.527530364372461</v>
          </cell>
          <cell r="AM128">
            <v>0.00017939473684573</v>
          </cell>
          <cell r="AN128">
            <v>0.00202778947368767</v>
          </cell>
          <cell r="AO128">
            <v>-0.00213594736841283</v>
          </cell>
          <cell r="AP128">
            <v>-0.00162763157894592</v>
          </cell>
          <cell r="AQ128">
            <v>4.6</v>
          </cell>
          <cell r="AR128">
            <v>4.7</v>
          </cell>
          <cell r="AS128">
            <v>4.8</v>
          </cell>
          <cell r="AT128">
            <v>5</v>
          </cell>
          <cell r="AU128">
            <v>5.2</v>
          </cell>
          <cell r="AV128">
            <v>5.5</v>
          </cell>
          <cell r="AW128">
            <v>6</v>
          </cell>
          <cell r="AX128">
            <v>6.2</v>
          </cell>
          <cell r="AY128">
            <v>6.4</v>
          </cell>
          <cell r="AZ128">
            <v>6.6</v>
          </cell>
          <cell r="BA128">
            <v>6.8</v>
          </cell>
          <cell r="BB128">
            <v>7.2</v>
          </cell>
          <cell r="BC128">
            <v>6.1</v>
          </cell>
          <cell r="BD128">
            <v>6.3</v>
          </cell>
          <cell r="BE128">
            <v>6.5</v>
          </cell>
          <cell r="BF128">
            <v>6.7</v>
          </cell>
          <cell r="BG128">
            <v>6.9</v>
          </cell>
          <cell r="BH128">
            <v>7.3</v>
          </cell>
          <cell r="BI128">
            <v>6.6</v>
          </cell>
          <cell r="BJ128">
            <v>6.8</v>
          </cell>
          <cell r="BK128">
            <v>7</v>
          </cell>
          <cell r="BL128">
            <v>7.2</v>
          </cell>
          <cell r="BM128">
            <v>7.4</v>
          </cell>
          <cell r="BN128">
            <v>7.8</v>
          </cell>
          <cell r="BO128">
            <v>7.2</v>
          </cell>
          <cell r="BP128">
            <v>7.5</v>
          </cell>
          <cell r="BQ128">
            <v>7.7</v>
          </cell>
          <cell r="BR128">
            <v>7.9</v>
          </cell>
          <cell r="BS128">
            <v>8.1</v>
          </cell>
          <cell r="BT128">
            <v>8.5</v>
          </cell>
          <cell r="BU128">
            <v>8.7</v>
          </cell>
          <cell r="BV128">
            <v>9</v>
          </cell>
          <cell r="BW128">
            <v>9.3</v>
          </cell>
          <cell r="BX128">
            <v>9.5</v>
          </cell>
          <cell r="BY128">
            <v>9.8</v>
          </cell>
          <cell r="BZ128">
            <v>10.2</v>
          </cell>
          <cell r="CA128">
            <v>10.3</v>
          </cell>
          <cell r="CB128">
            <v>10.7</v>
          </cell>
          <cell r="CC128">
            <v>11</v>
          </cell>
          <cell r="CD128">
            <v>11.3</v>
          </cell>
          <cell r="CE128">
            <v>11.7</v>
          </cell>
          <cell r="CF128">
            <v>12.2</v>
          </cell>
          <cell r="CG128">
            <v>3.8</v>
          </cell>
          <cell r="CH128">
            <v>4.4</v>
          </cell>
          <cell r="CI128">
            <v>4.8</v>
          </cell>
          <cell r="CJ128">
            <v>5.2</v>
          </cell>
          <cell r="CK128">
            <v>5.6</v>
          </cell>
          <cell r="CL128">
            <v>6.1</v>
          </cell>
          <cell r="CM128">
            <v>4.66e-6</v>
          </cell>
          <cell r="CN128">
            <v>1.726e-8</v>
          </cell>
          <cell r="CO128">
            <v>-7.44e-12</v>
          </cell>
          <cell r="CP128">
            <v>1.378e-6</v>
          </cell>
          <cell r="CQ128">
            <v>1.0831e-9</v>
          </cell>
          <cell r="CR128">
            <v>0.263</v>
          </cell>
          <cell r="CS128">
            <v>1</v>
          </cell>
          <cell r="CT128">
            <v>3</v>
          </cell>
          <cell r="CU128">
            <v>1</v>
          </cell>
          <cell r="CV128">
            <v>3</v>
          </cell>
          <cell r="CW128">
            <v>2</v>
          </cell>
          <cell r="CX128">
            <v>2</v>
          </cell>
          <cell r="CY128">
            <v>0</v>
          </cell>
          <cell r="CZ128">
            <v>0</v>
          </cell>
          <cell r="DA128">
            <v>424</v>
          </cell>
          <cell r="DB128">
            <v>480</v>
          </cell>
          <cell r="DC128">
            <v>385</v>
          </cell>
          <cell r="DD128">
            <v>409</v>
          </cell>
          <cell r="DE128">
            <v>77</v>
          </cell>
          <cell r="DF128">
            <v>0</v>
          </cell>
          <cell r="DG128">
            <v>92</v>
          </cell>
          <cell r="DH128">
            <v>0</v>
          </cell>
          <cell r="DI128">
            <v>55</v>
          </cell>
          <cell r="DJ128">
            <v>0</v>
          </cell>
          <cell r="DK128">
            <v>385</v>
          </cell>
          <cell r="DL128">
            <v>232</v>
          </cell>
          <cell r="DM128">
            <v>5606</v>
          </cell>
          <cell r="DN128">
            <v>2271</v>
          </cell>
          <cell r="DO128">
            <v>0.234</v>
          </cell>
          <cell r="DP128">
            <v>0</v>
          </cell>
          <cell r="DQ128" t="str">
            <v>400/345</v>
          </cell>
          <cell r="DR128">
            <v>0</v>
          </cell>
          <cell r="DS128">
            <v>0</v>
          </cell>
          <cell r="DT128">
            <v>4.46</v>
          </cell>
          <cell r="DU128">
            <v>0.948</v>
          </cell>
          <cell r="DV128">
            <v>0.962</v>
          </cell>
          <cell r="DW128">
            <v>0.983</v>
          </cell>
          <cell r="DX128">
            <v>0.99</v>
          </cell>
          <cell r="DY128">
            <v>0.998</v>
          </cell>
          <cell r="DZ128">
            <v>0.998</v>
          </cell>
          <cell r="EA128">
            <v>0.998</v>
          </cell>
          <cell r="EB128">
            <v>0.998</v>
          </cell>
          <cell r="EC128">
            <v>0.998</v>
          </cell>
          <cell r="ED128">
            <v>0.998</v>
          </cell>
          <cell r="EE128">
            <v>0.998</v>
          </cell>
          <cell r="EF128">
            <v>0.998</v>
          </cell>
          <cell r="EG128">
            <v>0.998</v>
          </cell>
          <cell r="EH128">
            <v>0.998</v>
          </cell>
          <cell r="EI128">
            <v>0.998</v>
          </cell>
          <cell r="EJ128">
            <v>0.998</v>
          </cell>
          <cell r="EK128">
            <v>0.998</v>
          </cell>
          <cell r="EL128">
            <v>0.998</v>
          </cell>
          <cell r="EM128">
            <v>0.998</v>
          </cell>
          <cell r="EN128">
            <v>0.996</v>
          </cell>
          <cell r="EO128">
            <v>0.994</v>
          </cell>
          <cell r="EP128">
            <v>0.991</v>
          </cell>
          <cell r="EQ128">
            <v>0.986</v>
          </cell>
          <cell r="ER128">
            <v>0.968</v>
          </cell>
          <cell r="ES128">
            <v>0.947</v>
          </cell>
          <cell r="ET128">
            <v>0.911</v>
          </cell>
          <cell r="EU128">
            <v>0.848</v>
          </cell>
          <cell r="EV128">
            <v>0.714</v>
          </cell>
          <cell r="EW128">
            <v>0.44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0.905</v>
          </cell>
          <cell r="FF128">
            <v>0.929</v>
          </cell>
          <cell r="FG128">
            <v>0.97</v>
          </cell>
          <cell r="FH128">
            <v>0.982</v>
          </cell>
          <cell r="FI128">
            <v>0.996</v>
          </cell>
          <cell r="FJ128">
            <v>0.996</v>
          </cell>
          <cell r="FK128">
            <v>0.996</v>
          </cell>
          <cell r="FL128">
            <v>0.996</v>
          </cell>
          <cell r="FM128">
            <v>0.996</v>
          </cell>
          <cell r="FN128">
            <v>0.996</v>
          </cell>
          <cell r="FO128">
            <v>0.996</v>
          </cell>
          <cell r="FP128">
            <v>0.996</v>
          </cell>
          <cell r="FQ128">
            <v>0.996</v>
          </cell>
          <cell r="FR128">
            <v>0.996</v>
          </cell>
          <cell r="FS128">
            <v>0.996</v>
          </cell>
          <cell r="FT128">
            <v>0.996</v>
          </cell>
          <cell r="FU128">
            <v>0.996</v>
          </cell>
          <cell r="FV128">
            <v>0.996</v>
          </cell>
          <cell r="FW128">
            <v>0.996</v>
          </cell>
          <cell r="FX128">
            <v>0.992</v>
          </cell>
          <cell r="FY128">
            <v>0.989</v>
          </cell>
          <cell r="FZ128">
            <v>0.983</v>
          </cell>
          <cell r="GA128">
            <v>0.973</v>
          </cell>
          <cell r="GB128">
            <v>0.938</v>
          </cell>
          <cell r="GC128">
            <v>0.899</v>
          </cell>
          <cell r="GD128">
            <v>0.833</v>
          </cell>
          <cell r="GE128">
            <v>0.722</v>
          </cell>
          <cell r="GF128">
            <v>0.512</v>
          </cell>
          <cell r="GG128">
            <v>0.196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</row>
        <row r="129">
          <cell r="B129" t="str">
            <v>ZF4</v>
          </cell>
          <cell r="C129">
            <v>728283</v>
          </cell>
          <cell r="D129">
            <v>28.32</v>
          </cell>
          <cell r="E129">
            <v>28.1</v>
          </cell>
          <cell r="F129">
            <v>0.025716</v>
          </cell>
          <cell r="G129">
            <v>0.026133</v>
          </cell>
          <cell r="H129">
            <v>0</v>
          </cell>
          <cell r="I129">
            <v>0</v>
          </cell>
          <cell r="J129">
            <v>0</v>
          </cell>
          <cell r="K129">
            <v>1.70084</v>
          </cell>
          <cell r="L129">
            <v>1.70362</v>
          </cell>
          <cell r="M129">
            <v>1.70896</v>
          </cell>
          <cell r="N129">
            <v>1.71295</v>
          </cell>
          <cell r="O129">
            <v>1.71681</v>
          </cell>
          <cell r="P129">
            <v>1.72082</v>
          </cell>
          <cell r="Q129">
            <v>1.72198</v>
          </cell>
          <cell r="R129">
            <v>1.72307</v>
          </cell>
          <cell r="S129">
            <v>1.72803</v>
          </cell>
          <cell r="T129">
            <v>1.72825</v>
          </cell>
          <cell r="U129">
            <v>1.73432</v>
          </cell>
          <cell r="V129">
            <v>1.74654</v>
          </cell>
          <cell r="W129">
            <v>1.74811</v>
          </cell>
          <cell r="X129">
            <v>1.76191</v>
          </cell>
          <cell r="Y129">
            <v>1.77552</v>
          </cell>
          <cell r="Z129">
            <v>1.80101</v>
          </cell>
          <cell r="AA129">
            <v>2.88595254</v>
          </cell>
          <cell r="AB129">
            <v>-0.0130141903</v>
          </cell>
          <cell r="AC129">
            <v>0.02675142</v>
          </cell>
          <cell r="AD129">
            <v>0.00435586265</v>
          </cell>
          <cell r="AE129">
            <v>-0.000451129233</v>
          </cell>
          <cell r="AF129">
            <v>3.27681043e-5</v>
          </cell>
          <cell r="AG129">
            <v>0.288880248833595</v>
          </cell>
          <cell r="AH129">
            <v>0.236003110419908</v>
          </cell>
          <cell r="AI129">
            <v>0.597589424572322</v>
          </cell>
          <cell r="AJ129">
            <v>0.239954075774971</v>
          </cell>
          <cell r="AK129">
            <v>0.232300038270188</v>
          </cell>
          <cell r="AL129">
            <v>0.528128587830082</v>
          </cell>
          <cell r="AM129">
            <v>0.000549280746497429</v>
          </cell>
          <cell r="AN129">
            <v>0.00102894457232228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1</v>
          </cell>
          <cell r="CT129">
            <v>3</v>
          </cell>
          <cell r="CU129">
            <v>1</v>
          </cell>
          <cell r="CV129">
            <v>3</v>
          </cell>
          <cell r="CW129">
            <v>2</v>
          </cell>
          <cell r="CX129">
            <v>2</v>
          </cell>
          <cell r="CY129">
            <v>0</v>
          </cell>
          <cell r="CZ129">
            <v>0</v>
          </cell>
          <cell r="DA129">
            <v>406</v>
          </cell>
          <cell r="DB129">
            <v>457</v>
          </cell>
          <cell r="DC129">
            <v>353</v>
          </cell>
          <cell r="DD129">
            <v>391</v>
          </cell>
          <cell r="DE129">
            <v>92</v>
          </cell>
          <cell r="DF129">
            <v>0</v>
          </cell>
          <cell r="DG129">
            <v>105</v>
          </cell>
          <cell r="DH129">
            <v>0</v>
          </cell>
          <cell r="DI129">
            <v>60</v>
          </cell>
          <cell r="DJ129">
            <v>0</v>
          </cell>
          <cell r="DK129">
            <v>356</v>
          </cell>
          <cell r="DL129">
            <v>219</v>
          </cell>
          <cell r="DM129">
            <v>5397</v>
          </cell>
          <cell r="DN129">
            <v>2185</v>
          </cell>
          <cell r="DO129">
            <v>0.235</v>
          </cell>
          <cell r="DP129">
            <v>0</v>
          </cell>
          <cell r="DQ129" t="str">
            <v>395/345</v>
          </cell>
          <cell r="DR129">
            <v>0</v>
          </cell>
          <cell r="DS129">
            <v>0</v>
          </cell>
          <cell r="DT129">
            <v>4.52</v>
          </cell>
          <cell r="DU129">
            <v>0.946</v>
          </cell>
          <cell r="DV129">
            <v>0.959</v>
          </cell>
          <cell r="DW129">
            <v>0.983</v>
          </cell>
          <cell r="DX129">
            <v>0.991</v>
          </cell>
          <cell r="DY129">
            <v>0.998</v>
          </cell>
          <cell r="DZ129">
            <v>0.998</v>
          </cell>
          <cell r="EA129">
            <v>0.998</v>
          </cell>
          <cell r="EB129">
            <v>0.998</v>
          </cell>
          <cell r="EC129">
            <v>0.998</v>
          </cell>
          <cell r="ED129">
            <v>0.998</v>
          </cell>
          <cell r="EE129">
            <v>0.998</v>
          </cell>
          <cell r="EF129">
            <v>0.998</v>
          </cell>
          <cell r="EG129">
            <v>0.998</v>
          </cell>
          <cell r="EH129">
            <v>0.998</v>
          </cell>
          <cell r="EI129">
            <v>0.998</v>
          </cell>
          <cell r="EJ129">
            <v>0.998</v>
          </cell>
          <cell r="EK129">
            <v>0.998</v>
          </cell>
          <cell r="EL129">
            <v>0.998</v>
          </cell>
          <cell r="EM129">
            <v>0.998</v>
          </cell>
          <cell r="EN129">
            <v>0.997</v>
          </cell>
          <cell r="EO129">
            <v>0.996</v>
          </cell>
          <cell r="EP129">
            <v>0.993</v>
          </cell>
          <cell r="EQ129">
            <v>0.989</v>
          </cell>
          <cell r="ER129">
            <v>0.972</v>
          </cell>
          <cell r="ES129">
            <v>0.955</v>
          </cell>
          <cell r="ET129">
            <v>0.925</v>
          </cell>
          <cell r="EU129">
            <v>0.865</v>
          </cell>
          <cell r="EV129">
            <v>0.725</v>
          </cell>
          <cell r="EW129">
            <v>0.415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0.888</v>
          </cell>
          <cell r="FF129">
            <v>0.918</v>
          </cell>
          <cell r="FG129">
            <v>0.961</v>
          </cell>
          <cell r="FH129">
            <v>0.98</v>
          </cell>
          <cell r="FI129">
            <v>0.997</v>
          </cell>
          <cell r="FJ129">
            <v>0.997</v>
          </cell>
          <cell r="FK129">
            <v>0.997</v>
          </cell>
          <cell r="FL129">
            <v>0.997</v>
          </cell>
          <cell r="FM129">
            <v>0.997</v>
          </cell>
          <cell r="FN129">
            <v>0.997</v>
          </cell>
          <cell r="FO129">
            <v>0.997</v>
          </cell>
          <cell r="FP129">
            <v>0.997</v>
          </cell>
          <cell r="FQ129">
            <v>0.997</v>
          </cell>
          <cell r="FR129">
            <v>0.997</v>
          </cell>
          <cell r="FS129">
            <v>0.997</v>
          </cell>
          <cell r="FT129">
            <v>0.997</v>
          </cell>
          <cell r="FU129">
            <v>0.997</v>
          </cell>
          <cell r="FV129">
            <v>0.997</v>
          </cell>
          <cell r="FW129">
            <v>0.997</v>
          </cell>
          <cell r="FX129">
            <v>0.994</v>
          </cell>
          <cell r="FY129">
            <v>0.991</v>
          </cell>
          <cell r="FZ129">
            <v>0.986</v>
          </cell>
          <cell r="GA129">
            <v>0.976</v>
          </cell>
          <cell r="GB129">
            <v>0.945</v>
          </cell>
          <cell r="GC129">
            <v>0.911</v>
          </cell>
          <cell r="GD129">
            <v>0.855</v>
          </cell>
          <cell r="GE129">
            <v>0.746</v>
          </cell>
          <cell r="GF129">
            <v>0.524</v>
          </cell>
          <cell r="GG129">
            <v>0.171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</row>
        <row r="130">
          <cell r="B130" t="str">
            <v>ZF5</v>
          </cell>
          <cell r="C130">
            <v>740282</v>
          </cell>
          <cell r="D130">
            <v>28.24</v>
          </cell>
          <cell r="E130">
            <v>28.03</v>
          </cell>
          <cell r="F130">
            <v>0.0262</v>
          </cell>
          <cell r="G130">
            <v>0.026623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1.72831</v>
          </cell>
          <cell r="P130">
            <v>1.73243</v>
          </cell>
          <cell r="Q130">
            <v>1.73361</v>
          </cell>
          <cell r="R130">
            <v>1.73472</v>
          </cell>
          <cell r="S130">
            <v>1.73977</v>
          </cell>
          <cell r="T130">
            <v>1.74</v>
          </cell>
          <cell r="U130">
            <v>1.74619</v>
          </cell>
          <cell r="V130">
            <v>1.75863</v>
          </cell>
          <cell r="W130">
            <v>1.76023</v>
          </cell>
          <cell r="X130">
            <v>1.77439</v>
          </cell>
          <cell r="Y130">
            <v>1.78837</v>
          </cell>
          <cell r="Z130">
            <v>1.81447</v>
          </cell>
          <cell r="AA130">
            <v>2.9160432</v>
          </cell>
          <cell r="AB130">
            <v>-0.010435647</v>
          </cell>
          <cell r="AC130">
            <v>0.033907872</v>
          </cell>
          <cell r="AD130">
            <v>0.0022728802</v>
          </cell>
          <cell r="AE130">
            <v>-0.00013563213</v>
          </cell>
          <cell r="AF130">
            <v>1.6527592e-5</v>
          </cell>
          <cell r="AG130">
            <v>0.288931297709927</v>
          </cell>
          <cell r="AH130">
            <v>0.23625954198473</v>
          </cell>
          <cell r="AI130">
            <v>0.601526717557252</v>
          </cell>
          <cell r="AJ130">
            <v>0.240045078888051</v>
          </cell>
          <cell r="AK130">
            <v>0.232531930879036</v>
          </cell>
          <cell r="AL130">
            <v>0.531930879038318</v>
          </cell>
          <cell r="AM130">
            <v>0.000197640305343732</v>
          </cell>
          <cell r="AN130">
            <v>0.00483335755725178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1</v>
          </cell>
          <cell r="CV130">
            <v>3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418</v>
          </cell>
          <cell r="DB130">
            <v>473</v>
          </cell>
          <cell r="DC130">
            <v>373</v>
          </cell>
          <cell r="DD130">
            <v>411</v>
          </cell>
          <cell r="DE130">
            <v>0</v>
          </cell>
          <cell r="DF130">
            <v>83</v>
          </cell>
          <cell r="DG130">
            <v>95</v>
          </cell>
          <cell r="DH130">
            <v>0</v>
          </cell>
          <cell r="DI130">
            <v>0</v>
          </cell>
          <cell r="DJ130">
            <v>0</v>
          </cell>
          <cell r="DK130">
            <v>368</v>
          </cell>
          <cell r="DL130">
            <v>0</v>
          </cell>
          <cell r="DM130">
            <v>5461</v>
          </cell>
          <cell r="DN130">
            <v>2209</v>
          </cell>
          <cell r="DO130">
            <v>0.236</v>
          </cell>
          <cell r="DP130">
            <v>0</v>
          </cell>
          <cell r="DQ130" t="str">
            <v>410/350</v>
          </cell>
          <cell r="DR130">
            <v>0</v>
          </cell>
          <cell r="DS130">
            <v>0</v>
          </cell>
          <cell r="DT130">
            <v>4.64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0.999</v>
          </cell>
          <cell r="EG130">
            <v>0.999</v>
          </cell>
          <cell r="EH130">
            <v>0.999</v>
          </cell>
          <cell r="EI130">
            <v>0.999</v>
          </cell>
          <cell r="EJ130">
            <v>0.999</v>
          </cell>
          <cell r="EK130">
            <v>0.999</v>
          </cell>
          <cell r="EL130">
            <v>0.998</v>
          </cell>
          <cell r="EM130">
            <v>0.998</v>
          </cell>
          <cell r="EN130">
            <v>0.998</v>
          </cell>
          <cell r="EO130">
            <v>0.997</v>
          </cell>
          <cell r="EP130">
            <v>0.992</v>
          </cell>
          <cell r="EQ130">
            <v>0.975</v>
          </cell>
          <cell r="ER130">
            <v>0.931</v>
          </cell>
          <cell r="ES130">
            <v>0.883</v>
          </cell>
          <cell r="ET130">
            <v>0.809</v>
          </cell>
          <cell r="EU130">
            <v>0.692</v>
          </cell>
          <cell r="EV130">
            <v>0.493</v>
          </cell>
          <cell r="EW130">
            <v>0.211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0.998</v>
          </cell>
          <cell r="FQ130">
            <v>0.998</v>
          </cell>
          <cell r="FR130">
            <v>0.998</v>
          </cell>
          <cell r="FS130">
            <v>0.998</v>
          </cell>
          <cell r="FT130">
            <v>0.998</v>
          </cell>
          <cell r="FU130">
            <v>0.998</v>
          </cell>
          <cell r="FV130">
            <v>0.996</v>
          </cell>
          <cell r="FW130">
            <v>0.996</v>
          </cell>
          <cell r="FX130">
            <v>0.996</v>
          </cell>
          <cell r="FY130">
            <v>0.994</v>
          </cell>
          <cell r="FZ130">
            <v>0.984</v>
          </cell>
          <cell r="GA130">
            <v>0.951</v>
          </cell>
          <cell r="GB130">
            <v>0.867</v>
          </cell>
          <cell r="GC130">
            <v>0.78</v>
          </cell>
          <cell r="GD130">
            <v>0.654</v>
          </cell>
          <cell r="GE130">
            <v>0.479</v>
          </cell>
          <cell r="GF130">
            <v>0.243</v>
          </cell>
          <cell r="GG130">
            <v>0.045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</row>
        <row r="131">
          <cell r="B131" t="str">
            <v>ZF6</v>
          </cell>
          <cell r="C131">
            <v>755275</v>
          </cell>
          <cell r="D131">
            <v>27.53</v>
          </cell>
          <cell r="E131">
            <v>27.32</v>
          </cell>
          <cell r="F131">
            <v>0.027432</v>
          </cell>
          <cell r="G131">
            <v>0.027881</v>
          </cell>
          <cell r="H131">
            <v>1.70796</v>
          </cell>
          <cell r="I131">
            <v>1.71296</v>
          </cell>
          <cell r="J131">
            <v>1.71906</v>
          </cell>
          <cell r="K131">
            <v>1.72604</v>
          </cell>
          <cell r="L131">
            <v>1.7289</v>
          </cell>
          <cell r="M131">
            <v>1.73456</v>
          </cell>
          <cell r="N131">
            <v>1.73884</v>
          </cell>
          <cell r="O131">
            <v>1.74299</v>
          </cell>
          <cell r="P131">
            <v>1.74729</v>
          </cell>
          <cell r="Q131">
            <v>1.74852</v>
          </cell>
          <cell r="R131">
            <v>1.74968</v>
          </cell>
          <cell r="S131">
            <v>1.75496</v>
          </cell>
          <cell r="T131">
            <v>1.7552</v>
          </cell>
          <cell r="U131">
            <v>1.76168</v>
          </cell>
          <cell r="V131">
            <v>1.77472</v>
          </cell>
          <cell r="W131">
            <v>1.7764</v>
          </cell>
          <cell r="X131">
            <v>1.79122</v>
          </cell>
          <cell r="Y131">
            <v>1.80589</v>
          </cell>
          <cell r="Z131">
            <v>1.8334</v>
          </cell>
          <cell r="AA131">
            <v>2.96120222</v>
          </cell>
          <cell r="AB131">
            <v>-0.00941359191</v>
          </cell>
          <cell r="AC131">
            <v>0.0365105867</v>
          </cell>
          <cell r="AD131">
            <v>0.00228852534</v>
          </cell>
          <cell r="AE131">
            <v>-0.000142034085</v>
          </cell>
          <cell r="AF131">
            <v>1.84318687e-5</v>
          </cell>
          <cell r="AG131">
            <v>0.288370397375139</v>
          </cell>
          <cell r="AH131">
            <v>0.236237695953329</v>
          </cell>
          <cell r="AI131">
            <v>0.601531170251546</v>
          </cell>
          <cell r="AJ131">
            <v>0.239598278335726</v>
          </cell>
          <cell r="AK131">
            <v>0.232424677187943</v>
          </cell>
          <cell r="AL131">
            <v>0.531563845050219</v>
          </cell>
          <cell r="AM131">
            <v>0.00038846667153228</v>
          </cell>
          <cell r="AN131">
            <v>0.0036585002515465</v>
          </cell>
          <cell r="AO131">
            <v>-0.00307654842873267</v>
          </cell>
          <cell r="AP131">
            <v>-0.00238158804229391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1</v>
          </cell>
          <cell r="CT131">
            <v>3</v>
          </cell>
          <cell r="CU131">
            <v>1</v>
          </cell>
          <cell r="CV131">
            <v>3</v>
          </cell>
          <cell r="CW131">
            <v>2</v>
          </cell>
          <cell r="CX131">
            <v>2</v>
          </cell>
          <cell r="CY131">
            <v>0</v>
          </cell>
          <cell r="CZ131">
            <v>0</v>
          </cell>
          <cell r="DA131">
            <v>423</v>
          </cell>
          <cell r="DB131">
            <v>476</v>
          </cell>
          <cell r="DC131">
            <v>378</v>
          </cell>
          <cell r="DD131">
            <v>401</v>
          </cell>
          <cell r="DE131">
            <v>82</v>
          </cell>
          <cell r="DF131">
            <v>0</v>
          </cell>
          <cell r="DG131">
            <v>94</v>
          </cell>
          <cell r="DH131">
            <v>0</v>
          </cell>
          <cell r="DI131">
            <v>65</v>
          </cell>
          <cell r="DJ131">
            <v>0</v>
          </cell>
          <cell r="DK131">
            <v>368</v>
          </cell>
          <cell r="DL131">
            <v>232</v>
          </cell>
          <cell r="DM131">
            <v>5542</v>
          </cell>
          <cell r="DN131">
            <v>2271</v>
          </cell>
          <cell r="DO131">
            <v>0.22</v>
          </cell>
          <cell r="DP131">
            <v>0</v>
          </cell>
          <cell r="DQ131" t="str">
            <v>400/350</v>
          </cell>
          <cell r="DR131">
            <v>377</v>
          </cell>
          <cell r="DS131">
            <v>349</v>
          </cell>
          <cell r="DT131">
            <v>4.78</v>
          </cell>
          <cell r="DU131">
            <v>0.953</v>
          </cell>
          <cell r="DV131">
            <v>0.968</v>
          </cell>
          <cell r="DW131">
            <v>0.989</v>
          </cell>
          <cell r="DX131">
            <v>0.994</v>
          </cell>
          <cell r="DY131">
            <v>0.998</v>
          </cell>
          <cell r="DZ131">
            <v>0.998</v>
          </cell>
          <cell r="EA131">
            <v>0.998</v>
          </cell>
          <cell r="EB131">
            <v>0.998</v>
          </cell>
          <cell r="EC131">
            <v>0.998</v>
          </cell>
          <cell r="ED131">
            <v>0.998</v>
          </cell>
          <cell r="EE131">
            <v>0.998</v>
          </cell>
          <cell r="EF131">
            <v>0.998</v>
          </cell>
          <cell r="EG131">
            <v>0.998</v>
          </cell>
          <cell r="EH131">
            <v>0.998</v>
          </cell>
          <cell r="EI131">
            <v>0.998</v>
          </cell>
          <cell r="EJ131">
            <v>0.998</v>
          </cell>
          <cell r="EK131">
            <v>0.998</v>
          </cell>
          <cell r="EL131">
            <v>0.998</v>
          </cell>
          <cell r="EM131">
            <v>0.998</v>
          </cell>
          <cell r="EN131">
            <v>0.997</v>
          </cell>
          <cell r="EO131">
            <v>0.995</v>
          </cell>
          <cell r="EP131">
            <v>0.992</v>
          </cell>
          <cell r="EQ131">
            <v>0.983</v>
          </cell>
          <cell r="ER131">
            <v>0.966</v>
          </cell>
          <cell r="ES131">
            <v>0.948</v>
          </cell>
          <cell r="ET131">
            <v>0.91</v>
          </cell>
          <cell r="EU131">
            <v>0.828</v>
          </cell>
          <cell r="EV131">
            <v>0.628</v>
          </cell>
          <cell r="EW131">
            <v>0.25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0.909</v>
          </cell>
          <cell r="FF131">
            <v>0.934</v>
          </cell>
          <cell r="FG131">
            <v>0.97</v>
          </cell>
          <cell r="FH131">
            <v>0.984</v>
          </cell>
          <cell r="FI131">
            <v>0.996</v>
          </cell>
          <cell r="FJ131">
            <v>0.996</v>
          </cell>
          <cell r="FK131">
            <v>0.996</v>
          </cell>
          <cell r="FL131">
            <v>0.996</v>
          </cell>
          <cell r="FM131">
            <v>0.996</v>
          </cell>
          <cell r="FN131">
            <v>0.996</v>
          </cell>
          <cell r="FO131">
            <v>0.996</v>
          </cell>
          <cell r="FP131">
            <v>0.996</v>
          </cell>
          <cell r="FQ131">
            <v>0.996</v>
          </cell>
          <cell r="FR131">
            <v>0.996</v>
          </cell>
          <cell r="FS131">
            <v>0.996</v>
          </cell>
          <cell r="FT131">
            <v>0.996</v>
          </cell>
          <cell r="FU131">
            <v>0.996</v>
          </cell>
          <cell r="FV131">
            <v>0.996</v>
          </cell>
          <cell r="FW131">
            <v>0.996</v>
          </cell>
          <cell r="FX131">
            <v>0.994</v>
          </cell>
          <cell r="FY131">
            <v>0.99</v>
          </cell>
          <cell r="FZ131">
            <v>0.983</v>
          </cell>
          <cell r="GA131">
            <v>0.967</v>
          </cell>
          <cell r="GB131">
            <v>0.933</v>
          </cell>
          <cell r="GC131">
            <v>0.898</v>
          </cell>
          <cell r="GD131">
            <v>0.83</v>
          </cell>
          <cell r="GE131">
            <v>0.686</v>
          </cell>
          <cell r="GF131">
            <v>0.394</v>
          </cell>
          <cell r="GG131">
            <v>0.063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</row>
        <row r="132">
          <cell r="B132" t="str">
            <v>ZF7L</v>
          </cell>
          <cell r="C132">
            <v>805255</v>
          </cell>
          <cell r="D132">
            <v>25.46</v>
          </cell>
          <cell r="E132">
            <v>25.27</v>
          </cell>
          <cell r="F132">
            <v>0.03162</v>
          </cell>
          <cell r="G132">
            <v>0.032161</v>
          </cell>
          <cell r="H132">
            <v>1.75298</v>
          </cell>
          <cell r="I132">
            <v>1.75808</v>
          </cell>
          <cell r="J132">
            <v>1.76445</v>
          </cell>
          <cell r="K132">
            <v>1.77203</v>
          </cell>
          <cell r="L132">
            <v>1.77521</v>
          </cell>
          <cell r="M132">
            <v>1.78159</v>
          </cell>
          <cell r="N132">
            <v>1.78645</v>
          </cell>
          <cell r="O132">
            <v>1.79118</v>
          </cell>
          <cell r="P132">
            <v>1.79611</v>
          </cell>
          <cell r="Q132">
            <v>1.79752</v>
          </cell>
          <cell r="R132">
            <v>1.79885</v>
          </cell>
          <cell r="S132">
            <v>1.80491</v>
          </cell>
          <cell r="T132">
            <v>1.80518</v>
          </cell>
          <cell r="U132">
            <v>1.81265</v>
          </cell>
          <cell r="V132">
            <v>1.82773</v>
          </cell>
          <cell r="W132">
            <v>1.82968</v>
          </cell>
          <cell r="X132">
            <v>1.84704</v>
          </cell>
          <cell r="Y132">
            <v>1.86436</v>
          </cell>
          <cell r="Z132">
            <v>1.89719</v>
          </cell>
          <cell r="AA132">
            <v>3.11669081</v>
          </cell>
          <cell r="AB132">
            <v>-0.00959227399</v>
          </cell>
          <cell r="AC132">
            <v>0.0435039882</v>
          </cell>
          <cell r="AD132">
            <v>0.00245457058</v>
          </cell>
          <cell r="AE132">
            <v>-0.000114670084</v>
          </cell>
          <cell r="AF132">
            <v>2.12993988e-5</v>
          </cell>
          <cell r="AG132">
            <v>0.286843769765968</v>
          </cell>
          <cell r="AH132">
            <v>0.236242884250477</v>
          </cell>
          <cell r="AI132">
            <v>0.610689437065147</v>
          </cell>
          <cell r="AJ132">
            <v>0.23818407960199</v>
          </cell>
          <cell r="AK132">
            <v>0.232276119402988</v>
          </cell>
          <cell r="AL132">
            <v>0.539800995024877</v>
          </cell>
          <cell r="AM132">
            <v>0.000767265983554423</v>
          </cell>
          <cell r="AN132">
            <v>0.00937849706514705</v>
          </cell>
          <cell r="AO132">
            <v>-0.0025050929538219</v>
          </cell>
          <cell r="AP132">
            <v>-0.00230096394686597</v>
          </cell>
          <cell r="AQ132">
            <v>6.9</v>
          </cell>
          <cell r="AR132">
            <v>7.1</v>
          </cell>
          <cell r="AS132">
            <v>7.3</v>
          </cell>
          <cell r="AT132">
            <v>7.4</v>
          </cell>
          <cell r="AU132">
            <v>7.6</v>
          </cell>
          <cell r="AV132">
            <v>8</v>
          </cell>
          <cell r="AW132">
            <v>9</v>
          </cell>
          <cell r="AX132">
            <v>9.3</v>
          </cell>
          <cell r="AY132">
            <v>9.5</v>
          </cell>
          <cell r="AZ132">
            <v>9.7</v>
          </cell>
          <cell r="BA132">
            <v>10</v>
          </cell>
          <cell r="BB132">
            <v>10.4</v>
          </cell>
          <cell r="BC132">
            <v>9.1</v>
          </cell>
          <cell r="BD132">
            <v>9.5</v>
          </cell>
          <cell r="BE132">
            <v>9.7</v>
          </cell>
          <cell r="BF132">
            <v>9.9</v>
          </cell>
          <cell r="BG132">
            <v>10.2</v>
          </cell>
          <cell r="BH132">
            <v>10.6</v>
          </cell>
          <cell r="BI132">
            <v>9.8</v>
          </cell>
          <cell r="BJ132">
            <v>10.2</v>
          </cell>
          <cell r="BK132">
            <v>10.4</v>
          </cell>
          <cell r="BL132">
            <v>10.6</v>
          </cell>
          <cell r="BM132">
            <v>10.9</v>
          </cell>
          <cell r="BN132">
            <v>11.3</v>
          </cell>
          <cell r="BO132">
            <v>10.7</v>
          </cell>
          <cell r="BP132">
            <v>11.1</v>
          </cell>
          <cell r="BQ132">
            <v>11.4</v>
          </cell>
          <cell r="BR132">
            <v>11.6</v>
          </cell>
          <cell r="BS132">
            <v>12</v>
          </cell>
          <cell r="BT132">
            <v>12.4</v>
          </cell>
          <cell r="BU132">
            <v>13</v>
          </cell>
          <cell r="BV132">
            <v>13.5</v>
          </cell>
          <cell r="BW132">
            <v>13.8</v>
          </cell>
          <cell r="BX132">
            <v>14.1</v>
          </cell>
          <cell r="BY132">
            <v>14.5</v>
          </cell>
          <cell r="BZ132">
            <v>15</v>
          </cell>
          <cell r="CA132">
            <v>15.6</v>
          </cell>
          <cell r="CB132">
            <v>16.2</v>
          </cell>
          <cell r="CC132">
            <v>16.6</v>
          </cell>
          <cell r="CD132">
            <v>17</v>
          </cell>
          <cell r="CE132">
            <v>17.4</v>
          </cell>
          <cell r="CF132">
            <v>18.1</v>
          </cell>
          <cell r="CG132">
            <v>6.7</v>
          </cell>
          <cell r="CH132">
            <v>7.4</v>
          </cell>
          <cell r="CI132">
            <v>7.9</v>
          </cell>
          <cell r="CJ132">
            <v>8.3</v>
          </cell>
          <cell r="CK132">
            <v>8.8</v>
          </cell>
          <cell r="CL132">
            <v>9.3</v>
          </cell>
          <cell r="CM132">
            <v>7.62e-6</v>
          </cell>
          <cell r="CN132">
            <v>1.653e-8</v>
          </cell>
          <cell r="CO132">
            <v>-5.54e-12</v>
          </cell>
          <cell r="CP132">
            <v>1.751e-6</v>
          </cell>
          <cell r="CQ132">
            <v>1.4406e-9</v>
          </cell>
          <cell r="CR132">
            <v>0.274</v>
          </cell>
          <cell r="CS132">
            <v>1</v>
          </cell>
          <cell r="CT132">
            <v>3</v>
          </cell>
          <cell r="CU132">
            <v>1</v>
          </cell>
          <cell r="CV132">
            <v>4</v>
          </cell>
          <cell r="CW132">
            <v>2</v>
          </cell>
          <cell r="CX132">
            <v>2</v>
          </cell>
          <cell r="CY132">
            <v>0</v>
          </cell>
          <cell r="CZ132">
            <v>0</v>
          </cell>
          <cell r="DA132">
            <v>426</v>
          </cell>
          <cell r="DB132">
            <v>475</v>
          </cell>
          <cell r="DC132">
            <v>413</v>
          </cell>
          <cell r="DD132">
            <v>422</v>
          </cell>
          <cell r="DE132">
            <v>78</v>
          </cell>
          <cell r="DF132">
            <v>0</v>
          </cell>
          <cell r="DG132">
            <v>90</v>
          </cell>
          <cell r="DH132">
            <v>0</v>
          </cell>
          <cell r="DI132">
            <v>60</v>
          </cell>
          <cell r="DJ132">
            <v>0</v>
          </cell>
          <cell r="DK132">
            <v>351</v>
          </cell>
          <cell r="DL132">
            <v>251</v>
          </cell>
          <cell r="DM132">
            <v>5540</v>
          </cell>
          <cell r="DN132">
            <v>2261</v>
          </cell>
          <cell r="DO132">
            <v>0.225</v>
          </cell>
          <cell r="DP132">
            <v>0.61</v>
          </cell>
          <cell r="DQ132" t="str">
            <v>425/360</v>
          </cell>
          <cell r="DR132">
            <v>0</v>
          </cell>
          <cell r="DS132">
            <v>0</v>
          </cell>
          <cell r="DT132">
            <v>5.17</v>
          </cell>
          <cell r="DU132">
            <v>0.96</v>
          </cell>
          <cell r="DV132">
            <v>0.977</v>
          </cell>
          <cell r="DW132">
            <v>0.99</v>
          </cell>
          <cell r="DX132">
            <v>0.998</v>
          </cell>
          <cell r="DY132">
            <v>0.998</v>
          </cell>
          <cell r="DZ132">
            <v>0.998</v>
          </cell>
          <cell r="EA132">
            <v>0.998</v>
          </cell>
          <cell r="EB132">
            <v>0.998</v>
          </cell>
          <cell r="EC132">
            <v>0.998</v>
          </cell>
          <cell r="ED132">
            <v>0.998</v>
          </cell>
          <cell r="EE132">
            <v>0.998</v>
          </cell>
          <cell r="EF132">
            <v>0.998</v>
          </cell>
          <cell r="EG132">
            <v>0.998</v>
          </cell>
          <cell r="EH132">
            <v>0.998</v>
          </cell>
          <cell r="EI132">
            <v>0.998</v>
          </cell>
          <cell r="EJ132">
            <v>0.998</v>
          </cell>
          <cell r="EK132">
            <v>0.998</v>
          </cell>
          <cell r="EL132">
            <v>0.998</v>
          </cell>
          <cell r="EM132">
            <v>0.998</v>
          </cell>
          <cell r="EN132">
            <v>0.996</v>
          </cell>
          <cell r="EO132">
            <v>0.994</v>
          </cell>
          <cell r="EP132">
            <v>0.989</v>
          </cell>
          <cell r="EQ132">
            <v>0.972</v>
          </cell>
          <cell r="ER132">
            <v>0.924</v>
          </cell>
          <cell r="ES132">
            <v>0.87</v>
          </cell>
          <cell r="ET132">
            <v>0.771</v>
          </cell>
          <cell r="EU132">
            <v>0.576</v>
          </cell>
          <cell r="EV132">
            <v>0.251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0.922</v>
          </cell>
          <cell r="FF132">
            <v>0.955</v>
          </cell>
          <cell r="FG132">
            <v>0.98</v>
          </cell>
          <cell r="FH132">
            <v>0.996</v>
          </cell>
          <cell r="FI132">
            <v>0.996</v>
          </cell>
          <cell r="FJ132">
            <v>0.996</v>
          </cell>
          <cell r="FK132">
            <v>0.996</v>
          </cell>
          <cell r="FL132">
            <v>0.996</v>
          </cell>
          <cell r="FM132">
            <v>0.996</v>
          </cell>
          <cell r="FN132">
            <v>0.996</v>
          </cell>
          <cell r="FO132">
            <v>0.996</v>
          </cell>
          <cell r="FP132">
            <v>0.996</v>
          </cell>
          <cell r="FQ132">
            <v>0.996</v>
          </cell>
          <cell r="FR132">
            <v>0.996</v>
          </cell>
          <cell r="FS132">
            <v>0.996</v>
          </cell>
          <cell r="FT132">
            <v>0.996</v>
          </cell>
          <cell r="FU132">
            <v>0.996</v>
          </cell>
          <cell r="FV132">
            <v>0.996</v>
          </cell>
          <cell r="FW132">
            <v>0.996</v>
          </cell>
          <cell r="FX132">
            <v>0.992</v>
          </cell>
          <cell r="FY132">
            <v>0.989</v>
          </cell>
          <cell r="FZ132">
            <v>0.976</v>
          </cell>
          <cell r="GA132">
            <v>0.93</v>
          </cell>
          <cell r="GB132">
            <v>0.839</v>
          </cell>
          <cell r="GC132">
            <v>0.742</v>
          </cell>
          <cell r="GD132">
            <v>0.582</v>
          </cell>
          <cell r="GE132">
            <v>0.325</v>
          </cell>
          <cell r="GF132">
            <v>0.064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</row>
        <row r="133">
          <cell r="B133" t="str">
            <v>ZF13</v>
          </cell>
          <cell r="C133">
            <v>785258</v>
          </cell>
          <cell r="D133">
            <v>25.76</v>
          </cell>
          <cell r="E133">
            <v>25.55</v>
          </cell>
          <cell r="F133">
            <v>0.030468</v>
          </cell>
          <cell r="G133">
            <v>0.03099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1.77126</v>
          </cell>
          <cell r="P133">
            <v>1.77598</v>
          </cell>
          <cell r="Q133">
            <v>1.77735</v>
          </cell>
          <cell r="R133">
            <v>1.77862</v>
          </cell>
          <cell r="S133">
            <v>1.78446</v>
          </cell>
          <cell r="T133">
            <v>1.78472</v>
          </cell>
          <cell r="U133">
            <v>1.7919</v>
          </cell>
          <cell r="V133">
            <v>1.80645</v>
          </cell>
          <cell r="W133">
            <v>1.80834</v>
          </cell>
          <cell r="X133">
            <v>1.82518</v>
          </cell>
          <cell r="Y133">
            <v>1.84208</v>
          </cell>
          <cell r="Z133">
            <v>0</v>
          </cell>
          <cell r="AA133">
            <v>3.02444288</v>
          </cell>
          <cell r="AB133">
            <v>0.00748037223</v>
          </cell>
          <cell r="AC133">
            <v>0.0568639607</v>
          </cell>
          <cell r="AD133">
            <v>-0.00214331685</v>
          </cell>
          <cell r="AE133">
            <v>0.000501323388</v>
          </cell>
          <cell r="AF133">
            <v>-1.00102627e-5</v>
          </cell>
          <cell r="AG133">
            <v>0.286839514276344</v>
          </cell>
          <cell r="AH133">
            <v>0.235641614702985</v>
          </cell>
          <cell r="AI133">
            <v>0.614702986544146</v>
          </cell>
          <cell r="AJ133">
            <v>0.237818651177802</v>
          </cell>
          <cell r="AK133">
            <v>0.231687641174571</v>
          </cell>
          <cell r="AL133">
            <v>0.543401097128103</v>
          </cell>
          <cell r="AM133">
            <v>0.0015383910206709</v>
          </cell>
          <cell r="AN133">
            <v>0.0138903465441463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1</v>
          </cell>
          <cell r="CT133">
            <v>1</v>
          </cell>
          <cell r="CU133">
            <v>1</v>
          </cell>
          <cell r="CV133">
            <v>3</v>
          </cell>
          <cell r="CW133">
            <v>2</v>
          </cell>
          <cell r="CX133">
            <v>2</v>
          </cell>
          <cell r="CY133">
            <v>0</v>
          </cell>
          <cell r="CZ133">
            <v>0</v>
          </cell>
          <cell r="DA133">
            <v>424</v>
          </cell>
          <cell r="DB133">
            <v>476</v>
          </cell>
          <cell r="DC133">
            <v>384</v>
          </cell>
          <cell r="DD133">
            <v>412</v>
          </cell>
          <cell r="DE133">
            <v>81</v>
          </cell>
          <cell r="DF133">
            <v>0</v>
          </cell>
          <cell r="DG133">
            <v>94</v>
          </cell>
          <cell r="DH133">
            <v>0</v>
          </cell>
          <cell r="DI133">
            <v>82</v>
          </cell>
          <cell r="DJ133">
            <v>0</v>
          </cell>
          <cell r="DK133">
            <v>405</v>
          </cell>
          <cell r="DL133">
            <v>254</v>
          </cell>
          <cell r="DM133">
            <v>5733</v>
          </cell>
          <cell r="DN133">
            <v>2299</v>
          </cell>
          <cell r="DO133">
            <v>0.246</v>
          </cell>
          <cell r="DP133">
            <v>1.06</v>
          </cell>
          <cell r="DQ133" t="str">
            <v>420/370</v>
          </cell>
          <cell r="DR133">
            <v>0</v>
          </cell>
          <cell r="DS133">
            <v>0</v>
          </cell>
          <cell r="DT133">
            <v>4.89</v>
          </cell>
          <cell r="DU133">
            <v>0.96</v>
          </cell>
          <cell r="DV133">
            <v>0.972</v>
          </cell>
          <cell r="DW133">
            <v>0.985</v>
          </cell>
          <cell r="DX133">
            <v>0.998</v>
          </cell>
          <cell r="DY133">
            <v>0.998</v>
          </cell>
          <cell r="DZ133">
            <v>0.998</v>
          </cell>
          <cell r="EA133">
            <v>0.998</v>
          </cell>
          <cell r="EB133">
            <v>0.998</v>
          </cell>
          <cell r="EC133">
            <v>0.998</v>
          </cell>
          <cell r="ED133">
            <v>0.998</v>
          </cell>
          <cell r="EE133">
            <v>0.998</v>
          </cell>
          <cell r="EF133">
            <v>0.999</v>
          </cell>
          <cell r="EG133">
            <v>0.999</v>
          </cell>
          <cell r="EH133">
            <v>0.999</v>
          </cell>
          <cell r="EI133">
            <v>0.999</v>
          </cell>
          <cell r="EJ133">
            <v>0.999</v>
          </cell>
          <cell r="EK133">
            <v>0.999</v>
          </cell>
          <cell r="EL133">
            <v>0.999</v>
          </cell>
          <cell r="EM133">
            <v>0.996</v>
          </cell>
          <cell r="EN133">
            <v>0.993</v>
          </cell>
          <cell r="EO133">
            <v>0.988</v>
          </cell>
          <cell r="EP133">
            <v>0.979</v>
          </cell>
          <cell r="EQ133">
            <v>0.948</v>
          </cell>
          <cell r="ER133">
            <v>0.834</v>
          </cell>
          <cell r="ES133">
            <v>0.693</v>
          </cell>
          <cell r="ET133">
            <v>0.446</v>
          </cell>
          <cell r="EU133">
            <v>0.149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0.922</v>
          </cell>
          <cell r="FF133">
            <v>0.945</v>
          </cell>
          <cell r="FG133">
            <v>0.97</v>
          </cell>
          <cell r="FH133">
            <v>0.996</v>
          </cell>
          <cell r="FI133">
            <v>0.996</v>
          </cell>
          <cell r="FJ133">
            <v>0.996</v>
          </cell>
          <cell r="FK133">
            <v>0.996</v>
          </cell>
          <cell r="FL133">
            <v>0.996</v>
          </cell>
          <cell r="FM133">
            <v>0.996</v>
          </cell>
          <cell r="FN133">
            <v>0.996</v>
          </cell>
          <cell r="FO133">
            <v>0.996</v>
          </cell>
          <cell r="FP133">
            <v>0.998</v>
          </cell>
          <cell r="FQ133">
            <v>0.998</v>
          </cell>
          <cell r="FR133">
            <v>0.998</v>
          </cell>
          <cell r="FS133">
            <v>0.998</v>
          </cell>
          <cell r="FT133">
            <v>0.998</v>
          </cell>
          <cell r="FU133">
            <v>0.998</v>
          </cell>
          <cell r="FV133">
            <v>0.998</v>
          </cell>
          <cell r="FW133">
            <v>0.992</v>
          </cell>
          <cell r="FX133">
            <v>0.986</v>
          </cell>
          <cell r="FY133">
            <v>0.976</v>
          </cell>
          <cell r="FZ133">
            <v>0.958</v>
          </cell>
          <cell r="GA133">
            <v>0.899</v>
          </cell>
          <cell r="GB133">
            <v>0.696</v>
          </cell>
          <cell r="GC133">
            <v>0.48</v>
          </cell>
          <cell r="GD133">
            <v>0.199</v>
          </cell>
          <cell r="GE133">
            <v>0.022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</row>
        <row r="134">
          <cell r="B134" t="str">
            <v>ZLaF58</v>
          </cell>
          <cell r="C134">
            <v>803314</v>
          </cell>
          <cell r="D134">
            <v>31.43</v>
          </cell>
          <cell r="E134">
            <v>31.21</v>
          </cell>
          <cell r="F134">
            <v>0.02556</v>
          </cell>
          <cell r="G134">
            <v>0.025932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1.79183</v>
          </cell>
          <cell r="P134">
            <v>1.79592</v>
          </cell>
          <cell r="Q134">
            <v>1.79709</v>
          </cell>
          <cell r="R134">
            <v>1.79818</v>
          </cell>
          <cell r="S134">
            <v>1.80314</v>
          </cell>
          <cell r="T134">
            <v>1.80336</v>
          </cell>
          <cell r="U134">
            <v>1.80941</v>
          </cell>
          <cell r="V134">
            <v>1.82148</v>
          </cell>
          <cell r="W134">
            <v>1.82302</v>
          </cell>
          <cell r="X134">
            <v>1.83666</v>
          </cell>
          <cell r="Y134">
            <v>1.85001</v>
          </cell>
          <cell r="Z134">
            <v>1.87513</v>
          </cell>
          <cell r="AA134">
            <v>3.1750588</v>
          </cell>
          <cell r="AB134">
            <v>-0.0382480842</v>
          </cell>
          <cell r="AC134">
            <v>0.0153564991</v>
          </cell>
          <cell r="AD134">
            <v>0.00737494485</v>
          </cell>
          <cell r="AE134">
            <v>-0.000805044761</v>
          </cell>
          <cell r="AF134">
            <v>4.90971757e-5</v>
          </cell>
          <cell r="AG134">
            <v>0.291079812206577</v>
          </cell>
          <cell r="AH134">
            <v>0.2366979655712</v>
          </cell>
          <cell r="AI134">
            <v>0.593896713615022</v>
          </cell>
          <cell r="AJ134">
            <v>0.241804859236406</v>
          </cell>
          <cell r="AK134">
            <v>0.233320478210563</v>
          </cell>
          <cell r="AL134">
            <v>0.526031623602</v>
          </cell>
          <cell r="AM134">
            <v>-0.000628417777777317</v>
          </cell>
          <cell r="AN134">
            <v>0.00250194361502177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3</v>
          </cell>
          <cell r="CU134">
            <v>1</v>
          </cell>
          <cell r="CV134">
            <v>3</v>
          </cell>
          <cell r="CW134">
            <v>1</v>
          </cell>
          <cell r="CX134">
            <v>1</v>
          </cell>
          <cell r="CY134">
            <v>0</v>
          </cell>
          <cell r="CZ134">
            <v>0</v>
          </cell>
          <cell r="DA134">
            <v>567</v>
          </cell>
          <cell r="DB134">
            <v>617</v>
          </cell>
          <cell r="DC134">
            <v>526</v>
          </cell>
          <cell r="DD134">
            <v>551</v>
          </cell>
          <cell r="DE134">
            <v>54</v>
          </cell>
          <cell r="DF134">
            <v>0</v>
          </cell>
          <cell r="DG134">
            <v>68</v>
          </cell>
          <cell r="DH134">
            <v>0</v>
          </cell>
          <cell r="DI134">
            <v>75</v>
          </cell>
          <cell r="DJ134">
            <v>0</v>
          </cell>
          <cell r="DK134">
            <v>510</v>
          </cell>
          <cell r="DL134">
            <v>184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 t="str">
            <v>430/355</v>
          </cell>
          <cell r="DR134">
            <v>0</v>
          </cell>
          <cell r="DS134">
            <v>0</v>
          </cell>
          <cell r="DT134">
            <v>4.86</v>
          </cell>
          <cell r="DU134">
            <v>0.968</v>
          </cell>
          <cell r="DV134">
            <v>0.995</v>
          </cell>
          <cell r="DW134">
            <v>0.998</v>
          </cell>
          <cell r="DX134">
            <v>0.998</v>
          </cell>
          <cell r="DY134">
            <v>0.998</v>
          </cell>
          <cell r="DZ134">
            <v>0.998</v>
          </cell>
          <cell r="EA134">
            <v>0.998</v>
          </cell>
          <cell r="EB134">
            <v>0.998</v>
          </cell>
          <cell r="EC134">
            <v>0.998</v>
          </cell>
          <cell r="ED134">
            <v>0.998</v>
          </cell>
          <cell r="EE134">
            <v>0.998</v>
          </cell>
          <cell r="EF134">
            <v>0.998</v>
          </cell>
          <cell r="EG134">
            <v>0.998</v>
          </cell>
          <cell r="EH134">
            <v>0.998</v>
          </cell>
          <cell r="EI134">
            <v>0.998</v>
          </cell>
          <cell r="EJ134">
            <v>0.998</v>
          </cell>
          <cell r="EK134">
            <v>0.998</v>
          </cell>
          <cell r="EL134">
            <v>0.998</v>
          </cell>
          <cell r="EM134">
            <v>0.996</v>
          </cell>
          <cell r="EN134">
            <v>0.993</v>
          </cell>
          <cell r="EO134">
            <v>0.987</v>
          </cell>
          <cell r="EP134">
            <v>0.978</v>
          </cell>
          <cell r="EQ134">
            <v>0.957</v>
          </cell>
          <cell r="ER134">
            <v>0.905</v>
          </cell>
          <cell r="ES134">
            <v>0.853</v>
          </cell>
          <cell r="ET134">
            <v>0.767</v>
          </cell>
          <cell r="EU134">
            <v>0.619</v>
          </cell>
          <cell r="EV134">
            <v>0.372</v>
          </cell>
          <cell r="EW134">
            <v>0.094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0.937</v>
          </cell>
          <cell r="FF134">
            <v>0.99</v>
          </cell>
          <cell r="FG134">
            <v>0.996</v>
          </cell>
          <cell r="FH134">
            <v>0.996</v>
          </cell>
          <cell r="FI134">
            <v>0.996</v>
          </cell>
          <cell r="FJ134">
            <v>0.996</v>
          </cell>
          <cell r="FK134">
            <v>0.996</v>
          </cell>
          <cell r="FL134">
            <v>0.996</v>
          </cell>
          <cell r="FM134">
            <v>0.996</v>
          </cell>
          <cell r="FN134">
            <v>0.996</v>
          </cell>
          <cell r="FO134">
            <v>0.996</v>
          </cell>
          <cell r="FP134">
            <v>0.996</v>
          </cell>
          <cell r="FQ134">
            <v>0.996</v>
          </cell>
          <cell r="FR134">
            <v>0.996</v>
          </cell>
          <cell r="FS134">
            <v>0.996</v>
          </cell>
          <cell r="FT134">
            <v>0.996</v>
          </cell>
          <cell r="FU134">
            <v>0.996</v>
          </cell>
          <cell r="FV134">
            <v>0.996</v>
          </cell>
          <cell r="FW134">
            <v>0.992</v>
          </cell>
          <cell r="FX134">
            <v>0.989</v>
          </cell>
          <cell r="FY134">
            <v>0.98</v>
          </cell>
          <cell r="FZ134">
            <v>0.963</v>
          </cell>
          <cell r="GA134">
            <v>0.924</v>
          </cell>
          <cell r="GB134">
            <v>0.83</v>
          </cell>
          <cell r="GC134">
            <v>0.739</v>
          </cell>
          <cell r="GD134">
            <v>0.602</v>
          </cell>
          <cell r="GE134">
            <v>0.398</v>
          </cell>
          <cell r="GF134">
            <v>0.149</v>
          </cell>
          <cell r="GG134">
            <v>0.014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</row>
        <row r="135">
          <cell r="B135" t="str">
            <v>D-ZK2N</v>
          </cell>
          <cell r="C135">
            <v>587596</v>
          </cell>
          <cell r="D135">
            <v>59.59</v>
          </cell>
          <cell r="E135">
            <v>59.35</v>
          </cell>
          <cell r="F135">
            <v>0.00985</v>
          </cell>
          <cell r="G135">
            <v>0.00993</v>
          </cell>
          <cell r="H135">
            <v>1.55727</v>
          </cell>
          <cell r="I135">
            <v>1.56291</v>
          </cell>
          <cell r="J135">
            <v>1.56899</v>
          </cell>
          <cell r="K135">
            <v>1.57419</v>
          </cell>
          <cell r="L135">
            <v>1.57584</v>
          </cell>
          <cell r="M135">
            <v>1.57865</v>
          </cell>
          <cell r="N135">
            <v>1.58056</v>
          </cell>
          <cell r="O135">
            <v>1.58229</v>
          </cell>
          <cell r="P135">
            <v>1.58399</v>
          </cell>
          <cell r="Q135">
            <v>1.58446</v>
          </cell>
          <cell r="R135">
            <v>1.58492</v>
          </cell>
          <cell r="S135">
            <v>1.58691</v>
          </cell>
          <cell r="T135">
            <v>1.587</v>
          </cell>
          <cell r="U135">
            <v>1.58935</v>
          </cell>
          <cell r="V135">
            <v>1.59384</v>
          </cell>
          <cell r="W135">
            <v>1.59439</v>
          </cell>
          <cell r="X135">
            <v>1.59914</v>
          </cell>
          <cell r="Y135">
            <v>1.60352</v>
          </cell>
          <cell r="Z135">
            <v>1.61103</v>
          </cell>
          <cell r="AA135">
            <v>2.48190414</v>
          </cell>
          <cell r="AB135">
            <v>-0.0109306301</v>
          </cell>
          <cell r="AC135">
            <v>0.0122648766</v>
          </cell>
          <cell r="AD135">
            <v>0.000814587085</v>
          </cell>
          <cell r="AE135">
            <v>-9.55706286e-5</v>
          </cell>
          <cell r="AF135">
            <v>5.49400264e-6</v>
          </cell>
          <cell r="AG135">
            <v>0.305583756345176</v>
          </cell>
          <cell r="AH135">
            <v>0.238578680203055</v>
          </cell>
          <cell r="AI135">
            <v>0.538071065989861</v>
          </cell>
          <cell r="AJ135">
            <v>0.255790533736152</v>
          </cell>
          <cell r="AK135">
            <v>0.23665659617322</v>
          </cell>
          <cell r="AL135">
            <v>0.478348439073518</v>
          </cell>
          <cell r="AM135">
            <v>-0.00146875654823129</v>
          </cell>
          <cell r="AN135">
            <v>-0.00654994401013918</v>
          </cell>
          <cell r="AO135">
            <v>-0.00146197248729218</v>
          </cell>
          <cell r="AP135">
            <v>-0.00128402030457395</v>
          </cell>
          <cell r="AQ135">
            <v>3.7</v>
          </cell>
          <cell r="AR135">
            <v>3.7</v>
          </cell>
          <cell r="AS135">
            <v>3.6</v>
          </cell>
          <cell r="AT135">
            <v>3.6</v>
          </cell>
          <cell r="AU135">
            <v>3.6</v>
          </cell>
          <cell r="AV135">
            <v>3.7</v>
          </cell>
          <cell r="AW135">
            <v>4.1</v>
          </cell>
          <cell r="AX135">
            <v>4.1</v>
          </cell>
          <cell r="AY135">
            <v>4.1</v>
          </cell>
          <cell r="AZ135">
            <v>4.1</v>
          </cell>
          <cell r="BA135">
            <v>4.1</v>
          </cell>
          <cell r="BB135">
            <v>4.2</v>
          </cell>
          <cell r="BC135">
            <v>4.2</v>
          </cell>
          <cell r="BD135">
            <v>4.1</v>
          </cell>
          <cell r="BE135">
            <v>4.1</v>
          </cell>
          <cell r="BF135">
            <v>4.1</v>
          </cell>
          <cell r="BG135">
            <v>4.1</v>
          </cell>
          <cell r="BH135">
            <v>4.3</v>
          </cell>
          <cell r="BI135">
            <v>4.3</v>
          </cell>
          <cell r="BJ135">
            <v>4.3</v>
          </cell>
          <cell r="BK135">
            <v>4.2</v>
          </cell>
          <cell r="BL135">
            <v>4.2</v>
          </cell>
          <cell r="BM135">
            <v>4.3</v>
          </cell>
          <cell r="BN135">
            <v>4.4</v>
          </cell>
          <cell r="BO135">
            <v>4.4</v>
          </cell>
          <cell r="BP135">
            <v>4.4</v>
          </cell>
          <cell r="BQ135">
            <v>4.4</v>
          </cell>
          <cell r="BR135">
            <v>4.4</v>
          </cell>
          <cell r="BS135">
            <v>4.4</v>
          </cell>
          <cell r="BT135">
            <v>4.6</v>
          </cell>
          <cell r="BU135">
            <v>4.8</v>
          </cell>
          <cell r="BV135">
            <v>4.7</v>
          </cell>
          <cell r="BW135">
            <v>4.8</v>
          </cell>
          <cell r="BX135">
            <v>4.8</v>
          </cell>
          <cell r="BY135">
            <v>4.8</v>
          </cell>
          <cell r="BZ135">
            <v>5</v>
          </cell>
          <cell r="CA135">
            <v>5.1</v>
          </cell>
          <cell r="CB135">
            <v>5.1</v>
          </cell>
          <cell r="CC135">
            <v>5.1</v>
          </cell>
          <cell r="CD135">
            <v>5.1</v>
          </cell>
          <cell r="CE135">
            <v>5.2</v>
          </cell>
          <cell r="CF135">
            <v>5.4</v>
          </cell>
          <cell r="CG135">
            <v>2.1</v>
          </cell>
          <cell r="CH135">
            <v>2.4</v>
          </cell>
          <cell r="CI135">
            <v>2.6</v>
          </cell>
          <cell r="CJ135">
            <v>2.8</v>
          </cell>
          <cell r="CK135">
            <v>3</v>
          </cell>
          <cell r="CL135">
            <v>3.2</v>
          </cell>
          <cell r="CM135">
            <v>4.27e-6</v>
          </cell>
          <cell r="CN135">
            <v>1.043e-8</v>
          </cell>
          <cell r="CO135">
            <v>5.56e-12</v>
          </cell>
          <cell r="CP135">
            <v>4.79e-7</v>
          </cell>
          <cell r="CQ135">
            <v>4.321e-10</v>
          </cell>
          <cell r="CR135">
            <v>0.211</v>
          </cell>
          <cell r="CS135">
            <v>1</v>
          </cell>
          <cell r="CT135">
            <v>3</v>
          </cell>
          <cell r="CU135">
            <v>1</v>
          </cell>
          <cell r="CV135">
            <v>3</v>
          </cell>
          <cell r="CW135">
            <v>2</v>
          </cell>
          <cell r="CX135">
            <v>2</v>
          </cell>
          <cell r="CY135">
            <v>0</v>
          </cell>
          <cell r="CZ135">
            <v>0</v>
          </cell>
          <cell r="DA135">
            <v>496</v>
          </cell>
          <cell r="DB135">
            <v>550</v>
          </cell>
          <cell r="DC135">
            <v>448</v>
          </cell>
          <cell r="DD135">
            <v>485</v>
          </cell>
          <cell r="DE135">
            <v>72</v>
          </cell>
          <cell r="DF135">
            <v>0</v>
          </cell>
          <cell r="DG135">
            <v>92</v>
          </cell>
          <cell r="DH135">
            <v>0</v>
          </cell>
          <cell r="DI135">
            <v>90</v>
          </cell>
          <cell r="DJ135">
            <v>0</v>
          </cell>
          <cell r="DK135">
            <v>570</v>
          </cell>
          <cell r="DL135">
            <v>107</v>
          </cell>
          <cell r="DM135">
            <v>8363</v>
          </cell>
          <cell r="DN135">
            <v>3343</v>
          </cell>
          <cell r="DO135">
            <v>0.251</v>
          </cell>
          <cell r="DP135">
            <v>0</v>
          </cell>
          <cell r="DQ135" t="str">
            <v>335/280</v>
          </cell>
          <cell r="DR135">
            <v>0</v>
          </cell>
          <cell r="DS135">
            <v>0</v>
          </cell>
          <cell r="DT135">
            <v>2.98</v>
          </cell>
          <cell r="DU135">
            <v>0.92</v>
          </cell>
          <cell r="DV135">
            <v>0.962</v>
          </cell>
          <cell r="DW135">
            <v>0.99</v>
          </cell>
          <cell r="DX135">
            <v>0.999</v>
          </cell>
          <cell r="DY135">
            <v>0.999</v>
          </cell>
          <cell r="DZ135">
            <v>0.999</v>
          </cell>
          <cell r="EA135">
            <v>0.999</v>
          </cell>
          <cell r="EB135">
            <v>0.999</v>
          </cell>
          <cell r="EC135">
            <v>0.999</v>
          </cell>
          <cell r="ED135">
            <v>0.999</v>
          </cell>
          <cell r="EE135">
            <v>0.999</v>
          </cell>
          <cell r="EF135">
            <v>0.999</v>
          </cell>
          <cell r="EG135">
            <v>0.999</v>
          </cell>
          <cell r="EH135">
            <v>0.999</v>
          </cell>
          <cell r="EI135">
            <v>0.999</v>
          </cell>
          <cell r="EJ135">
            <v>0.999</v>
          </cell>
          <cell r="EK135">
            <v>0.999</v>
          </cell>
          <cell r="EL135">
            <v>0.999</v>
          </cell>
          <cell r="EM135">
            <v>0.999</v>
          </cell>
          <cell r="EN135">
            <v>0.999</v>
          </cell>
          <cell r="EO135">
            <v>0.999</v>
          </cell>
          <cell r="EP135">
            <v>0.999</v>
          </cell>
          <cell r="EQ135">
            <v>0.999</v>
          </cell>
          <cell r="ER135">
            <v>0.999</v>
          </cell>
          <cell r="ES135">
            <v>0.999</v>
          </cell>
          <cell r="ET135">
            <v>0.999</v>
          </cell>
          <cell r="EU135">
            <v>0.994</v>
          </cell>
          <cell r="EV135">
            <v>0.988</v>
          </cell>
          <cell r="EW135">
            <v>0.974</v>
          </cell>
          <cell r="EX135">
            <v>0.955</v>
          </cell>
          <cell r="EY135">
            <v>0.919</v>
          </cell>
          <cell r="EZ135">
            <v>0.859</v>
          </cell>
          <cell r="FA135">
            <v>0.753</v>
          </cell>
          <cell r="FB135">
            <v>0.597</v>
          </cell>
          <cell r="FC135">
            <v>0.411</v>
          </cell>
          <cell r="FD135">
            <v>0.231</v>
          </cell>
          <cell r="FE135">
            <v>0.831</v>
          </cell>
          <cell r="FF135">
            <v>0.909</v>
          </cell>
          <cell r="FG135">
            <v>0.98</v>
          </cell>
          <cell r="FH135">
            <v>0.998</v>
          </cell>
          <cell r="FI135">
            <v>0.998</v>
          </cell>
          <cell r="FJ135">
            <v>0.998</v>
          </cell>
          <cell r="FK135">
            <v>0.998</v>
          </cell>
          <cell r="FL135">
            <v>0.998</v>
          </cell>
          <cell r="FM135">
            <v>0.998</v>
          </cell>
          <cell r="FN135">
            <v>0.998</v>
          </cell>
          <cell r="FO135">
            <v>0.998</v>
          </cell>
          <cell r="FP135">
            <v>0.998</v>
          </cell>
          <cell r="FQ135">
            <v>0.998</v>
          </cell>
          <cell r="FR135">
            <v>0.998</v>
          </cell>
          <cell r="FS135">
            <v>0.998</v>
          </cell>
          <cell r="FT135">
            <v>0.998</v>
          </cell>
          <cell r="FU135">
            <v>0.998</v>
          </cell>
          <cell r="FV135">
            <v>0.998</v>
          </cell>
          <cell r="FW135">
            <v>0.998</v>
          </cell>
          <cell r="FX135">
            <v>0.998</v>
          </cell>
          <cell r="FY135">
            <v>0.998</v>
          </cell>
          <cell r="FZ135">
            <v>0.998</v>
          </cell>
          <cell r="GA135">
            <v>0.998</v>
          </cell>
          <cell r="GB135">
            <v>0.998</v>
          </cell>
          <cell r="GC135">
            <v>0.998</v>
          </cell>
          <cell r="GD135">
            <v>0.998</v>
          </cell>
          <cell r="GE135">
            <v>0.99</v>
          </cell>
          <cell r="GF135">
            <v>0.979</v>
          </cell>
          <cell r="GG135">
            <v>0.949</v>
          </cell>
          <cell r="GH135">
            <v>0.913</v>
          </cell>
          <cell r="GI135">
            <v>0.851</v>
          </cell>
          <cell r="GJ135">
            <v>0.734</v>
          </cell>
          <cell r="GK135">
            <v>0.567</v>
          </cell>
          <cell r="GL135">
            <v>0.358</v>
          </cell>
          <cell r="GM135">
            <v>0.173</v>
          </cell>
          <cell r="GN135">
            <v>0.059</v>
          </cell>
        </row>
        <row r="136">
          <cell r="B136" t="str">
            <v>D-ZK3L</v>
          </cell>
          <cell r="C136">
            <v>589613</v>
          </cell>
          <cell r="D136">
            <v>61.25</v>
          </cell>
          <cell r="E136">
            <v>61.03</v>
          </cell>
          <cell r="F136">
            <v>0.009619</v>
          </cell>
          <cell r="G136">
            <v>0.00969</v>
          </cell>
          <cell r="H136">
            <v>1.55683</v>
          </cell>
          <cell r="I136">
            <v>1.56339</v>
          </cell>
          <cell r="J136">
            <v>1.57037</v>
          </cell>
          <cell r="K136">
            <v>1.57614</v>
          </cell>
          <cell r="L136">
            <v>1.57791</v>
          </cell>
          <cell r="M136">
            <v>1.58083</v>
          </cell>
          <cell r="N136">
            <v>1.58276</v>
          </cell>
          <cell r="O136">
            <v>1.58449</v>
          </cell>
          <cell r="P136">
            <v>1.58618</v>
          </cell>
          <cell r="Q136">
            <v>1.58665</v>
          </cell>
          <cell r="R136">
            <v>1.58709</v>
          </cell>
          <cell r="S136">
            <v>1.58904</v>
          </cell>
          <cell r="T136">
            <v>1.58913</v>
          </cell>
          <cell r="U136">
            <v>1.59142</v>
          </cell>
          <cell r="V136">
            <v>1.5958</v>
          </cell>
          <cell r="W136">
            <v>1.59634</v>
          </cell>
          <cell r="X136">
            <v>1.60097</v>
          </cell>
          <cell r="Y136">
            <v>1.60522</v>
          </cell>
          <cell r="Z136">
            <v>1.61245</v>
          </cell>
          <cell r="AA136">
            <v>2.49082684</v>
          </cell>
          <cell r="AB136">
            <v>-0.0128180988</v>
          </cell>
          <cell r="AC136">
            <v>0.0118666232</v>
          </cell>
          <cell r="AD136">
            <v>0.00072319556</v>
          </cell>
          <cell r="AE136">
            <v>-7.42125775e-5</v>
          </cell>
          <cell r="AF136">
            <v>3.92308655e-6</v>
          </cell>
          <cell r="AG136">
            <v>0.306652806652802</v>
          </cell>
          <cell r="AH136">
            <v>0.238045738045747</v>
          </cell>
          <cell r="AI136">
            <v>0.537422037422016</v>
          </cell>
          <cell r="AJ136">
            <v>0.255933952528378</v>
          </cell>
          <cell r="AK136">
            <v>0.236326109391133</v>
          </cell>
          <cell r="AL136">
            <v>0.477812177502561</v>
          </cell>
          <cell r="AM136">
            <v>-0.0010885446985482</v>
          </cell>
          <cell r="AN136">
            <v>-0.00444171257798351</v>
          </cell>
          <cell r="AO136">
            <v>0.0227498596673432</v>
          </cell>
          <cell r="AP136">
            <v>0.00873305613304201</v>
          </cell>
          <cell r="AQ136">
            <v>3.8</v>
          </cell>
          <cell r="AR136">
            <v>3.7</v>
          </cell>
          <cell r="AS136">
            <v>3.6</v>
          </cell>
          <cell r="AT136">
            <v>3.6</v>
          </cell>
          <cell r="AU136">
            <v>3.6</v>
          </cell>
          <cell r="AV136">
            <v>3.7</v>
          </cell>
          <cell r="AW136">
            <v>4.1</v>
          </cell>
          <cell r="AX136">
            <v>4</v>
          </cell>
          <cell r="AY136">
            <v>4</v>
          </cell>
          <cell r="AZ136">
            <v>3.9</v>
          </cell>
          <cell r="BA136">
            <v>4</v>
          </cell>
          <cell r="BB136">
            <v>4.1</v>
          </cell>
          <cell r="BC136">
            <v>4.1</v>
          </cell>
          <cell r="BD136">
            <v>4.1</v>
          </cell>
          <cell r="BE136">
            <v>4</v>
          </cell>
          <cell r="BF136">
            <v>4</v>
          </cell>
          <cell r="BG136">
            <v>4</v>
          </cell>
          <cell r="BH136">
            <v>4.1</v>
          </cell>
          <cell r="BI136">
            <v>4.3</v>
          </cell>
          <cell r="BJ136">
            <v>4.2</v>
          </cell>
          <cell r="BK136">
            <v>4.1</v>
          </cell>
          <cell r="BL136">
            <v>4.1</v>
          </cell>
          <cell r="BM136">
            <v>4.1</v>
          </cell>
          <cell r="BN136">
            <v>4.2</v>
          </cell>
          <cell r="BO136">
            <v>4.4</v>
          </cell>
          <cell r="BP136">
            <v>4.3</v>
          </cell>
          <cell r="BQ136">
            <v>4.3</v>
          </cell>
          <cell r="BR136">
            <v>4.2</v>
          </cell>
          <cell r="BS136">
            <v>4.3</v>
          </cell>
          <cell r="BT136">
            <v>4.4</v>
          </cell>
          <cell r="BU136">
            <v>4.7</v>
          </cell>
          <cell r="BV136">
            <v>4.6</v>
          </cell>
          <cell r="BW136">
            <v>4.6</v>
          </cell>
          <cell r="BX136">
            <v>4.6</v>
          </cell>
          <cell r="BY136">
            <v>4.6</v>
          </cell>
          <cell r="BZ136">
            <v>4.8</v>
          </cell>
          <cell r="CA136">
            <v>5</v>
          </cell>
          <cell r="CB136">
            <v>4.9</v>
          </cell>
          <cell r="CC136">
            <v>4.9</v>
          </cell>
          <cell r="CD136">
            <v>4.9</v>
          </cell>
          <cell r="CE136">
            <v>5</v>
          </cell>
          <cell r="CF136">
            <v>5.1</v>
          </cell>
          <cell r="CG136">
            <v>2</v>
          </cell>
          <cell r="CH136">
            <v>2.2</v>
          </cell>
          <cell r="CI136">
            <v>2.4</v>
          </cell>
          <cell r="CJ136">
            <v>2.6</v>
          </cell>
          <cell r="CK136">
            <v>2.8</v>
          </cell>
          <cell r="CL136">
            <v>3</v>
          </cell>
          <cell r="CM136">
            <v>4.06090575856035e-6</v>
          </cell>
          <cell r="CN136">
            <v>9.84624697404689e-9</v>
          </cell>
          <cell r="CO136">
            <v>2.87968243416581e-12</v>
          </cell>
          <cell r="CP136">
            <v>4.30859940189828e-7</v>
          </cell>
          <cell r="CQ136">
            <v>3.79199603921386e-10</v>
          </cell>
          <cell r="CR136">
            <v>0.200113114813372</v>
          </cell>
          <cell r="CS136">
            <v>1</v>
          </cell>
          <cell r="CT136">
            <v>3</v>
          </cell>
          <cell r="CU136">
            <v>2</v>
          </cell>
          <cell r="CV136">
            <v>3</v>
          </cell>
          <cell r="CW136">
            <v>2</v>
          </cell>
          <cell r="CX136">
            <v>2</v>
          </cell>
          <cell r="CY136">
            <v>0</v>
          </cell>
          <cell r="CZ136">
            <v>0</v>
          </cell>
          <cell r="DA136">
            <v>492</v>
          </cell>
          <cell r="DB136">
            <v>537</v>
          </cell>
          <cell r="DC136">
            <v>444</v>
          </cell>
          <cell r="DD136">
            <v>465</v>
          </cell>
          <cell r="DE136">
            <v>67</v>
          </cell>
          <cell r="DF136">
            <v>0</v>
          </cell>
          <cell r="DG136">
            <v>89</v>
          </cell>
          <cell r="DH136">
            <v>0</v>
          </cell>
          <cell r="DI136">
            <v>100</v>
          </cell>
          <cell r="DJ136">
            <v>0</v>
          </cell>
          <cell r="DK136">
            <v>628</v>
          </cell>
          <cell r="DL136">
            <v>85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 t="str">
            <v>340/275</v>
          </cell>
          <cell r="DR136">
            <v>0</v>
          </cell>
          <cell r="DS136">
            <v>0</v>
          </cell>
          <cell r="DT136">
            <v>2.79</v>
          </cell>
          <cell r="DU136">
            <v>0.805</v>
          </cell>
          <cell r="DV136">
            <v>0.913</v>
          </cell>
          <cell r="DW136">
            <v>0.988</v>
          </cell>
          <cell r="DX136">
            <v>0.999</v>
          </cell>
          <cell r="DY136">
            <v>0.999</v>
          </cell>
          <cell r="DZ136">
            <v>0.999</v>
          </cell>
          <cell r="EA136">
            <v>0.999</v>
          </cell>
          <cell r="EB136">
            <v>0.999</v>
          </cell>
          <cell r="EC136">
            <v>0.999</v>
          </cell>
          <cell r="ED136">
            <v>0.999</v>
          </cell>
          <cell r="EE136">
            <v>0.999</v>
          </cell>
          <cell r="EF136">
            <v>0.999</v>
          </cell>
          <cell r="EG136">
            <v>0.999</v>
          </cell>
          <cell r="EH136">
            <v>0.999</v>
          </cell>
          <cell r="EI136">
            <v>0.999</v>
          </cell>
          <cell r="EJ136">
            <v>0.999</v>
          </cell>
          <cell r="EK136">
            <v>0.999</v>
          </cell>
          <cell r="EL136">
            <v>0.999</v>
          </cell>
          <cell r="EM136">
            <v>0.999</v>
          </cell>
          <cell r="EN136">
            <v>0.999</v>
          </cell>
          <cell r="EO136">
            <v>0.999</v>
          </cell>
          <cell r="EP136">
            <v>0.999</v>
          </cell>
          <cell r="EQ136">
            <v>0.999</v>
          </cell>
          <cell r="ER136">
            <v>0.999</v>
          </cell>
          <cell r="ES136">
            <v>0.995</v>
          </cell>
          <cell r="ET136">
            <v>0.993</v>
          </cell>
          <cell r="EU136">
            <v>0.989</v>
          </cell>
          <cell r="EV136">
            <v>0.98</v>
          </cell>
          <cell r="EW136">
            <v>0.965</v>
          </cell>
          <cell r="EX136">
            <v>0.937</v>
          </cell>
          <cell r="EY136">
            <v>0.892</v>
          </cell>
          <cell r="EZ136">
            <v>0.815</v>
          </cell>
          <cell r="FA136">
            <v>0.705</v>
          </cell>
          <cell r="FB136">
            <v>0.566</v>
          </cell>
          <cell r="FC136">
            <v>0.417</v>
          </cell>
          <cell r="FD136">
            <v>0.281</v>
          </cell>
          <cell r="FE136">
            <v>0.648</v>
          </cell>
          <cell r="FF136">
            <v>0.834</v>
          </cell>
          <cell r="FG136">
            <v>0.976</v>
          </cell>
          <cell r="FH136">
            <v>0.998</v>
          </cell>
          <cell r="FI136">
            <v>0.998</v>
          </cell>
          <cell r="FJ136">
            <v>0.998</v>
          </cell>
          <cell r="FK136">
            <v>0.998</v>
          </cell>
          <cell r="FL136">
            <v>0.998</v>
          </cell>
          <cell r="FM136">
            <v>0.998</v>
          </cell>
          <cell r="FN136">
            <v>0.998</v>
          </cell>
          <cell r="FO136">
            <v>0.998</v>
          </cell>
          <cell r="FP136">
            <v>0.998</v>
          </cell>
          <cell r="FQ136">
            <v>0.998</v>
          </cell>
          <cell r="FR136">
            <v>0.998</v>
          </cell>
          <cell r="FS136">
            <v>0.998</v>
          </cell>
          <cell r="FT136">
            <v>0.998</v>
          </cell>
          <cell r="FU136">
            <v>0.998</v>
          </cell>
          <cell r="FV136">
            <v>0.998</v>
          </cell>
          <cell r="FW136">
            <v>0.998</v>
          </cell>
          <cell r="FX136">
            <v>0.998</v>
          </cell>
          <cell r="FY136">
            <v>0.998</v>
          </cell>
          <cell r="FZ136">
            <v>0.998</v>
          </cell>
          <cell r="GA136">
            <v>0.998</v>
          </cell>
          <cell r="GB136">
            <v>0.998</v>
          </cell>
          <cell r="GC136">
            <v>0.989</v>
          </cell>
          <cell r="GD136">
            <v>0.984</v>
          </cell>
          <cell r="GE136">
            <v>0.977</v>
          </cell>
          <cell r="GF136">
            <v>0.962</v>
          </cell>
          <cell r="GG136">
            <v>0.933</v>
          </cell>
          <cell r="GH136">
            <v>0.88</v>
          </cell>
          <cell r="GI136">
            <v>0.794</v>
          </cell>
          <cell r="GJ136">
            <v>0.664</v>
          </cell>
          <cell r="GK136">
            <v>0.498</v>
          </cell>
          <cell r="GL136">
            <v>0.322</v>
          </cell>
          <cell r="GM136">
            <v>0.176</v>
          </cell>
          <cell r="GN136">
            <v>0.082</v>
          </cell>
        </row>
        <row r="137">
          <cell r="B137" t="str">
            <v>D-LaK6</v>
          </cell>
          <cell r="C137">
            <v>694532</v>
          </cell>
          <cell r="D137">
            <v>53.2</v>
          </cell>
          <cell r="E137">
            <v>52.97</v>
          </cell>
          <cell r="F137">
            <v>0.013036</v>
          </cell>
          <cell r="G137">
            <v>0.013152</v>
          </cell>
          <cell r="H137">
            <v>1.65576</v>
          </cell>
          <cell r="I137">
            <v>1.66281</v>
          </cell>
          <cell r="J137">
            <v>1.67041</v>
          </cell>
          <cell r="K137">
            <v>1.67693</v>
          </cell>
          <cell r="L137">
            <v>1.67903</v>
          </cell>
          <cell r="M137">
            <v>1.68262</v>
          </cell>
          <cell r="N137">
            <v>1.68507</v>
          </cell>
          <cell r="O137">
            <v>1.6873</v>
          </cell>
          <cell r="P137">
            <v>1.68955</v>
          </cell>
          <cell r="Q137">
            <v>1.69017</v>
          </cell>
          <cell r="R137">
            <v>1.69076</v>
          </cell>
          <cell r="S137">
            <v>1.69338</v>
          </cell>
          <cell r="T137">
            <v>1.6935</v>
          </cell>
          <cell r="U137">
            <v>1.69661</v>
          </cell>
          <cell r="V137">
            <v>1.70258</v>
          </cell>
          <cell r="W137">
            <v>1.70333</v>
          </cell>
          <cell r="X137">
            <v>1.70971</v>
          </cell>
          <cell r="Y137">
            <v>1.71562</v>
          </cell>
          <cell r="Z137">
            <v>1.72581</v>
          </cell>
          <cell r="AA137">
            <v>2.81693536</v>
          </cell>
          <cell r="AB137">
            <v>-0.0145100462</v>
          </cell>
          <cell r="AC137">
            <v>0.0164033808</v>
          </cell>
          <cell r="AD137">
            <v>0.00137954823</v>
          </cell>
          <cell r="AE137">
            <v>-0.00015189815</v>
          </cell>
          <cell r="AF137">
            <v>8.44901949e-6</v>
          </cell>
          <cell r="AG137">
            <v>0.303146584804293</v>
          </cell>
          <cell r="AH137">
            <v>0.23867996930161</v>
          </cell>
          <cell r="AI137">
            <v>0.547198772064478</v>
          </cell>
          <cell r="AJ137">
            <v>0.253039513677815</v>
          </cell>
          <cell r="AK137">
            <v>0.236322188449843</v>
          </cell>
          <cell r="AL137">
            <v>0.484802431610944</v>
          </cell>
          <cell r="AM137">
            <v>-0.00266015410590272</v>
          </cell>
          <cell r="AN137">
            <v>-0.00803602793552186</v>
          </cell>
          <cell r="AO137">
            <v>0.0094604132003212</v>
          </cell>
          <cell r="AP137">
            <v>0.00376957789717339</v>
          </cell>
          <cell r="AQ137">
            <v>4.1</v>
          </cell>
          <cell r="AR137">
            <v>4</v>
          </cell>
          <cell r="AS137">
            <v>4</v>
          </cell>
          <cell r="AT137">
            <v>3.9</v>
          </cell>
          <cell r="AU137">
            <v>4</v>
          </cell>
          <cell r="AV137">
            <v>4.1</v>
          </cell>
          <cell r="AW137">
            <v>4.6</v>
          </cell>
          <cell r="AX137">
            <v>4.5</v>
          </cell>
          <cell r="AY137">
            <v>4.5</v>
          </cell>
          <cell r="AZ137">
            <v>4.5</v>
          </cell>
          <cell r="BA137">
            <v>4.6</v>
          </cell>
          <cell r="BB137">
            <v>4.7</v>
          </cell>
          <cell r="BC137">
            <v>4.6</v>
          </cell>
          <cell r="BD137">
            <v>4.6</v>
          </cell>
          <cell r="BE137">
            <v>4.6</v>
          </cell>
          <cell r="BF137">
            <v>4.6</v>
          </cell>
          <cell r="BG137">
            <v>4.6</v>
          </cell>
          <cell r="BH137">
            <v>4.8</v>
          </cell>
          <cell r="BI137">
            <v>4.8</v>
          </cell>
          <cell r="BJ137">
            <v>4.7</v>
          </cell>
          <cell r="BK137">
            <v>4.7</v>
          </cell>
          <cell r="BL137">
            <v>4.7</v>
          </cell>
          <cell r="BM137">
            <v>4.8</v>
          </cell>
          <cell r="BN137">
            <v>5</v>
          </cell>
          <cell r="BO137">
            <v>5</v>
          </cell>
          <cell r="BP137">
            <v>5</v>
          </cell>
          <cell r="BQ137">
            <v>4.9</v>
          </cell>
          <cell r="BR137">
            <v>4.9</v>
          </cell>
          <cell r="BS137">
            <v>5</v>
          </cell>
          <cell r="BT137">
            <v>5.2</v>
          </cell>
          <cell r="BU137">
            <v>5.4</v>
          </cell>
          <cell r="BV137">
            <v>5.4</v>
          </cell>
          <cell r="BW137">
            <v>5.4</v>
          </cell>
          <cell r="BX137">
            <v>5.4</v>
          </cell>
          <cell r="BY137">
            <v>5.5</v>
          </cell>
          <cell r="BZ137">
            <v>5.7</v>
          </cell>
          <cell r="CA137">
            <v>5.9</v>
          </cell>
          <cell r="CB137">
            <v>5.9</v>
          </cell>
          <cell r="CC137">
            <v>5.9</v>
          </cell>
          <cell r="CD137">
            <v>5.9</v>
          </cell>
          <cell r="CE137">
            <v>6</v>
          </cell>
          <cell r="CF137">
            <v>6.2</v>
          </cell>
          <cell r="CG137">
            <v>2.4</v>
          </cell>
          <cell r="CH137">
            <v>2.6</v>
          </cell>
          <cell r="CI137">
            <v>2.9</v>
          </cell>
          <cell r="CJ137">
            <v>3.1</v>
          </cell>
          <cell r="CK137">
            <v>3.3</v>
          </cell>
          <cell r="CL137">
            <v>3.6</v>
          </cell>
          <cell r="CM137">
            <v>3.52e-6</v>
          </cell>
          <cell r="CN137">
            <v>9.43e-9</v>
          </cell>
          <cell r="CO137">
            <v>1.254e-11</v>
          </cell>
          <cell r="CP137">
            <v>6.86e-7</v>
          </cell>
          <cell r="CQ137">
            <v>7.892e-10</v>
          </cell>
          <cell r="CR137">
            <v>0.14</v>
          </cell>
          <cell r="CS137">
            <v>1</v>
          </cell>
          <cell r="CT137">
            <v>3</v>
          </cell>
          <cell r="CU137">
            <v>1</v>
          </cell>
          <cell r="CV137">
            <v>3</v>
          </cell>
          <cell r="CW137">
            <v>1</v>
          </cell>
          <cell r="CX137">
            <v>2</v>
          </cell>
          <cell r="CY137">
            <v>0</v>
          </cell>
          <cell r="CZ137">
            <v>0</v>
          </cell>
          <cell r="DA137">
            <v>525</v>
          </cell>
          <cell r="DB137">
            <v>568</v>
          </cell>
          <cell r="DC137">
            <v>481</v>
          </cell>
          <cell r="DD137">
            <v>516</v>
          </cell>
          <cell r="DE137">
            <v>68</v>
          </cell>
          <cell r="DF137">
            <v>0</v>
          </cell>
          <cell r="DG137">
            <v>89</v>
          </cell>
          <cell r="DH137">
            <v>0</v>
          </cell>
          <cell r="DI137">
            <v>130</v>
          </cell>
          <cell r="DJ137">
            <v>0</v>
          </cell>
          <cell r="DK137">
            <v>642</v>
          </cell>
          <cell r="DL137">
            <v>107</v>
          </cell>
          <cell r="DM137">
            <v>10905</v>
          </cell>
          <cell r="DN137">
            <v>4191</v>
          </cell>
          <cell r="DO137">
            <v>0.301</v>
          </cell>
          <cell r="DP137">
            <v>2.01</v>
          </cell>
          <cell r="DQ137" t="str">
            <v>355/290</v>
          </cell>
          <cell r="DR137">
            <v>336</v>
          </cell>
          <cell r="DS137">
            <v>288</v>
          </cell>
          <cell r="DT137">
            <v>3.5</v>
          </cell>
          <cell r="DU137">
            <v>0.834</v>
          </cell>
          <cell r="DV137">
            <v>0.962</v>
          </cell>
          <cell r="DW137">
            <v>0.99</v>
          </cell>
          <cell r="DX137">
            <v>0.997</v>
          </cell>
          <cell r="DY137">
            <v>0.999</v>
          </cell>
          <cell r="DZ137">
            <v>0.999</v>
          </cell>
          <cell r="EA137">
            <v>0.999</v>
          </cell>
          <cell r="EB137">
            <v>0.999</v>
          </cell>
          <cell r="EC137">
            <v>0.999</v>
          </cell>
          <cell r="ED137">
            <v>0.999</v>
          </cell>
          <cell r="EE137">
            <v>0.999</v>
          </cell>
          <cell r="EF137">
            <v>0.999</v>
          </cell>
          <cell r="EG137">
            <v>0.999</v>
          </cell>
          <cell r="EH137">
            <v>0.999</v>
          </cell>
          <cell r="EI137">
            <v>0.999</v>
          </cell>
          <cell r="EJ137">
            <v>0.999</v>
          </cell>
          <cell r="EK137">
            <v>0.999</v>
          </cell>
          <cell r="EL137">
            <v>0.999</v>
          </cell>
          <cell r="EM137">
            <v>0.998</v>
          </cell>
          <cell r="EN137">
            <v>0.999</v>
          </cell>
          <cell r="EO137">
            <v>0.999</v>
          </cell>
          <cell r="EP137">
            <v>0.998</v>
          </cell>
          <cell r="EQ137">
            <v>0.997</v>
          </cell>
          <cell r="ER137">
            <v>0.996</v>
          </cell>
          <cell r="ES137">
            <v>0.995</v>
          </cell>
          <cell r="ET137">
            <v>0.993</v>
          </cell>
          <cell r="EU137">
            <v>0.99</v>
          </cell>
          <cell r="EV137">
            <v>0.976</v>
          </cell>
          <cell r="EW137">
            <v>0.958</v>
          </cell>
          <cell r="EX137">
            <v>0.927</v>
          </cell>
          <cell r="EY137">
            <v>0.879</v>
          </cell>
          <cell r="EZ137">
            <v>0.81</v>
          </cell>
          <cell r="FA137">
            <v>0.707</v>
          </cell>
          <cell r="FB137">
            <v>0.557</v>
          </cell>
          <cell r="FC137">
            <v>0.298</v>
          </cell>
          <cell r="FD137">
            <v>0.058</v>
          </cell>
          <cell r="FE137">
            <v>0.696</v>
          </cell>
          <cell r="FF137">
            <v>0.926</v>
          </cell>
          <cell r="FG137">
            <v>0.98</v>
          </cell>
          <cell r="FH137">
            <v>0.994</v>
          </cell>
          <cell r="FI137">
            <v>0.998</v>
          </cell>
          <cell r="FJ137">
            <v>0.998</v>
          </cell>
          <cell r="FK137">
            <v>0.998</v>
          </cell>
          <cell r="FL137">
            <v>0.998</v>
          </cell>
          <cell r="FM137">
            <v>0.998</v>
          </cell>
          <cell r="FN137">
            <v>0.998</v>
          </cell>
          <cell r="FO137">
            <v>0.998</v>
          </cell>
          <cell r="FP137">
            <v>0.998</v>
          </cell>
          <cell r="FQ137">
            <v>0.998</v>
          </cell>
          <cell r="FR137">
            <v>0.998</v>
          </cell>
          <cell r="FS137">
            <v>0.998</v>
          </cell>
          <cell r="FT137">
            <v>0.998</v>
          </cell>
          <cell r="FU137">
            <v>0.998</v>
          </cell>
          <cell r="FV137">
            <v>0.998</v>
          </cell>
          <cell r="FW137">
            <v>0.998</v>
          </cell>
          <cell r="FX137">
            <v>0.998</v>
          </cell>
          <cell r="FY137">
            <v>0.998</v>
          </cell>
          <cell r="FZ137">
            <v>0.996</v>
          </cell>
          <cell r="GA137">
            <v>0.994</v>
          </cell>
          <cell r="GB137">
            <v>0.992</v>
          </cell>
          <cell r="GC137">
            <v>0.99</v>
          </cell>
          <cell r="GD137">
            <v>0.985</v>
          </cell>
          <cell r="GE137">
            <v>0.973</v>
          </cell>
          <cell r="GF137">
            <v>0.943</v>
          </cell>
          <cell r="GG137">
            <v>0.907</v>
          </cell>
          <cell r="GH137">
            <v>0.847</v>
          </cell>
          <cell r="GI137">
            <v>0.758</v>
          </cell>
          <cell r="GJ137">
            <v>0.64</v>
          </cell>
          <cell r="GK137">
            <v>0.482</v>
          </cell>
          <cell r="GL137">
            <v>0.296</v>
          </cell>
          <cell r="GM137">
            <v>0.082</v>
          </cell>
          <cell r="GN137">
            <v>0.013</v>
          </cell>
        </row>
        <row r="138">
          <cell r="B138" t="str">
            <v>D-ZF10</v>
          </cell>
          <cell r="C138">
            <v>689311</v>
          </cell>
          <cell r="D138">
            <v>31.08</v>
          </cell>
          <cell r="E138">
            <v>30.85</v>
          </cell>
          <cell r="F138">
            <v>0.022169</v>
          </cell>
          <cell r="G138">
            <v>0.022498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1.67896</v>
          </cell>
          <cell r="P138">
            <v>1.68249</v>
          </cell>
          <cell r="Q138">
            <v>1.6835</v>
          </cell>
          <cell r="R138">
            <v>1.68444</v>
          </cell>
          <cell r="S138">
            <v>1.68874</v>
          </cell>
          <cell r="T138">
            <v>1.68893</v>
          </cell>
          <cell r="U138">
            <v>1.69417</v>
          </cell>
          <cell r="V138">
            <v>1.70466</v>
          </cell>
          <cell r="W138">
            <v>1.706</v>
          </cell>
          <cell r="X138">
            <v>1.71793</v>
          </cell>
          <cell r="Y138">
            <v>1.72976</v>
          </cell>
          <cell r="Z138">
            <v>1.752</v>
          </cell>
          <cell r="AA138">
            <v>2.75534596</v>
          </cell>
          <cell r="AB138">
            <v>-0.00711113669</v>
          </cell>
          <cell r="AC138">
            <v>0.0317743641</v>
          </cell>
          <cell r="AD138">
            <v>0.000832169655</v>
          </cell>
          <cell r="AE138">
            <v>-5.32371808e-6</v>
          </cell>
          <cell r="AF138">
            <v>1.00791842e-5</v>
          </cell>
          <cell r="AG138">
            <v>0.290482634190347</v>
          </cell>
          <cell r="AH138">
            <v>0.236355435272887</v>
          </cell>
          <cell r="AI138">
            <v>0.598556608028862</v>
          </cell>
          <cell r="AJ138">
            <v>0.241333333333336</v>
          </cell>
          <cell r="AK138">
            <v>0.232888888888885</v>
          </cell>
          <cell r="AL138">
            <v>0.530222222222223</v>
          </cell>
          <cell r="AM138">
            <v>0.000118090536765834</v>
          </cell>
          <cell r="AN138">
            <v>0.00658048802886239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1</v>
          </cell>
          <cell r="CT138">
            <v>1</v>
          </cell>
          <cell r="CU138">
            <v>1</v>
          </cell>
          <cell r="CV138">
            <v>1</v>
          </cell>
          <cell r="CW138">
            <v>1</v>
          </cell>
          <cell r="CX138">
            <v>2</v>
          </cell>
          <cell r="CY138">
            <v>0</v>
          </cell>
          <cell r="CZ138">
            <v>0</v>
          </cell>
          <cell r="DA138">
            <v>481</v>
          </cell>
          <cell r="DB138">
            <v>527</v>
          </cell>
          <cell r="DC138">
            <v>432</v>
          </cell>
          <cell r="DD138">
            <v>473</v>
          </cell>
          <cell r="DE138">
            <v>0</v>
          </cell>
          <cell r="DF138">
            <v>94</v>
          </cell>
          <cell r="DG138">
            <v>116</v>
          </cell>
          <cell r="DH138">
            <v>0</v>
          </cell>
          <cell r="DI138">
            <v>200</v>
          </cell>
          <cell r="DJ138">
            <v>0</v>
          </cell>
          <cell r="DK138">
            <v>554</v>
          </cell>
          <cell r="DL138">
            <v>146</v>
          </cell>
          <cell r="DM138">
            <v>7995</v>
          </cell>
          <cell r="DN138">
            <v>3258</v>
          </cell>
          <cell r="DO138">
            <v>0.227</v>
          </cell>
          <cell r="DP138">
            <v>0</v>
          </cell>
          <cell r="DQ138" t="str">
            <v>400/360</v>
          </cell>
          <cell r="DR138">
            <v>0</v>
          </cell>
          <cell r="DS138">
            <v>0</v>
          </cell>
          <cell r="DT138">
            <v>2.86</v>
          </cell>
          <cell r="DU138">
            <v>0.927</v>
          </cell>
          <cell r="DV138">
            <v>0.972</v>
          </cell>
          <cell r="DW138">
            <v>0.992</v>
          </cell>
          <cell r="DX138">
            <v>0.999</v>
          </cell>
          <cell r="DY138">
            <v>0.999</v>
          </cell>
          <cell r="DZ138">
            <v>0.999</v>
          </cell>
          <cell r="EA138">
            <v>0.999</v>
          </cell>
          <cell r="EB138">
            <v>0.999</v>
          </cell>
          <cell r="EC138">
            <v>0.999</v>
          </cell>
          <cell r="ED138">
            <v>0.999</v>
          </cell>
          <cell r="EE138">
            <v>0.999</v>
          </cell>
          <cell r="EF138">
            <v>0.999</v>
          </cell>
          <cell r="EG138">
            <v>0.999</v>
          </cell>
          <cell r="EH138">
            <v>0.999</v>
          </cell>
          <cell r="EI138">
            <v>0.999</v>
          </cell>
          <cell r="EJ138">
            <v>0.999</v>
          </cell>
          <cell r="EK138">
            <v>0.999</v>
          </cell>
          <cell r="EL138">
            <v>0.999</v>
          </cell>
          <cell r="EM138">
            <v>0.999</v>
          </cell>
          <cell r="EN138">
            <v>0.997</v>
          </cell>
          <cell r="EO138">
            <v>0.994</v>
          </cell>
          <cell r="EP138">
            <v>0.989</v>
          </cell>
          <cell r="EQ138">
            <v>0.982</v>
          </cell>
          <cell r="ER138">
            <v>0.961</v>
          </cell>
          <cell r="ES138">
            <v>0.944</v>
          </cell>
          <cell r="ET138">
            <v>0.9</v>
          </cell>
          <cell r="EU138">
            <v>0.771</v>
          </cell>
          <cell r="EV138">
            <v>0.419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0.841</v>
          </cell>
          <cell r="FF138">
            <v>0.927</v>
          </cell>
          <cell r="FG138">
            <v>0.977</v>
          </cell>
          <cell r="FH138">
            <v>0.991</v>
          </cell>
          <cell r="FI138">
            <v>0.998</v>
          </cell>
          <cell r="FJ138">
            <v>0.998</v>
          </cell>
          <cell r="FK138">
            <v>0.998</v>
          </cell>
          <cell r="FL138">
            <v>0.998</v>
          </cell>
          <cell r="FM138">
            <v>0.998</v>
          </cell>
          <cell r="FN138">
            <v>0.998</v>
          </cell>
          <cell r="FO138">
            <v>0.998</v>
          </cell>
          <cell r="FP138">
            <v>0.998</v>
          </cell>
          <cell r="FQ138">
            <v>0.998</v>
          </cell>
          <cell r="FR138">
            <v>0.998</v>
          </cell>
          <cell r="FS138">
            <v>0.998</v>
          </cell>
          <cell r="FT138">
            <v>0.998</v>
          </cell>
          <cell r="FU138">
            <v>0.998</v>
          </cell>
          <cell r="FV138">
            <v>0.998</v>
          </cell>
          <cell r="FW138">
            <v>0.995</v>
          </cell>
          <cell r="FX138">
            <v>0.99</v>
          </cell>
          <cell r="FY138">
            <v>0.982</v>
          </cell>
          <cell r="FZ138">
            <v>0.976</v>
          </cell>
          <cell r="GA138">
            <v>0.962</v>
          </cell>
          <cell r="GB138">
            <v>0.926</v>
          </cell>
          <cell r="GC138">
            <v>0.889</v>
          </cell>
          <cell r="GD138">
            <v>0.806</v>
          </cell>
          <cell r="GE138">
            <v>0.589</v>
          </cell>
          <cell r="GF138">
            <v>0.18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</row>
        <row r="139">
          <cell r="B139" t="str">
            <v>D-LaF731</v>
          </cell>
          <cell r="C139">
            <v>731405</v>
          </cell>
          <cell r="D139">
            <v>40.5</v>
          </cell>
          <cell r="E139">
            <v>40.25</v>
          </cell>
          <cell r="F139">
            <v>0.018043</v>
          </cell>
          <cell r="G139">
            <v>0.018263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1.72242</v>
          </cell>
          <cell r="P139">
            <v>1.72541</v>
          </cell>
          <cell r="Q139">
            <v>1.72625</v>
          </cell>
          <cell r="R139">
            <v>1.72704</v>
          </cell>
          <cell r="S139">
            <v>1.73061</v>
          </cell>
          <cell r="T139">
            <v>1.73077</v>
          </cell>
          <cell r="U139">
            <v>1.73505</v>
          </cell>
          <cell r="V139">
            <v>1.74345</v>
          </cell>
          <cell r="W139">
            <v>1.74452</v>
          </cell>
          <cell r="X139">
            <v>1.75376</v>
          </cell>
          <cell r="Y139">
            <v>1.76261</v>
          </cell>
          <cell r="Z139">
            <v>1.77837</v>
          </cell>
          <cell r="AA139">
            <v>2.9167886</v>
          </cell>
          <cell r="AB139">
            <v>-0.012398199</v>
          </cell>
          <cell r="AC139">
            <v>0.026675237</v>
          </cell>
          <cell r="AD139">
            <v>0.00065190504</v>
          </cell>
          <cell r="AE139">
            <v>4.6956175e-6</v>
          </cell>
          <cell r="AF139">
            <v>2.691054e-6</v>
          </cell>
          <cell r="AG139">
            <v>0.297117516629704</v>
          </cell>
          <cell r="AH139">
            <v>0.237250554323731</v>
          </cell>
          <cell r="AI139">
            <v>0.571507760532158</v>
          </cell>
          <cell r="AJ139">
            <v>0.247400109469067</v>
          </cell>
          <cell r="AK139">
            <v>0.23426382047072</v>
          </cell>
          <cell r="AL139">
            <v>0.505747126436777</v>
          </cell>
          <cell r="AM139">
            <v>-0.00221207095343461</v>
          </cell>
          <cell r="AN139">
            <v>-0.0048217394678416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3</v>
          </cell>
          <cell r="CU139">
            <v>1</v>
          </cell>
          <cell r="CV139">
            <v>2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495</v>
          </cell>
          <cell r="DB139">
            <v>531</v>
          </cell>
          <cell r="DC139">
            <v>460</v>
          </cell>
          <cell r="DD139">
            <v>492</v>
          </cell>
          <cell r="DE139">
            <v>0</v>
          </cell>
          <cell r="DF139">
            <v>87.02</v>
          </cell>
          <cell r="DG139">
            <v>112</v>
          </cell>
          <cell r="DH139">
            <v>0</v>
          </cell>
          <cell r="DI139">
            <v>0</v>
          </cell>
          <cell r="DJ139">
            <v>0</v>
          </cell>
          <cell r="DK139">
            <v>611</v>
          </cell>
          <cell r="DL139">
            <v>0</v>
          </cell>
          <cell r="DM139">
            <v>12106</v>
          </cell>
          <cell r="DN139">
            <v>4711</v>
          </cell>
          <cell r="DO139">
            <v>0.285</v>
          </cell>
          <cell r="DP139">
            <v>2.03</v>
          </cell>
          <cell r="DQ139" t="str">
            <v>390/340</v>
          </cell>
          <cell r="DR139">
            <v>0</v>
          </cell>
          <cell r="DS139">
            <v>0</v>
          </cell>
          <cell r="DT139">
            <v>3.22</v>
          </cell>
          <cell r="DU139">
            <v>0.904</v>
          </cell>
          <cell r="DV139">
            <v>0.976</v>
          </cell>
          <cell r="DW139">
            <v>0.994</v>
          </cell>
          <cell r="DX139">
            <v>0.998</v>
          </cell>
          <cell r="DY139">
            <v>0.998</v>
          </cell>
          <cell r="DZ139">
            <v>0.998</v>
          </cell>
          <cell r="EA139">
            <v>0.998</v>
          </cell>
          <cell r="EB139">
            <v>0.998</v>
          </cell>
          <cell r="EC139">
            <v>0.998</v>
          </cell>
          <cell r="ED139">
            <v>0.998</v>
          </cell>
          <cell r="EE139">
            <v>0.998</v>
          </cell>
          <cell r="EF139">
            <v>0.998</v>
          </cell>
          <cell r="EG139">
            <v>0.998</v>
          </cell>
          <cell r="EH139">
            <v>0.998</v>
          </cell>
          <cell r="EI139">
            <v>0.998</v>
          </cell>
          <cell r="EJ139">
            <v>0.998</v>
          </cell>
          <cell r="EK139">
            <v>0.998</v>
          </cell>
          <cell r="EL139">
            <v>0.996</v>
          </cell>
          <cell r="EM139">
            <v>0.994</v>
          </cell>
          <cell r="EN139">
            <v>0.991</v>
          </cell>
          <cell r="EO139">
            <v>0.988</v>
          </cell>
          <cell r="EP139">
            <v>0.984</v>
          </cell>
          <cell r="EQ139">
            <v>0.976</v>
          </cell>
          <cell r="ER139">
            <v>0.963</v>
          </cell>
          <cell r="ES139">
            <v>0.948</v>
          </cell>
          <cell r="ET139">
            <v>0.924</v>
          </cell>
          <cell r="EU139">
            <v>0.886</v>
          </cell>
          <cell r="EV139">
            <v>0.82</v>
          </cell>
          <cell r="EW139">
            <v>0.675</v>
          </cell>
          <cell r="EX139">
            <v>0.38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0.815</v>
          </cell>
          <cell r="FF139">
            <v>0.952</v>
          </cell>
          <cell r="FG139">
            <v>0.988</v>
          </cell>
          <cell r="FH139">
            <v>0.996</v>
          </cell>
          <cell r="FI139">
            <v>0.996</v>
          </cell>
          <cell r="FJ139">
            <v>0.996</v>
          </cell>
          <cell r="FK139">
            <v>0.996</v>
          </cell>
          <cell r="FL139">
            <v>0.996</v>
          </cell>
          <cell r="FM139">
            <v>0.996</v>
          </cell>
          <cell r="FN139">
            <v>0.996</v>
          </cell>
          <cell r="FO139">
            <v>0.996</v>
          </cell>
          <cell r="FP139">
            <v>0.996</v>
          </cell>
          <cell r="FQ139">
            <v>0.996</v>
          </cell>
          <cell r="FR139">
            <v>0.996</v>
          </cell>
          <cell r="FS139">
            <v>0.996</v>
          </cell>
          <cell r="FT139">
            <v>0.996</v>
          </cell>
          <cell r="FU139">
            <v>0.996</v>
          </cell>
          <cell r="FV139">
            <v>0.994</v>
          </cell>
          <cell r="FW139">
            <v>0.988</v>
          </cell>
          <cell r="FX139">
            <v>0.982</v>
          </cell>
          <cell r="FY139">
            <v>0.975</v>
          </cell>
          <cell r="FZ139">
            <v>0.968</v>
          </cell>
          <cell r="GA139">
            <v>0.953</v>
          </cell>
          <cell r="GB139">
            <v>0.928</v>
          </cell>
          <cell r="GC139">
            <v>0.899</v>
          </cell>
          <cell r="GD139">
            <v>0.855</v>
          </cell>
          <cell r="GE139">
            <v>0.787</v>
          </cell>
          <cell r="GF139">
            <v>0.673</v>
          </cell>
          <cell r="GG139">
            <v>0.458</v>
          </cell>
          <cell r="GH139">
            <v>0.15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</row>
        <row r="140">
          <cell r="B140" t="str">
            <v>D-LaF743</v>
          </cell>
          <cell r="C140">
            <v>743493</v>
          </cell>
          <cell r="D140">
            <v>49.33</v>
          </cell>
          <cell r="E140">
            <v>49.07</v>
          </cell>
          <cell r="F140">
            <v>0.015069</v>
          </cell>
          <cell r="G140">
            <v>0.015221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1.73621</v>
          </cell>
          <cell r="P140">
            <v>1.73876</v>
          </cell>
          <cell r="Q140">
            <v>1.73948</v>
          </cell>
          <cell r="R140">
            <v>1.74016</v>
          </cell>
          <cell r="S140">
            <v>1.74317</v>
          </cell>
          <cell r="T140">
            <v>1.7433</v>
          </cell>
          <cell r="U140">
            <v>1.74689</v>
          </cell>
          <cell r="V140">
            <v>1.75383</v>
          </cell>
          <cell r="W140">
            <v>1.7547</v>
          </cell>
          <cell r="X140">
            <v>1.76216</v>
          </cell>
          <cell r="Y140">
            <v>1.76913</v>
          </cell>
          <cell r="Z140">
            <v>1.78115</v>
          </cell>
          <cell r="AA140">
            <v>2.975245</v>
          </cell>
          <cell r="AB140">
            <v>-0.01425016</v>
          </cell>
          <cell r="AC140">
            <v>0.02140074</v>
          </cell>
          <cell r="AD140">
            <v>0.0009755337</v>
          </cell>
          <cell r="AE140">
            <v>-6.97953e-5</v>
          </cell>
          <cell r="AF140">
            <v>4.114924e-6</v>
          </cell>
          <cell r="AG140">
            <v>0.301260783012609</v>
          </cell>
          <cell r="AH140">
            <v>0.238221632382216</v>
          </cell>
          <cell r="AI140">
            <v>0.552753815527538</v>
          </cell>
          <cell r="AJ140">
            <v>0.250985545335096</v>
          </cell>
          <cell r="AK140">
            <v>0.235873850197108</v>
          </cell>
          <cell r="AL140">
            <v>0.490144546649147</v>
          </cell>
          <cell r="AM140">
            <v>-0.00245225539482519</v>
          </cell>
          <cell r="AN140">
            <v>-0.00890905447246218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1</v>
          </cell>
          <cell r="CV140">
            <v>3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566</v>
          </cell>
          <cell r="DB140">
            <v>603</v>
          </cell>
          <cell r="DC140">
            <v>531</v>
          </cell>
          <cell r="DD140">
            <v>555</v>
          </cell>
          <cell r="DE140">
            <v>56</v>
          </cell>
          <cell r="DF140">
            <v>0</v>
          </cell>
          <cell r="DG140">
            <v>78</v>
          </cell>
          <cell r="DH140">
            <v>0</v>
          </cell>
          <cell r="DI140">
            <v>140</v>
          </cell>
          <cell r="DJ140">
            <v>0</v>
          </cell>
          <cell r="DK140">
            <v>679</v>
          </cell>
          <cell r="DL140">
            <v>0</v>
          </cell>
          <cell r="DM140">
            <v>11828</v>
          </cell>
          <cell r="DN140">
            <v>4521</v>
          </cell>
          <cell r="DO140">
            <v>0.308</v>
          </cell>
          <cell r="DP140">
            <v>0</v>
          </cell>
          <cell r="DQ140" t="str">
            <v>360/280</v>
          </cell>
          <cell r="DR140">
            <v>0</v>
          </cell>
          <cell r="DS140">
            <v>0</v>
          </cell>
          <cell r="DT140">
            <v>4.23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0.998</v>
          </cell>
          <cell r="EG140">
            <v>0.998</v>
          </cell>
          <cell r="EH140">
            <v>0.998</v>
          </cell>
          <cell r="EI140">
            <v>0.998</v>
          </cell>
          <cell r="EJ140">
            <v>0.998</v>
          </cell>
          <cell r="EK140">
            <v>0.998</v>
          </cell>
          <cell r="EL140">
            <v>0.998</v>
          </cell>
          <cell r="EM140">
            <v>0.998</v>
          </cell>
          <cell r="EN140">
            <v>0.997</v>
          </cell>
          <cell r="EO140">
            <v>0.997</v>
          </cell>
          <cell r="EP140">
            <v>0.995</v>
          </cell>
          <cell r="EQ140">
            <v>0.992</v>
          </cell>
          <cell r="ER140">
            <v>0.988</v>
          </cell>
          <cell r="ES140">
            <v>0.981</v>
          </cell>
          <cell r="ET140">
            <v>0.969</v>
          </cell>
          <cell r="EU140">
            <v>0.952</v>
          </cell>
          <cell r="EV140">
            <v>0.919</v>
          </cell>
          <cell r="EW140">
            <v>0.874</v>
          </cell>
          <cell r="EX140">
            <v>0.797</v>
          </cell>
          <cell r="EY140">
            <v>0.699</v>
          </cell>
          <cell r="EZ140">
            <v>0.582</v>
          </cell>
          <cell r="FA140">
            <v>0.44</v>
          </cell>
          <cell r="FB140">
            <v>0.34</v>
          </cell>
          <cell r="FC140">
            <v>0.238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0.997</v>
          </cell>
          <cell r="FQ140">
            <v>0.996</v>
          </cell>
          <cell r="FR140">
            <v>0.996</v>
          </cell>
          <cell r="FS140">
            <v>0.996</v>
          </cell>
          <cell r="FT140">
            <v>0.996</v>
          </cell>
          <cell r="FU140">
            <v>0.996</v>
          </cell>
          <cell r="FV140">
            <v>0.996</v>
          </cell>
          <cell r="FW140">
            <v>0.995</v>
          </cell>
          <cell r="FX140">
            <v>0.993</v>
          </cell>
          <cell r="FY140">
            <v>0.99</v>
          </cell>
          <cell r="FZ140">
            <v>0.986</v>
          </cell>
          <cell r="GA140">
            <v>0.981</v>
          </cell>
          <cell r="GB140">
            <v>0.972</v>
          </cell>
          <cell r="GC140">
            <v>0.958</v>
          </cell>
          <cell r="GD140">
            <v>0.935</v>
          </cell>
          <cell r="GE140">
            <v>0.898</v>
          </cell>
          <cell r="GF140">
            <v>0.837</v>
          </cell>
          <cell r="GG140">
            <v>0.748</v>
          </cell>
          <cell r="GH140">
            <v>0.621</v>
          </cell>
          <cell r="GI140">
            <v>0.47</v>
          </cell>
          <cell r="GJ140">
            <v>0.322</v>
          </cell>
          <cell r="GK140">
            <v>0.179</v>
          </cell>
          <cell r="GL140">
            <v>0.105</v>
          </cell>
          <cell r="GM140">
            <v>0.051</v>
          </cell>
          <cell r="GN140">
            <v>0</v>
          </cell>
        </row>
        <row r="141">
          <cell r="B141" t="str">
            <v>D-ZLaF52</v>
          </cell>
          <cell r="C141">
            <v>806407</v>
          </cell>
          <cell r="D141">
            <v>40.73</v>
          </cell>
          <cell r="E141">
            <v>40.48</v>
          </cell>
          <cell r="F141">
            <v>0.019791</v>
          </cell>
          <cell r="G141">
            <v>0.020031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1.79695</v>
          </cell>
          <cell r="P141">
            <v>1.80022</v>
          </cell>
          <cell r="Q141">
            <v>1.80115</v>
          </cell>
          <cell r="R141">
            <v>1.80202</v>
          </cell>
          <cell r="S141">
            <v>1.80593</v>
          </cell>
          <cell r="T141">
            <v>1.8061</v>
          </cell>
          <cell r="U141">
            <v>1.8108</v>
          </cell>
          <cell r="V141">
            <v>1.82002</v>
          </cell>
          <cell r="W141">
            <v>1.82118</v>
          </cell>
          <cell r="X141">
            <v>1.83128</v>
          </cell>
          <cell r="Y141">
            <v>1.8409</v>
          </cell>
          <cell r="Z141">
            <v>1.85794</v>
          </cell>
          <cell r="AA141">
            <v>3.173794</v>
          </cell>
          <cell r="AB141">
            <v>-0.014986582</v>
          </cell>
          <cell r="AC141">
            <v>0.02906741</v>
          </cell>
          <cell r="AD141">
            <v>0.001204829</v>
          </cell>
          <cell r="AE141">
            <v>-5.3551579e-5</v>
          </cell>
          <cell r="AF141">
            <v>5.273502e-6</v>
          </cell>
          <cell r="AG141">
            <v>0.296969696969702</v>
          </cell>
          <cell r="AH141">
            <v>0.237373737373733</v>
          </cell>
          <cell r="AI141">
            <v>0.56868686868687</v>
          </cell>
          <cell r="AJ141">
            <v>0.247129306040939</v>
          </cell>
          <cell r="AK141">
            <v>0.234648027958059</v>
          </cell>
          <cell r="AL141">
            <v>0.504243634548178</v>
          </cell>
          <cell r="AM141">
            <v>-0.00206047434343498</v>
          </cell>
          <cell r="AN141">
            <v>-0.00726060131313006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541</v>
          </cell>
          <cell r="DB141">
            <v>586</v>
          </cell>
          <cell r="DC141">
            <v>525</v>
          </cell>
          <cell r="DD141">
            <v>538</v>
          </cell>
          <cell r="DE141">
            <v>0</v>
          </cell>
          <cell r="DF141">
            <v>59</v>
          </cell>
          <cell r="DG141">
            <v>69</v>
          </cell>
          <cell r="DH141">
            <v>0</v>
          </cell>
          <cell r="DI141">
            <v>0</v>
          </cell>
          <cell r="DJ141">
            <v>0</v>
          </cell>
          <cell r="DK141">
            <v>650</v>
          </cell>
          <cell r="DL141">
            <v>0</v>
          </cell>
          <cell r="DM141">
            <v>11521</v>
          </cell>
          <cell r="DN141">
            <v>4421</v>
          </cell>
          <cell r="DO141">
            <v>0.303</v>
          </cell>
          <cell r="DP141">
            <v>0</v>
          </cell>
          <cell r="DQ141" t="str">
            <v>390/340</v>
          </cell>
          <cell r="DR141">
            <v>0</v>
          </cell>
          <cell r="DS141">
            <v>0</v>
          </cell>
          <cell r="DT141">
            <v>4.47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0.999</v>
          </cell>
          <cell r="EG141">
            <v>0.999</v>
          </cell>
          <cell r="EH141">
            <v>0.999</v>
          </cell>
          <cell r="EI141">
            <v>0.998</v>
          </cell>
          <cell r="EJ141">
            <v>0.998</v>
          </cell>
          <cell r="EK141">
            <v>0.998</v>
          </cell>
          <cell r="EL141">
            <v>0.997</v>
          </cell>
          <cell r="EM141">
            <v>0.997</v>
          </cell>
          <cell r="EN141">
            <v>0.997</v>
          </cell>
          <cell r="EO141">
            <v>0.997</v>
          </cell>
          <cell r="EP141">
            <v>0.996</v>
          </cell>
          <cell r="EQ141">
            <v>0.995</v>
          </cell>
          <cell r="ER141">
            <v>0.992</v>
          </cell>
          <cell r="ES141">
            <v>0.986</v>
          </cell>
          <cell r="ET141">
            <v>0.978</v>
          </cell>
          <cell r="EU141">
            <v>0.96</v>
          </cell>
          <cell r="EV141">
            <v>0.926</v>
          </cell>
          <cell r="EW141">
            <v>0.853</v>
          </cell>
          <cell r="EX141">
            <v>0.671</v>
          </cell>
          <cell r="EY141">
            <v>0.381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0.998</v>
          </cell>
          <cell r="FQ141">
            <v>0.998</v>
          </cell>
          <cell r="FR141">
            <v>0.998</v>
          </cell>
          <cell r="FS141">
            <v>0.997</v>
          </cell>
          <cell r="FT141">
            <v>0.997</v>
          </cell>
          <cell r="FU141">
            <v>0.997</v>
          </cell>
          <cell r="FV141">
            <v>0.996</v>
          </cell>
          <cell r="FW141">
            <v>0.995</v>
          </cell>
          <cell r="FX141">
            <v>0.994</v>
          </cell>
          <cell r="FY141">
            <v>0.991</v>
          </cell>
          <cell r="FZ141">
            <v>0.99</v>
          </cell>
          <cell r="GA141">
            <v>0.984</v>
          </cell>
          <cell r="GB141">
            <v>0.972</v>
          </cell>
          <cell r="GC141">
            <v>0.956</v>
          </cell>
          <cell r="GD141">
            <v>0.925</v>
          </cell>
          <cell r="GE141">
            <v>0.861</v>
          </cell>
          <cell r="GF141">
            <v>0.726</v>
          </cell>
          <cell r="GG141">
            <v>0.45</v>
          </cell>
          <cell r="GH141">
            <v>0.142</v>
          </cell>
          <cell r="GI141">
            <v>0.086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</row>
        <row r="142">
          <cell r="B142" t="str">
            <v>D-ZLaF52N</v>
          </cell>
          <cell r="C142">
            <v>810410</v>
          </cell>
          <cell r="D142">
            <v>41</v>
          </cell>
          <cell r="E142">
            <v>40.8</v>
          </cell>
          <cell r="F142">
            <v>0.019758</v>
          </cell>
          <cell r="G142">
            <v>0.01997</v>
          </cell>
          <cell r="H142">
            <v>1.76475</v>
          </cell>
          <cell r="I142">
            <v>1.77159</v>
          </cell>
          <cell r="J142">
            <v>1.7793</v>
          </cell>
          <cell r="K142">
            <v>1.78671</v>
          </cell>
          <cell r="L142">
            <v>1.78935</v>
          </cell>
          <cell r="M142">
            <v>1.79418</v>
          </cell>
          <cell r="N142">
            <v>1.79762</v>
          </cell>
          <cell r="O142">
            <v>1.80084</v>
          </cell>
          <cell r="P142">
            <v>1.80411</v>
          </cell>
          <cell r="Q142">
            <v>1.80505</v>
          </cell>
          <cell r="R142">
            <v>1.8059</v>
          </cell>
          <cell r="S142">
            <v>1.80982</v>
          </cell>
          <cell r="T142">
            <v>1.81</v>
          </cell>
          <cell r="U142">
            <v>1.81469</v>
          </cell>
          <cell r="V142">
            <v>1.82387</v>
          </cell>
          <cell r="W142">
            <v>1.82502</v>
          </cell>
          <cell r="X142">
            <v>1.8351</v>
          </cell>
          <cell r="Y142">
            <v>1.84468</v>
          </cell>
          <cell r="Z142">
            <v>1.8616</v>
          </cell>
          <cell r="AA142">
            <v>3.18672429</v>
          </cell>
          <cell r="AB142">
            <v>-0.0144072176</v>
          </cell>
          <cell r="AC142">
            <v>0.0297071899</v>
          </cell>
          <cell r="AD142">
            <v>0.00105262089</v>
          </cell>
          <cell r="AE142">
            <v>-3.65252342e-5</v>
          </cell>
          <cell r="AF142">
            <v>4.38797159e-6</v>
          </cell>
          <cell r="AG142">
            <v>0.298076923076921</v>
          </cell>
          <cell r="AH142">
            <v>0.237348178137645</v>
          </cell>
          <cell r="AI142">
            <v>0.568319838056673</v>
          </cell>
          <cell r="AJ142">
            <v>0.247871807711567</v>
          </cell>
          <cell r="AK142">
            <v>0.234852278417619</v>
          </cell>
          <cell r="AL142">
            <v>0.504757135703548</v>
          </cell>
          <cell r="AM142">
            <v>-0.00299310121456541</v>
          </cell>
          <cell r="AN142">
            <v>-0.00717916194332732</v>
          </cell>
          <cell r="AO142">
            <v>0.00817756275304188</v>
          </cell>
          <cell r="AP142">
            <v>0.00373036437246937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1</v>
          </cell>
          <cell r="CT142">
            <v>3</v>
          </cell>
          <cell r="CU142">
            <v>1</v>
          </cell>
          <cell r="CV142">
            <v>3</v>
          </cell>
          <cell r="CW142">
            <v>1</v>
          </cell>
          <cell r="CX142">
            <v>2</v>
          </cell>
          <cell r="CY142">
            <v>0</v>
          </cell>
          <cell r="CZ142">
            <v>0</v>
          </cell>
          <cell r="DA142">
            <v>537</v>
          </cell>
          <cell r="DB142">
            <v>577</v>
          </cell>
          <cell r="DC142">
            <v>510</v>
          </cell>
          <cell r="DD142">
            <v>529</v>
          </cell>
          <cell r="DE142">
            <v>60</v>
          </cell>
          <cell r="DF142">
            <v>0</v>
          </cell>
          <cell r="DG142">
            <v>79</v>
          </cell>
          <cell r="DH142">
            <v>0</v>
          </cell>
          <cell r="DI142">
            <v>140</v>
          </cell>
          <cell r="DJ142">
            <v>0</v>
          </cell>
          <cell r="DK142">
            <v>625</v>
          </cell>
          <cell r="DL142">
            <v>91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 t="str">
            <v>395/330</v>
          </cell>
          <cell r="DR142">
            <v>360</v>
          </cell>
          <cell r="DS142">
            <v>327</v>
          </cell>
          <cell r="DT142">
            <v>4.47</v>
          </cell>
          <cell r="DU142">
            <v>0.85</v>
          </cell>
          <cell r="DV142">
            <v>0.956</v>
          </cell>
          <cell r="DW142">
            <v>0.975</v>
          </cell>
          <cell r="DX142">
            <v>0.988</v>
          </cell>
          <cell r="DY142">
            <v>0.999</v>
          </cell>
          <cell r="DZ142">
            <v>0.999</v>
          </cell>
          <cell r="EA142">
            <v>0.999</v>
          </cell>
          <cell r="EB142">
            <v>0.999</v>
          </cell>
          <cell r="EC142">
            <v>0.999</v>
          </cell>
          <cell r="ED142">
            <v>0.999</v>
          </cell>
          <cell r="EE142">
            <v>0.999</v>
          </cell>
          <cell r="EF142">
            <v>0.999</v>
          </cell>
          <cell r="EG142">
            <v>0.999</v>
          </cell>
          <cell r="EH142">
            <v>0.999</v>
          </cell>
          <cell r="EI142">
            <v>0.999</v>
          </cell>
          <cell r="EJ142">
            <v>0.999</v>
          </cell>
          <cell r="EK142">
            <v>0.999</v>
          </cell>
          <cell r="EL142">
            <v>0.999</v>
          </cell>
          <cell r="EM142">
            <v>0.998</v>
          </cell>
          <cell r="EN142">
            <v>0.996</v>
          </cell>
          <cell r="EO142">
            <v>0.994</v>
          </cell>
          <cell r="EP142">
            <v>0.992</v>
          </cell>
          <cell r="EQ142">
            <v>0.99</v>
          </cell>
          <cell r="ER142">
            <v>0.982</v>
          </cell>
          <cell r="ES142">
            <v>0.975</v>
          </cell>
          <cell r="ET142">
            <v>0.963</v>
          </cell>
          <cell r="EU142">
            <v>0.94</v>
          </cell>
          <cell r="EV142">
            <v>0.894</v>
          </cell>
          <cell r="EW142">
            <v>0.816</v>
          </cell>
          <cell r="EX142">
            <v>0.646</v>
          </cell>
          <cell r="EY142">
            <v>0.32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0.723</v>
          </cell>
          <cell r="FF142">
            <v>0.914</v>
          </cell>
          <cell r="FG142">
            <v>0.951</v>
          </cell>
          <cell r="FH142">
            <v>0.976</v>
          </cell>
          <cell r="FI142">
            <v>0.998</v>
          </cell>
          <cell r="FJ142">
            <v>0.998</v>
          </cell>
          <cell r="FK142">
            <v>0.998</v>
          </cell>
          <cell r="FL142">
            <v>0.998</v>
          </cell>
          <cell r="FM142">
            <v>0.998</v>
          </cell>
          <cell r="FN142">
            <v>0.998</v>
          </cell>
          <cell r="FO142">
            <v>0.998</v>
          </cell>
          <cell r="FP142">
            <v>0.998</v>
          </cell>
          <cell r="FQ142">
            <v>0.998</v>
          </cell>
          <cell r="FR142">
            <v>0.998</v>
          </cell>
          <cell r="FS142">
            <v>0.998</v>
          </cell>
          <cell r="FT142">
            <v>0.998</v>
          </cell>
          <cell r="FU142">
            <v>0.997</v>
          </cell>
          <cell r="FV142">
            <v>0.997</v>
          </cell>
          <cell r="FW142">
            <v>0.996</v>
          </cell>
          <cell r="FX142">
            <v>0.996</v>
          </cell>
          <cell r="FY142">
            <v>0.993</v>
          </cell>
          <cell r="FZ142">
            <v>0.988</v>
          </cell>
          <cell r="GA142">
            <v>0.974</v>
          </cell>
          <cell r="GB142">
            <v>0.959</v>
          </cell>
          <cell r="GC142">
            <v>0.944</v>
          </cell>
          <cell r="GD142">
            <v>0.919</v>
          </cell>
          <cell r="GE142">
            <v>0.876</v>
          </cell>
          <cell r="GF142">
            <v>0.795</v>
          </cell>
          <cell r="GG142">
            <v>0.662</v>
          </cell>
          <cell r="GH142">
            <v>0.415</v>
          </cell>
          <cell r="GI142">
            <v>0.103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</row>
        <row r="143">
          <cell r="B143" t="str">
            <v>D-ZLaF53</v>
          </cell>
          <cell r="C143">
            <v>834373</v>
          </cell>
          <cell r="D143">
            <v>37.28</v>
          </cell>
          <cell r="E143">
            <v>37.04</v>
          </cell>
          <cell r="F143">
            <v>0.02238</v>
          </cell>
          <cell r="G143">
            <v>0.022672</v>
          </cell>
          <cell r="H143">
            <v>0</v>
          </cell>
          <cell r="I143">
            <v>0</v>
          </cell>
          <cell r="J143">
            <v>0</v>
          </cell>
          <cell r="K143">
            <v>1.80858</v>
          </cell>
          <cell r="L143">
            <v>1.81147</v>
          </cell>
          <cell r="M143">
            <v>1.81678</v>
          </cell>
          <cell r="N143">
            <v>1.82058</v>
          </cell>
          <cell r="O143">
            <v>1.82416</v>
          </cell>
          <cell r="P143">
            <v>1.82781</v>
          </cell>
          <cell r="Q143">
            <v>1.82884</v>
          </cell>
          <cell r="R143">
            <v>1.82982</v>
          </cell>
          <cell r="S143">
            <v>1.83421</v>
          </cell>
          <cell r="T143">
            <v>1.83441</v>
          </cell>
          <cell r="U143">
            <v>1.83972</v>
          </cell>
          <cell r="V143">
            <v>1.85019</v>
          </cell>
          <cell r="W143">
            <v>1.85152</v>
          </cell>
          <cell r="X143">
            <v>1.86307</v>
          </cell>
          <cell r="Y143">
            <v>1.87419</v>
          </cell>
          <cell r="Z143">
            <v>1.89422</v>
          </cell>
          <cell r="AA143">
            <v>3.26687258</v>
          </cell>
          <cell r="AB143">
            <v>-0.016626087</v>
          </cell>
          <cell r="AC143">
            <v>0.030490903</v>
          </cell>
          <cell r="AD143">
            <v>0.0022889763</v>
          </cell>
          <cell r="AE143">
            <v>-0.000190138874</v>
          </cell>
          <cell r="AF143">
            <v>1.44957977e-5</v>
          </cell>
          <cell r="AG143">
            <v>0.294906166219846</v>
          </cell>
          <cell r="AH143">
            <v>0.237265415549594</v>
          </cell>
          <cell r="AI143">
            <v>0.57551385165326</v>
          </cell>
          <cell r="AJ143">
            <v>0.245590828924165</v>
          </cell>
          <cell r="AK143">
            <v>0.234126984126981</v>
          </cell>
          <cell r="AL143">
            <v>0.509259259259256</v>
          </cell>
          <cell r="AM143">
            <v>-0.00179302176943932</v>
          </cell>
          <cell r="AN143">
            <v>-0.00616406834673965</v>
          </cell>
          <cell r="AO143">
            <v>0.00935729515638836</v>
          </cell>
          <cell r="AP143">
            <v>0.00297875960678468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1</v>
          </cell>
          <cell r="CT143">
            <v>3</v>
          </cell>
          <cell r="CU143">
            <v>1</v>
          </cell>
          <cell r="CV143">
            <v>3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562</v>
          </cell>
          <cell r="DB143">
            <v>605</v>
          </cell>
          <cell r="DC143">
            <v>529</v>
          </cell>
          <cell r="DD143">
            <v>548</v>
          </cell>
          <cell r="DE143">
            <v>60</v>
          </cell>
          <cell r="DF143">
            <v>0</v>
          </cell>
          <cell r="DG143">
            <v>77</v>
          </cell>
          <cell r="DH143">
            <v>0</v>
          </cell>
          <cell r="DI143">
            <v>175</v>
          </cell>
          <cell r="DJ143">
            <v>0</v>
          </cell>
          <cell r="DK143">
            <v>671</v>
          </cell>
          <cell r="DL143">
            <v>83</v>
          </cell>
          <cell r="DM143">
            <v>11855</v>
          </cell>
          <cell r="DN143">
            <v>4556</v>
          </cell>
          <cell r="DO143">
            <v>0.301</v>
          </cell>
          <cell r="DP143">
            <v>0</v>
          </cell>
          <cell r="DQ143" t="str">
            <v>430/350</v>
          </cell>
          <cell r="DR143">
            <v>0</v>
          </cell>
          <cell r="DS143">
            <v>0</v>
          </cell>
          <cell r="DT143">
            <v>4.46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0.999</v>
          </cell>
          <cell r="EG143">
            <v>0.999</v>
          </cell>
          <cell r="EH143">
            <v>0.999</v>
          </cell>
          <cell r="EI143">
            <v>0.998</v>
          </cell>
          <cell r="EJ143">
            <v>0.998</v>
          </cell>
          <cell r="EK143">
            <v>0.998</v>
          </cell>
          <cell r="EL143">
            <v>0.997</v>
          </cell>
          <cell r="EM143">
            <v>0.997</v>
          </cell>
          <cell r="EN143">
            <v>0.997</v>
          </cell>
          <cell r="EO143">
            <v>0.997</v>
          </cell>
          <cell r="EP143">
            <v>0.996</v>
          </cell>
          <cell r="EQ143">
            <v>0.995</v>
          </cell>
          <cell r="ER143">
            <v>0.992</v>
          </cell>
          <cell r="ES143">
            <v>0.986</v>
          </cell>
          <cell r="ET143">
            <v>0.978</v>
          </cell>
          <cell r="EU143">
            <v>0.96</v>
          </cell>
          <cell r="EV143">
            <v>0.926</v>
          </cell>
          <cell r="EW143">
            <v>0.853</v>
          </cell>
          <cell r="EX143">
            <v>0.671</v>
          </cell>
          <cell r="EY143">
            <v>0.381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0.998</v>
          </cell>
          <cell r="FQ143">
            <v>0.998</v>
          </cell>
          <cell r="FR143">
            <v>0.998</v>
          </cell>
          <cell r="FS143">
            <v>0.997</v>
          </cell>
          <cell r="FT143">
            <v>0.997</v>
          </cell>
          <cell r="FU143">
            <v>0.997</v>
          </cell>
          <cell r="FV143">
            <v>0.996</v>
          </cell>
          <cell r="FW143">
            <v>0.995</v>
          </cell>
          <cell r="FX143">
            <v>0.994</v>
          </cell>
          <cell r="FY143">
            <v>0.991</v>
          </cell>
          <cell r="FZ143">
            <v>0.99</v>
          </cell>
          <cell r="GA143">
            <v>0.984</v>
          </cell>
          <cell r="GB143">
            <v>0.972</v>
          </cell>
          <cell r="GC143">
            <v>0.956</v>
          </cell>
          <cell r="GD143">
            <v>0.925</v>
          </cell>
          <cell r="GE143">
            <v>0.861</v>
          </cell>
          <cell r="GF143">
            <v>0.726</v>
          </cell>
          <cell r="GG143">
            <v>0.45</v>
          </cell>
          <cell r="GH143">
            <v>0.142</v>
          </cell>
          <cell r="GI143">
            <v>0.086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</row>
        <row r="144">
          <cell r="B144" t="str">
            <v>D-ZLaF814</v>
          </cell>
          <cell r="C144">
            <v>815370</v>
          </cell>
          <cell r="D144">
            <v>37.03</v>
          </cell>
          <cell r="E144">
            <v>36.78</v>
          </cell>
          <cell r="F144">
            <v>0.022004</v>
          </cell>
          <cell r="G144">
            <v>0.022294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1.80464</v>
          </cell>
          <cell r="P144">
            <v>1.80825</v>
          </cell>
          <cell r="Q144">
            <v>1.80927</v>
          </cell>
          <cell r="R144">
            <v>1.81023</v>
          </cell>
          <cell r="S144">
            <v>1.81455</v>
          </cell>
          <cell r="T144">
            <v>1.81474</v>
          </cell>
          <cell r="U144">
            <v>1.81995</v>
          </cell>
          <cell r="V144">
            <v>1.83025</v>
          </cell>
          <cell r="W144">
            <v>1.83156</v>
          </cell>
          <cell r="X144">
            <v>1.84305</v>
          </cell>
          <cell r="Y144">
            <v>1.85417</v>
          </cell>
          <cell r="Z144">
            <v>1.87422</v>
          </cell>
          <cell r="AA144">
            <v>3.188026</v>
          </cell>
          <cell r="AB144">
            <v>-0.01217842</v>
          </cell>
          <cell r="AC144">
            <v>0.03719308</v>
          </cell>
          <cell r="AD144">
            <v>-0.0002817531</v>
          </cell>
          <cell r="AE144">
            <v>0.000180448</v>
          </cell>
          <cell r="AF144">
            <v>-4.182909e-6</v>
          </cell>
          <cell r="AG144">
            <v>0.295000000000005</v>
          </cell>
          <cell r="AH144">
            <v>0.236818181818179</v>
          </cell>
          <cell r="AI144">
            <v>0.581818181818188</v>
          </cell>
          <cell r="AJ144">
            <v>0.245401525347692</v>
          </cell>
          <cell r="AK144">
            <v>0.233737101839386</v>
          </cell>
          <cell r="AL144">
            <v>0.515477792732164</v>
          </cell>
          <cell r="AM144">
            <v>-0.00157762181818338</v>
          </cell>
          <cell r="AN144">
            <v>-0.000274988181812055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1</v>
          </cell>
          <cell r="CV144">
            <v>4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538</v>
          </cell>
          <cell r="DB144">
            <v>578</v>
          </cell>
          <cell r="DC144">
            <v>502</v>
          </cell>
          <cell r="DD144">
            <v>525</v>
          </cell>
          <cell r="DE144">
            <v>0</v>
          </cell>
          <cell r="DF144">
            <v>62</v>
          </cell>
          <cell r="DG144">
            <v>80</v>
          </cell>
          <cell r="DH144">
            <v>0</v>
          </cell>
          <cell r="DI144">
            <v>0</v>
          </cell>
          <cell r="DJ144">
            <v>0</v>
          </cell>
          <cell r="DK144">
            <v>620</v>
          </cell>
          <cell r="DL144">
            <v>0</v>
          </cell>
          <cell r="DM144">
            <v>11530</v>
          </cell>
          <cell r="DN144">
            <v>4469</v>
          </cell>
          <cell r="DO144">
            <v>0.29</v>
          </cell>
          <cell r="DP144">
            <v>1.95</v>
          </cell>
          <cell r="DQ144" t="str">
            <v>420/350</v>
          </cell>
          <cell r="DR144">
            <v>0</v>
          </cell>
          <cell r="DS144">
            <v>0</v>
          </cell>
          <cell r="DT144">
            <v>4.22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0.999</v>
          </cell>
          <cell r="EG144">
            <v>0.999</v>
          </cell>
          <cell r="EH144">
            <v>0.999</v>
          </cell>
          <cell r="EI144">
            <v>0.999</v>
          </cell>
          <cell r="EJ144">
            <v>0.999</v>
          </cell>
          <cell r="EK144">
            <v>0.998</v>
          </cell>
          <cell r="EL144">
            <v>0.998</v>
          </cell>
          <cell r="EM144">
            <v>0.997</v>
          </cell>
          <cell r="EN144">
            <v>0.995</v>
          </cell>
          <cell r="EO144">
            <v>0.993</v>
          </cell>
          <cell r="EP144">
            <v>0.99</v>
          </cell>
          <cell r="EQ144">
            <v>0.985</v>
          </cell>
          <cell r="ER144">
            <v>0.97</v>
          </cell>
          <cell r="ES144">
            <v>0.95</v>
          </cell>
          <cell r="ET144">
            <v>0.9</v>
          </cell>
          <cell r="EU144">
            <v>0.8</v>
          </cell>
          <cell r="EV144">
            <v>0.57</v>
          </cell>
          <cell r="EW144">
            <v>0.21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0.998</v>
          </cell>
          <cell r="FQ144">
            <v>0.998</v>
          </cell>
          <cell r="FR144">
            <v>0.998</v>
          </cell>
          <cell r="FS144">
            <v>0.998</v>
          </cell>
          <cell r="FT144">
            <v>0.997</v>
          </cell>
          <cell r="FU144">
            <v>0.997</v>
          </cell>
          <cell r="FV144">
            <v>0.997</v>
          </cell>
          <cell r="FW144">
            <v>0.994</v>
          </cell>
          <cell r="FX144">
            <v>0.991</v>
          </cell>
          <cell r="FY144">
            <v>0.987</v>
          </cell>
          <cell r="FZ144">
            <v>0.981</v>
          </cell>
          <cell r="GA144">
            <v>0.97</v>
          </cell>
          <cell r="GB144">
            <v>0.94</v>
          </cell>
          <cell r="GC144">
            <v>0.9</v>
          </cell>
          <cell r="GD144">
            <v>0.81</v>
          </cell>
          <cell r="GE144">
            <v>0.63</v>
          </cell>
          <cell r="GF144">
            <v>0.33</v>
          </cell>
          <cell r="GG144">
            <v>0.05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</row>
        <row r="145">
          <cell r="B145" t="str">
            <v>D-ZLaF851</v>
          </cell>
          <cell r="C145">
            <v>851401</v>
          </cell>
          <cell r="D145">
            <v>40.1</v>
          </cell>
          <cell r="E145">
            <v>39.85</v>
          </cell>
          <cell r="F145">
            <v>0.021229</v>
          </cell>
          <cell r="G145">
            <v>0.021488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1.84155</v>
          </cell>
          <cell r="P145">
            <v>1.84505</v>
          </cell>
          <cell r="Q145">
            <v>1.84604</v>
          </cell>
          <cell r="R145">
            <v>1.84697</v>
          </cell>
          <cell r="S145">
            <v>1.85116</v>
          </cell>
          <cell r="T145">
            <v>1.85135</v>
          </cell>
          <cell r="U145">
            <v>1.85639</v>
          </cell>
          <cell r="V145">
            <v>1.86628</v>
          </cell>
          <cell r="W145">
            <v>1.86753</v>
          </cell>
          <cell r="X145">
            <v>1.87837</v>
          </cell>
          <cell r="Y145">
            <v>1.88868</v>
          </cell>
          <cell r="Z145">
            <v>1.90691</v>
          </cell>
          <cell r="AA145">
            <v>3.327184</v>
          </cell>
          <cell r="AB145">
            <v>-0.01343242</v>
          </cell>
          <cell r="AC145">
            <v>0.033398</v>
          </cell>
          <cell r="AD145">
            <v>0.001006047</v>
          </cell>
          <cell r="AE145">
            <v>-2.136908e-5</v>
          </cell>
          <cell r="AF145">
            <v>3.972561e-6</v>
          </cell>
          <cell r="AG145">
            <v>0.296749882242111</v>
          </cell>
          <cell r="AH145">
            <v>0.237399905793687</v>
          </cell>
          <cell r="AI145">
            <v>0.569477154969394</v>
          </cell>
          <cell r="AJ145">
            <v>0.247091670544446</v>
          </cell>
          <cell r="AK145">
            <v>0.234527687296414</v>
          </cell>
          <cell r="AL145">
            <v>0.504420660772461</v>
          </cell>
          <cell r="AM145">
            <v>-0.00221458803579751</v>
          </cell>
          <cell r="AN145">
            <v>-0.00751674503060584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1</v>
          </cell>
          <cell r="CV145">
            <v>3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600</v>
          </cell>
          <cell r="DB145">
            <v>651</v>
          </cell>
          <cell r="DC145">
            <v>568</v>
          </cell>
          <cell r="DD145">
            <v>585</v>
          </cell>
          <cell r="DE145">
            <v>0</v>
          </cell>
          <cell r="DF145">
            <v>66</v>
          </cell>
          <cell r="DG145">
            <v>77</v>
          </cell>
          <cell r="DH145">
            <v>0</v>
          </cell>
          <cell r="DI145">
            <v>0</v>
          </cell>
          <cell r="DJ145">
            <v>0</v>
          </cell>
          <cell r="DK145">
            <v>634</v>
          </cell>
          <cell r="DL145">
            <v>0</v>
          </cell>
          <cell r="DM145">
            <v>10922</v>
          </cell>
          <cell r="DN145">
            <v>4204</v>
          </cell>
          <cell r="DO145">
            <v>0.299</v>
          </cell>
          <cell r="DP145">
            <v>0</v>
          </cell>
          <cell r="DQ145" t="str">
            <v>380/340</v>
          </cell>
          <cell r="DR145">
            <v>0</v>
          </cell>
          <cell r="DS145">
            <v>0</v>
          </cell>
          <cell r="DT145">
            <v>4.82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0.999</v>
          </cell>
          <cell r="EG145">
            <v>0.999</v>
          </cell>
          <cell r="EH145">
            <v>0.999</v>
          </cell>
          <cell r="EI145">
            <v>0.999</v>
          </cell>
          <cell r="EJ145">
            <v>0.999</v>
          </cell>
          <cell r="EK145">
            <v>0.999</v>
          </cell>
          <cell r="EL145">
            <v>0.998</v>
          </cell>
          <cell r="EM145">
            <v>0.998</v>
          </cell>
          <cell r="EN145">
            <v>0.998</v>
          </cell>
          <cell r="EO145">
            <v>0.997</v>
          </cell>
          <cell r="EP145">
            <v>0.997</v>
          </cell>
          <cell r="EQ145">
            <v>0.992</v>
          </cell>
          <cell r="ER145">
            <v>0.991</v>
          </cell>
          <cell r="ES145">
            <v>0.984</v>
          </cell>
          <cell r="ET145">
            <v>0.98</v>
          </cell>
          <cell r="EU145">
            <v>0.97</v>
          </cell>
          <cell r="EV145">
            <v>0.95</v>
          </cell>
          <cell r="EW145">
            <v>0.926</v>
          </cell>
          <cell r="EX145">
            <v>0.882</v>
          </cell>
          <cell r="EY145">
            <v>0.804</v>
          </cell>
          <cell r="EZ145">
            <v>0.666</v>
          </cell>
          <cell r="FA145">
            <v>0.403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0.999</v>
          </cell>
          <cell r="FQ145">
            <v>0.999</v>
          </cell>
          <cell r="FR145">
            <v>0.999</v>
          </cell>
          <cell r="FS145">
            <v>0.998</v>
          </cell>
          <cell r="FT145">
            <v>0.998</v>
          </cell>
          <cell r="FU145">
            <v>0.998</v>
          </cell>
          <cell r="FV145">
            <v>0.997</v>
          </cell>
          <cell r="FW145">
            <v>0.996</v>
          </cell>
          <cell r="FX145">
            <v>0.995</v>
          </cell>
          <cell r="FY145">
            <v>0.993</v>
          </cell>
          <cell r="FZ145">
            <v>0.993</v>
          </cell>
          <cell r="GA145">
            <v>0.984</v>
          </cell>
          <cell r="GB145">
            <v>0.98</v>
          </cell>
          <cell r="GC145">
            <v>0.97</v>
          </cell>
          <cell r="GD145">
            <v>0.961</v>
          </cell>
          <cell r="GE145">
            <v>0.942</v>
          </cell>
          <cell r="GF145">
            <v>0.9</v>
          </cell>
          <cell r="GG145">
            <v>0.855</v>
          </cell>
          <cell r="GH145">
            <v>0.781</v>
          </cell>
          <cell r="GI145">
            <v>0.65</v>
          </cell>
          <cell r="GJ145">
            <v>0.443</v>
          </cell>
          <cell r="GK145">
            <v>0.163</v>
          </cell>
          <cell r="GL145">
            <v>0</v>
          </cell>
          <cell r="GM145">
            <v>0</v>
          </cell>
          <cell r="GN145">
            <v>0</v>
          </cell>
        </row>
        <row r="146">
          <cell r="B146">
            <v>0</v>
          </cell>
        </row>
        <row r="146"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</row>
        <row r="146">
          <cell r="EA146">
            <v>0</v>
          </cell>
          <cell r="EB146">
            <v>0</v>
          </cell>
        </row>
        <row r="147">
          <cell r="B147">
            <v>0</v>
          </cell>
        </row>
        <row r="147"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</row>
        <row r="147">
          <cell r="EA147">
            <v>0</v>
          </cell>
          <cell r="EB147">
            <v>0</v>
          </cell>
        </row>
        <row r="148">
          <cell r="B148">
            <v>0</v>
          </cell>
        </row>
        <row r="148"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</row>
        <row r="148">
          <cell r="EA148">
            <v>0</v>
          </cell>
          <cell r="EB148">
            <v>0</v>
          </cell>
        </row>
        <row r="149">
          <cell r="B149">
            <v>0</v>
          </cell>
        </row>
        <row r="149"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</row>
        <row r="149">
          <cell r="EA149">
            <v>0</v>
          </cell>
          <cell r="EB149">
            <v>0</v>
          </cell>
        </row>
        <row r="150">
          <cell r="B150">
            <v>0</v>
          </cell>
        </row>
        <row r="150"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</row>
        <row r="150">
          <cell r="DX150">
            <v>0</v>
          </cell>
        </row>
        <row r="150">
          <cell r="EA150">
            <v>0</v>
          </cell>
          <cell r="EB150">
            <v>0</v>
          </cell>
        </row>
        <row r="151">
          <cell r="B151">
            <v>0</v>
          </cell>
        </row>
        <row r="151"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</row>
        <row r="151">
          <cell r="DX151">
            <v>0</v>
          </cell>
        </row>
        <row r="151">
          <cell r="EA151">
            <v>0</v>
          </cell>
          <cell r="EB151">
            <v>0</v>
          </cell>
        </row>
        <row r="152">
          <cell r="B152">
            <v>0</v>
          </cell>
        </row>
        <row r="152"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</row>
        <row r="152">
          <cell r="DX152">
            <v>0</v>
          </cell>
        </row>
        <row r="152">
          <cell r="EA152">
            <v>0</v>
          </cell>
          <cell r="EB152">
            <v>0</v>
          </cell>
        </row>
        <row r="153">
          <cell r="B153">
            <v>0</v>
          </cell>
        </row>
        <row r="153"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</row>
        <row r="153">
          <cell r="DX153">
            <v>0</v>
          </cell>
        </row>
        <row r="153">
          <cell r="EA153">
            <v>0</v>
          </cell>
          <cell r="EB153">
            <v>0</v>
          </cell>
        </row>
        <row r="154">
          <cell r="B154">
            <v>0</v>
          </cell>
        </row>
        <row r="154"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</row>
        <row r="154">
          <cell r="DX154">
            <v>0</v>
          </cell>
        </row>
        <row r="154">
          <cell r="EA154">
            <v>0</v>
          </cell>
          <cell r="EB154">
            <v>0</v>
          </cell>
        </row>
        <row r="155">
          <cell r="B155">
            <v>0</v>
          </cell>
        </row>
        <row r="155"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</row>
        <row r="155">
          <cell r="DX155">
            <v>0</v>
          </cell>
        </row>
        <row r="155">
          <cell r="EA155">
            <v>0</v>
          </cell>
          <cell r="EB155">
            <v>0</v>
          </cell>
        </row>
        <row r="156">
          <cell r="B156">
            <v>0</v>
          </cell>
        </row>
        <row r="156"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</row>
        <row r="156">
          <cell r="DX156">
            <v>0</v>
          </cell>
        </row>
        <row r="156">
          <cell r="EA156">
            <v>0</v>
          </cell>
          <cell r="EB156">
            <v>0</v>
          </cell>
        </row>
        <row r="157">
          <cell r="B157">
            <v>0</v>
          </cell>
        </row>
        <row r="157"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</row>
        <row r="157">
          <cell r="DX157">
            <v>0</v>
          </cell>
        </row>
        <row r="157">
          <cell r="EA157">
            <v>0</v>
          </cell>
          <cell r="EB157">
            <v>0</v>
          </cell>
        </row>
        <row r="158">
          <cell r="B158">
            <v>0</v>
          </cell>
        </row>
        <row r="158"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</row>
        <row r="158">
          <cell r="DX158">
            <v>0</v>
          </cell>
        </row>
        <row r="158">
          <cell r="EA158">
            <v>0</v>
          </cell>
          <cell r="EB158">
            <v>0</v>
          </cell>
        </row>
        <row r="159">
          <cell r="B159">
            <v>0</v>
          </cell>
        </row>
        <row r="159"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</row>
        <row r="159">
          <cell r="DX159">
            <v>0</v>
          </cell>
        </row>
        <row r="159">
          <cell r="EA159">
            <v>0</v>
          </cell>
          <cell r="EB159">
            <v>0</v>
          </cell>
        </row>
        <row r="160">
          <cell r="B160">
            <v>0</v>
          </cell>
        </row>
        <row r="160"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</row>
        <row r="160">
          <cell r="DX160">
            <v>0</v>
          </cell>
        </row>
        <row r="160">
          <cell r="EA160">
            <v>0</v>
          </cell>
          <cell r="EB160">
            <v>0</v>
          </cell>
        </row>
        <row r="161">
          <cell r="B161">
            <v>0</v>
          </cell>
        </row>
        <row r="161"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</row>
        <row r="161">
          <cell r="DX161">
            <v>0</v>
          </cell>
        </row>
        <row r="161">
          <cell r="EA161">
            <v>0</v>
          </cell>
          <cell r="EB161">
            <v>0</v>
          </cell>
        </row>
        <row r="162">
          <cell r="B162">
            <v>0</v>
          </cell>
        </row>
        <row r="162"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</row>
        <row r="162">
          <cell r="DX162">
            <v>0</v>
          </cell>
        </row>
        <row r="162">
          <cell r="EA162">
            <v>0</v>
          </cell>
          <cell r="EB162">
            <v>0</v>
          </cell>
        </row>
        <row r="163">
          <cell r="B163">
            <v>0</v>
          </cell>
        </row>
        <row r="163"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</row>
        <row r="163">
          <cell r="DX163">
            <v>0</v>
          </cell>
        </row>
        <row r="163">
          <cell r="EA163">
            <v>0</v>
          </cell>
          <cell r="EB163">
            <v>0</v>
          </cell>
        </row>
        <row r="164">
          <cell r="B164">
            <v>0</v>
          </cell>
        </row>
        <row r="164"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</row>
        <row r="164">
          <cell r="DX164">
            <v>0</v>
          </cell>
        </row>
        <row r="164">
          <cell r="EA164">
            <v>0</v>
          </cell>
          <cell r="EB164">
            <v>0</v>
          </cell>
        </row>
        <row r="165">
          <cell r="B165">
            <v>0</v>
          </cell>
        </row>
        <row r="165"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</row>
        <row r="165">
          <cell r="DX165">
            <v>0</v>
          </cell>
        </row>
        <row r="165">
          <cell r="EA165">
            <v>0</v>
          </cell>
          <cell r="EB165">
            <v>0</v>
          </cell>
        </row>
        <row r="166">
          <cell r="B166">
            <v>0</v>
          </cell>
        </row>
        <row r="166"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</row>
        <row r="166">
          <cell r="DX166">
            <v>0</v>
          </cell>
        </row>
        <row r="166">
          <cell r="EA166">
            <v>0</v>
          </cell>
          <cell r="EB166">
            <v>0</v>
          </cell>
        </row>
        <row r="167">
          <cell r="B167">
            <v>0</v>
          </cell>
        </row>
        <row r="167"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</row>
        <row r="167">
          <cell r="DX167">
            <v>0</v>
          </cell>
        </row>
        <row r="167">
          <cell r="EA167">
            <v>0</v>
          </cell>
          <cell r="EB167">
            <v>0</v>
          </cell>
        </row>
        <row r="168">
          <cell r="B168">
            <v>0</v>
          </cell>
        </row>
        <row r="168"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</row>
        <row r="168">
          <cell r="DX168">
            <v>0</v>
          </cell>
        </row>
        <row r="168">
          <cell r="EA168">
            <v>0</v>
          </cell>
          <cell r="EB168">
            <v>0</v>
          </cell>
        </row>
        <row r="169">
          <cell r="B169">
            <v>0</v>
          </cell>
        </row>
        <row r="169"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</row>
        <row r="169">
          <cell r="DX169">
            <v>0</v>
          </cell>
        </row>
        <row r="169">
          <cell r="EA169">
            <v>0</v>
          </cell>
          <cell r="EB169">
            <v>0</v>
          </cell>
        </row>
        <row r="170">
          <cell r="B170">
            <v>0</v>
          </cell>
        </row>
        <row r="170"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</row>
        <row r="170">
          <cell r="DX170">
            <v>0</v>
          </cell>
        </row>
        <row r="170">
          <cell r="EA170">
            <v>0</v>
          </cell>
          <cell r="EB170">
            <v>0</v>
          </cell>
        </row>
        <row r="171">
          <cell r="B171">
            <v>0</v>
          </cell>
        </row>
        <row r="171"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</row>
        <row r="171">
          <cell r="DX171">
            <v>0</v>
          </cell>
        </row>
        <row r="171">
          <cell r="EA171">
            <v>0</v>
          </cell>
          <cell r="EB171">
            <v>0</v>
          </cell>
        </row>
        <row r="172">
          <cell r="B172">
            <v>0</v>
          </cell>
        </row>
        <row r="172"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</row>
        <row r="172">
          <cell r="DX172">
            <v>0</v>
          </cell>
        </row>
        <row r="172">
          <cell r="EA172">
            <v>0</v>
          </cell>
          <cell r="EB172">
            <v>0</v>
          </cell>
        </row>
        <row r="173">
          <cell r="B173">
            <v>0</v>
          </cell>
        </row>
        <row r="173"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</row>
        <row r="173">
          <cell r="DX173">
            <v>0</v>
          </cell>
        </row>
        <row r="174">
          <cell r="B174">
            <v>0</v>
          </cell>
        </row>
        <row r="174"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</row>
        <row r="174">
          <cell r="DX174">
            <v>0</v>
          </cell>
        </row>
        <row r="175">
          <cell r="B175">
            <v>0</v>
          </cell>
        </row>
        <row r="175"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</row>
        <row r="175">
          <cell r="DX175">
            <v>0</v>
          </cell>
        </row>
        <row r="176">
          <cell r="B176">
            <v>0</v>
          </cell>
        </row>
        <row r="176"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</row>
        <row r="176">
          <cell r="DX176">
            <v>0</v>
          </cell>
        </row>
        <row r="177">
          <cell r="B177">
            <v>0</v>
          </cell>
        </row>
        <row r="177"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</row>
        <row r="177">
          <cell r="DX177">
            <v>0</v>
          </cell>
        </row>
        <row r="178">
          <cell r="B178">
            <v>0</v>
          </cell>
        </row>
        <row r="178"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</row>
        <row r="178">
          <cell r="DX178">
            <v>0</v>
          </cell>
        </row>
        <row r="179">
          <cell r="B179">
            <v>0</v>
          </cell>
        </row>
        <row r="179"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</row>
        <row r="179">
          <cell r="DX179">
            <v>0</v>
          </cell>
        </row>
        <row r="180">
          <cell r="B180">
            <v>0</v>
          </cell>
        </row>
        <row r="180"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</row>
        <row r="180">
          <cell r="DX180">
            <v>0</v>
          </cell>
        </row>
        <row r="181">
          <cell r="B181">
            <v>0</v>
          </cell>
        </row>
        <row r="181"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</row>
        <row r="181">
          <cell r="DX181">
            <v>0</v>
          </cell>
        </row>
        <row r="182">
          <cell r="B182">
            <v>0</v>
          </cell>
        </row>
        <row r="182"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</row>
        <row r="182">
          <cell r="DX182">
            <v>0</v>
          </cell>
        </row>
        <row r="183">
          <cell r="B183">
            <v>0</v>
          </cell>
        </row>
        <row r="183"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</row>
        <row r="183">
          <cell r="DX183">
            <v>0</v>
          </cell>
        </row>
        <row r="184">
          <cell r="B184">
            <v>0</v>
          </cell>
        </row>
        <row r="184"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</row>
        <row r="184">
          <cell r="DX184">
            <v>0</v>
          </cell>
        </row>
        <row r="185">
          <cell r="B185">
            <v>0</v>
          </cell>
        </row>
        <row r="185"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</row>
        <row r="186">
          <cell r="B186">
            <v>0</v>
          </cell>
        </row>
        <row r="186"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</row>
        <row r="187">
          <cell r="B187">
            <v>0</v>
          </cell>
        </row>
        <row r="187"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</row>
        <row r="188">
          <cell r="B188">
            <v>0</v>
          </cell>
        </row>
        <row r="188"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</row>
        <row r="189">
          <cell r="B189">
            <v>0</v>
          </cell>
        </row>
        <row r="189"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</row>
        <row r="190">
          <cell r="B190">
            <v>0</v>
          </cell>
        </row>
        <row r="190"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</row>
        <row r="191">
          <cell r="B191">
            <v>0</v>
          </cell>
        </row>
        <row r="191"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</row>
        <row r="192">
          <cell r="B192">
            <v>0</v>
          </cell>
        </row>
        <row r="192"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</row>
        <row r="193">
          <cell r="B193">
            <v>0</v>
          </cell>
        </row>
        <row r="193"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</row>
        <row r="194">
          <cell r="B194">
            <v>0</v>
          </cell>
        </row>
        <row r="194"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</row>
        <row r="195">
          <cell r="B195">
            <v>0</v>
          </cell>
        </row>
        <row r="195"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</row>
        <row r="196">
          <cell r="B196">
            <v>0</v>
          </cell>
        </row>
        <row r="196"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</row>
        <row r="197">
          <cell r="B197">
            <v>0</v>
          </cell>
        </row>
        <row r="197"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</row>
        <row r="198">
          <cell r="B198">
            <v>0</v>
          </cell>
        </row>
        <row r="198"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</row>
        <row r="199">
          <cell r="B199">
            <v>0</v>
          </cell>
        </row>
        <row r="199"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</row>
        <row r="200">
          <cell r="B200">
            <v>0</v>
          </cell>
        </row>
        <row r="200"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</row>
        <row r="201">
          <cell r="B201">
            <v>0</v>
          </cell>
        </row>
        <row r="201"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</row>
        <row r="202">
          <cell r="B202">
            <v>0</v>
          </cell>
        </row>
        <row r="202"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</row>
        <row r="203">
          <cell r="B203">
            <v>0</v>
          </cell>
        </row>
        <row r="203"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</row>
        <row r="204">
          <cell r="B204">
            <v>0</v>
          </cell>
        </row>
        <row r="204"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</row>
        <row r="205">
          <cell r="B205">
            <v>0</v>
          </cell>
        </row>
        <row r="205"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</row>
        <row r="206">
          <cell r="B206">
            <v>0</v>
          </cell>
        </row>
        <row r="206"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</row>
        <row r="207">
          <cell r="B207">
            <v>0</v>
          </cell>
        </row>
        <row r="207"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</row>
        <row r="208">
          <cell r="B208">
            <v>0</v>
          </cell>
        </row>
        <row r="208"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</row>
        <row r="209">
          <cell r="B209">
            <v>0</v>
          </cell>
        </row>
        <row r="209"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</row>
        <row r="210">
          <cell r="B210">
            <v>0</v>
          </cell>
        </row>
        <row r="210"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</row>
        <row r="211">
          <cell r="B211">
            <v>0</v>
          </cell>
        </row>
        <row r="211"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</row>
        <row r="212">
          <cell r="B212">
            <v>0</v>
          </cell>
        </row>
        <row r="212"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</row>
        <row r="213">
          <cell r="B213">
            <v>0</v>
          </cell>
        </row>
        <row r="213"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</row>
        <row r="214">
          <cell r="B214">
            <v>0</v>
          </cell>
        </row>
        <row r="214"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</row>
        <row r="215">
          <cell r="B215">
            <v>0</v>
          </cell>
        </row>
        <row r="215"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</row>
        <row r="216">
          <cell r="B216">
            <v>0</v>
          </cell>
        </row>
        <row r="216"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</row>
        <row r="217">
          <cell r="B217">
            <v>0</v>
          </cell>
        </row>
        <row r="217"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</row>
        <row r="218">
          <cell r="B218">
            <v>0</v>
          </cell>
        </row>
        <row r="218"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</row>
        <row r="219">
          <cell r="B219">
            <v>0</v>
          </cell>
        </row>
        <row r="219"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</row>
        <row r="220">
          <cell r="B220">
            <v>0</v>
          </cell>
        </row>
        <row r="220"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</row>
        <row r="221">
          <cell r="B221">
            <v>0</v>
          </cell>
        </row>
        <row r="221"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</row>
        <row r="222">
          <cell r="B222">
            <v>0</v>
          </cell>
        </row>
        <row r="222"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</row>
        <row r="223">
          <cell r="B223">
            <v>0</v>
          </cell>
        </row>
        <row r="223"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</row>
        <row r="224">
          <cell r="B224">
            <v>0</v>
          </cell>
        </row>
        <row r="224"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</row>
        <row r="225">
          <cell r="B225">
            <v>0</v>
          </cell>
        </row>
        <row r="225"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</row>
        <row r="226">
          <cell r="B226">
            <v>0</v>
          </cell>
        </row>
        <row r="226"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</row>
        <row r="227">
          <cell r="B227">
            <v>0</v>
          </cell>
        </row>
        <row r="227"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</row>
        <row r="228">
          <cell r="B228">
            <v>0</v>
          </cell>
        </row>
        <row r="228"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</row>
        <row r="229">
          <cell r="B229">
            <v>0</v>
          </cell>
        </row>
        <row r="229"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</row>
        <row r="230">
          <cell r="B230">
            <v>0</v>
          </cell>
        </row>
        <row r="230"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</row>
        <row r="231">
          <cell r="B231">
            <v>0</v>
          </cell>
        </row>
        <row r="231"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</row>
        <row r="232">
          <cell r="B232">
            <v>0</v>
          </cell>
        </row>
        <row r="232"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</row>
        <row r="233">
          <cell r="B233">
            <v>0</v>
          </cell>
        </row>
        <row r="233"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</row>
        <row r="234">
          <cell r="B234">
            <v>0</v>
          </cell>
        </row>
        <row r="234"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</row>
        <row r="235">
          <cell r="B235">
            <v>0</v>
          </cell>
        </row>
        <row r="235"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</row>
        <row r="236">
          <cell r="B236">
            <v>0</v>
          </cell>
        </row>
        <row r="236"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HG2017数据"/>
      <sheetName val="数据手册"/>
      <sheetName val="简化版 无色"/>
      <sheetName val="IR GLASS "/>
      <sheetName val="硫系玻璃手册"/>
      <sheetName val="简化版 硫系"/>
      <sheetName val="中红外玻璃手册"/>
      <sheetName val="简化版 中红外"/>
      <sheetName val="2017年对比"/>
      <sheetName val="NHGDZB"/>
      <sheetName val="OHARA20170630"/>
      <sheetName val="HOYA20170401数据"/>
      <sheetName val="CDGM2016数据"/>
      <sheetName val="SCHOTT2016数据"/>
    </sheetNames>
    <sheetDataSet>
      <sheetData sheetId="0" refreshError="1"/>
      <sheetData sheetId="1" refreshError="1"/>
      <sheetData sheetId="2" refreshError="1"/>
      <sheetData sheetId="3" refreshError="1">
        <row r="3"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D3">
            <v>29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  <cell r="AK3">
            <v>36</v>
          </cell>
          <cell r="AL3">
            <v>37</v>
          </cell>
          <cell r="AM3">
            <v>38</v>
          </cell>
          <cell r="AN3">
            <v>39</v>
          </cell>
          <cell r="AO3">
            <v>40</v>
          </cell>
          <cell r="AP3">
            <v>41</v>
          </cell>
          <cell r="AQ3">
            <v>42</v>
          </cell>
          <cell r="AR3">
            <v>43</v>
          </cell>
          <cell r="AS3">
            <v>44</v>
          </cell>
          <cell r="AT3">
            <v>45</v>
          </cell>
          <cell r="AU3">
            <v>46</v>
          </cell>
          <cell r="AV3">
            <v>47</v>
          </cell>
          <cell r="AW3">
            <v>48</v>
          </cell>
          <cell r="AX3">
            <v>49</v>
          </cell>
          <cell r="AY3">
            <v>50</v>
          </cell>
          <cell r="AZ3">
            <v>51</v>
          </cell>
          <cell r="BA3">
            <v>52</v>
          </cell>
          <cell r="BB3">
            <v>53</v>
          </cell>
          <cell r="BC3">
            <v>54</v>
          </cell>
          <cell r="BD3">
            <v>55</v>
          </cell>
          <cell r="BE3">
            <v>56</v>
          </cell>
          <cell r="BF3">
            <v>57</v>
          </cell>
          <cell r="BG3">
            <v>58</v>
          </cell>
          <cell r="BH3">
            <v>59</v>
          </cell>
          <cell r="BI3">
            <v>60</v>
          </cell>
          <cell r="BJ3">
            <v>61</v>
          </cell>
          <cell r="BK3">
            <v>62</v>
          </cell>
          <cell r="BL3">
            <v>63</v>
          </cell>
          <cell r="BM3">
            <v>64</v>
          </cell>
          <cell r="BN3">
            <v>65</v>
          </cell>
          <cell r="BO3">
            <v>66</v>
          </cell>
          <cell r="BP3">
            <v>67</v>
          </cell>
          <cell r="BQ3">
            <v>68</v>
          </cell>
          <cell r="BR3">
            <v>69</v>
          </cell>
          <cell r="BS3">
            <v>70</v>
          </cell>
          <cell r="BT3">
            <v>71</v>
          </cell>
          <cell r="BU3">
            <v>72</v>
          </cell>
          <cell r="BV3">
            <v>73</v>
          </cell>
          <cell r="BW3">
            <v>74</v>
          </cell>
          <cell r="BX3">
            <v>75</v>
          </cell>
          <cell r="BY3">
            <v>76</v>
          </cell>
          <cell r="BZ3">
            <v>77</v>
          </cell>
          <cell r="CA3">
            <v>78</v>
          </cell>
          <cell r="CB3">
            <v>79</v>
          </cell>
          <cell r="CC3">
            <v>80</v>
          </cell>
          <cell r="CD3">
            <v>81</v>
          </cell>
          <cell r="CE3">
            <v>82</v>
          </cell>
          <cell r="CF3">
            <v>83</v>
          </cell>
          <cell r="CG3">
            <v>84</v>
          </cell>
          <cell r="CH3">
            <v>85</v>
          </cell>
          <cell r="CI3">
            <v>86</v>
          </cell>
          <cell r="CJ3">
            <v>87</v>
          </cell>
          <cell r="CK3">
            <v>88</v>
          </cell>
          <cell r="CL3">
            <v>89</v>
          </cell>
          <cell r="CM3">
            <v>90</v>
          </cell>
          <cell r="CN3">
            <v>91</v>
          </cell>
          <cell r="CO3">
            <v>92</v>
          </cell>
          <cell r="CP3">
            <v>93</v>
          </cell>
          <cell r="CQ3">
            <v>94</v>
          </cell>
          <cell r="CR3">
            <v>95</v>
          </cell>
          <cell r="CS3">
            <v>96</v>
          </cell>
          <cell r="CT3">
            <v>97</v>
          </cell>
          <cell r="CU3">
            <v>98</v>
          </cell>
          <cell r="CV3">
            <v>99</v>
          </cell>
          <cell r="CW3">
            <v>100</v>
          </cell>
          <cell r="CX3">
            <v>101</v>
          </cell>
          <cell r="CY3">
            <v>102</v>
          </cell>
          <cell r="CZ3">
            <v>103</v>
          </cell>
          <cell r="DA3">
            <v>104</v>
          </cell>
          <cell r="DB3">
            <v>105</v>
          </cell>
          <cell r="DC3">
            <v>106</v>
          </cell>
          <cell r="DD3">
            <v>107</v>
          </cell>
          <cell r="DE3">
            <v>108</v>
          </cell>
          <cell r="DF3">
            <v>109</v>
          </cell>
          <cell r="DG3">
            <v>110</v>
          </cell>
          <cell r="DH3">
            <v>111</v>
          </cell>
          <cell r="DI3">
            <v>112</v>
          </cell>
          <cell r="DJ3">
            <v>113</v>
          </cell>
          <cell r="DK3">
            <v>114</v>
          </cell>
          <cell r="DL3">
            <v>115</v>
          </cell>
          <cell r="DM3">
            <v>116</v>
          </cell>
          <cell r="DN3">
            <v>117</v>
          </cell>
          <cell r="DO3">
            <v>118</v>
          </cell>
          <cell r="DP3">
            <v>119</v>
          </cell>
          <cell r="DQ3">
            <v>120</v>
          </cell>
          <cell r="DR3">
            <v>121</v>
          </cell>
          <cell r="DS3">
            <v>122</v>
          </cell>
          <cell r="DT3">
            <v>123</v>
          </cell>
          <cell r="DU3">
            <v>124</v>
          </cell>
          <cell r="DV3">
            <v>125</v>
          </cell>
          <cell r="DW3">
            <v>126</v>
          </cell>
          <cell r="DX3">
            <v>127</v>
          </cell>
          <cell r="DY3">
            <v>128</v>
          </cell>
          <cell r="DZ3">
            <v>129</v>
          </cell>
        </row>
        <row r="4">
          <cell r="B4" t="str">
            <v>IRG101</v>
          </cell>
        </row>
        <row r="4">
          <cell r="D4">
            <v>25.0597609561752</v>
          </cell>
          <cell r="E4">
            <v>12.7708779443255</v>
          </cell>
        </row>
        <row r="4">
          <cell r="G4">
            <v>0.0251000000000001</v>
          </cell>
          <cell r="H4">
            <v>0.0467</v>
          </cell>
        </row>
        <row r="4">
          <cell r="J4">
            <v>1.6441</v>
          </cell>
          <cell r="K4">
            <v>1.6408</v>
          </cell>
          <cell r="L4">
            <v>1.639</v>
          </cell>
          <cell r="M4">
            <v>1.6341</v>
          </cell>
          <cell r="N4">
            <v>1.6293</v>
          </cell>
          <cell r="O4">
            <v>1.629</v>
          </cell>
          <cell r="P4">
            <v>1.6229</v>
          </cell>
          <cell r="Q4">
            <v>1.6157</v>
          </cell>
          <cell r="R4">
            <v>1.6068</v>
          </cell>
          <cell r="S4">
            <v>1.5964</v>
          </cell>
          <cell r="T4">
            <v>1.5838</v>
          </cell>
          <cell r="U4">
            <v>1.569</v>
          </cell>
        </row>
        <row r="4">
          <cell r="AJ4">
            <v>1.63646944</v>
          </cell>
          <cell r="AK4">
            <v>0.00704458903</v>
          </cell>
          <cell r="AL4">
            <v>-0.000404690208</v>
          </cell>
          <cell r="AM4">
            <v>-0.00223231815</v>
          </cell>
          <cell r="AN4">
            <v>-1.8410466e-5</v>
          </cell>
          <cell r="AO4">
            <v>-3.04778822e-8</v>
          </cell>
        </row>
        <row r="4">
          <cell r="BH4">
            <v>3</v>
          </cell>
          <cell r="BI4">
            <v>2</v>
          </cell>
          <cell r="BJ4">
            <v>749</v>
          </cell>
          <cell r="BK4">
            <v>800</v>
          </cell>
        </row>
        <row r="4">
          <cell r="BO4">
            <v>59</v>
          </cell>
          <cell r="BP4">
            <v>67</v>
          </cell>
          <cell r="BQ4">
            <v>71</v>
          </cell>
        </row>
        <row r="4">
          <cell r="BS4">
            <v>670</v>
          </cell>
        </row>
        <row r="4">
          <cell r="BW4">
            <v>68.3</v>
          </cell>
          <cell r="BX4">
            <v>76.8</v>
          </cell>
          <cell r="BY4">
            <v>80.3</v>
          </cell>
        </row>
        <row r="4">
          <cell r="CB4">
            <v>3.2</v>
          </cell>
        </row>
        <row r="4">
          <cell r="CX4">
            <v>0.05</v>
          </cell>
          <cell r="CY4">
            <v>0.25</v>
          </cell>
          <cell r="CZ4">
            <v>0.61</v>
          </cell>
          <cell r="DA4">
            <v>0.77</v>
          </cell>
          <cell r="DB4">
            <v>0.83</v>
          </cell>
          <cell r="DC4">
            <v>0.84</v>
          </cell>
          <cell r="DD4">
            <v>0.83</v>
          </cell>
          <cell r="DE4">
            <v>0.83</v>
          </cell>
          <cell r="DF4">
            <v>0.82</v>
          </cell>
          <cell r="DG4">
            <v>0.805</v>
          </cell>
          <cell r="DH4">
            <v>0.84</v>
          </cell>
          <cell r="DI4">
            <v>0.9</v>
          </cell>
          <cell r="DJ4">
            <v>0.9</v>
          </cell>
          <cell r="DK4">
            <v>0.9</v>
          </cell>
          <cell r="DL4">
            <v>0.9</v>
          </cell>
          <cell r="DM4">
            <v>0.9</v>
          </cell>
          <cell r="DN4">
            <v>0.9</v>
          </cell>
          <cell r="DO4">
            <v>0.9</v>
          </cell>
          <cell r="DP4">
            <v>0.9</v>
          </cell>
          <cell r="DQ4">
            <v>0.9</v>
          </cell>
          <cell r="DR4">
            <v>0.9</v>
          </cell>
          <cell r="DS4">
            <v>0.89</v>
          </cell>
          <cell r="DT4">
            <v>0.875</v>
          </cell>
          <cell r="DU4">
            <v>0.3</v>
          </cell>
          <cell r="DV4">
            <v>0.05</v>
          </cell>
        </row>
        <row r="4">
          <cell r="DX4" t="str">
            <v>PG</v>
          </cell>
          <cell r="DY4">
            <v>100</v>
          </cell>
          <cell r="DZ4" t="str">
            <v>B</v>
          </cell>
        </row>
        <row r="5">
          <cell r="B5" t="str">
            <v>IRG102</v>
          </cell>
        </row>
        <row r="5">
          <cell r="D5">
            <v>26.8641975308642</v>
          </cell>
          <cell r="E5">
            <v>14.7535545023697</v>
          </cell>
        </row>
        <row r="5">
          <cell r="G5">
            <v>0.0243</v>
          </cell>
          <cell r="H5">
            <v>0.0422</v>
          </cell>
        </row>
        <row r="5">
          <cell r="J5">
            <v>1.6682</v>
          </cell>
          <cell r="K5">
            <v>1.6646</v>
          </cell>
          <cell r="L5">
            <v>1.6627</v>
          </cell>
          <cell r="M5">
            <v>1.6578</v>
          </cell>
          <cell r="N5">
            <v>1.6532</v>
          </cell>
          <cell r="O5">
            <v>1.6528</v>
          </cell>
          <cell r="P5">
            <v>1.647</v>
          </cell>
          <cell r="Q5">
            <v>1.6403</v>
          </cell>
          <cell r="R5">
            <v>1.6321</v>
          </cell>
          <cell r="S5">
            <v>1.6226</v>
          </cell>
          <cell r="T5">
            <v>1.6113</v>
          </cell>
          <cell r="U5">
            <v>1.5981</v>
          </cell>
        </row>
        <row r="5">
          <cell r="AJ5">
            <v>1.65972232</v>
          </cell>
          <cell r="AK5">
            <v>0.00741249047</v>
          </cell>
          <cell r="AL5">
            <v>-0.000286200655</v>
          </cell>
          <cell r="AM5">
            <v>-0.00213427746</v>
          </cell>
          <cell r="AN5">
            <v>-1.29474801e-5</v>
          </cell>
          <cell r="AO5">
            <v>-3.01857831e-8</v>
          </cell>
        </row>
        <row r="5">
          <cell r="BH5">
            <v>4</v>
          </cell>
          <cell r="BI5">
            <v>1</v>
          </cell>
          <cell r="BJ5">
            <v>750</v>
          </cell>
        </row>
        <row r="5">
          <cell r="BO5">
            <v>71</v>
          </cell>
          <cell r="BP5">
            <v>81</v>
          </cell>
          <cell r="BQ5">
            <v>86</v>
          </cell>
        </row>
        <row r="5">
          <cell r="BS5">
            <v>650</v>
          </cell>
        </row>
        <row r="5">
          <cell r="BW5">
            <v>93.6</v>
          </cell>
          <cell r="BX5">
            <v>80.5</v>
          </cell>
          <cell r="BY5">
            <v>95.8</v>
          </cell>
        </row>
        <row r="5">
          <cell r="CB5">
            <v>3.1</v>
          </cell>
        </row>
        <row r="5">
          <cell r="CX5">
            <v>0.5</v>
          </cell>
          <cell r="CY5">
            <v>0.71</v>
          </cell>
          <cell r="CZ5">
            <v>0.77</v>
          </cell>
          <cell r="DA5">
            <v>0.82</v>
          </cell>
          <cell r="DB5">
            <v>0.83</v>
          </cell>
          <cell r="DC5">
            <v>0.85</v>
          </cell>
          <cell r="DD5">
            <v>0.82</v>
          </cell>
          <cell r="DE5">
            <v>0.77</v>
          </cell>
          <cell r="DF5">
            <v>0.68</v>
          </cell>
          <cell r="DG5">
            <v>0.67</v>
          </cell>
          <cell r="DH5">
            <v>0.83</v>
          </cell>
          <cell r="DI5">
            <v>0.9</v>
          </cell>
          <cell r="DJ5">
            <v>0.9</v>
          </cell>
          <cell r="DK5">
            <v>0.9</v>
          </cell>
          <cell r="DL5">
            <v>0.9</v>
          </cell>
          <cell r="DM5">
            <v>0.9</v>
          </cell>
          <cell r="DN5">
            <v>0.9</v>
          </cell>
          <cell r="DO5">
            <v>0.89</v>
          </cell>
          <cell r="DP5">
            <v>0.87</v>
          </cell>
          <cell r="DQ5">
            <v>0.85</v>
          </cell>
          <cell r="DR5">
            <v>0.84</v>
          </cell>
          <cell r="DS5">
            <v>0.835</v>
          </cell>
          <cell r="DT5">
            <v>0.82</v>
          </cell>
          <cell r="DU5">
            <v>0.78</v>
          </cell>
          <cell r="DV5">
            <v>0.05</v>
          </cell>
        </row>
        <row r="5">
          <cell r="DX5" t="str">
            <v>PG</v>
          </cell>
          <cell r="DY5">
            <v>200</v>
          </cell>
          <cell r="DZ5" t="str">
            <v>A</v>
          </cell>
        </row>
        <row r="6">
          <cell r="B6" t="str">
            <v>IRG104</v>
          </cell>
        </row>
        <row r="6">
          <cell r="D6">
            <v>25.7813765182185</v>
          </cell>
          <cell r="E6">
            <v>13.6704288939052</v>
          </cell>
        </row>
        <row r="6">
          <cell r="G6">
            <v>0.0247000000000002</v>
          </cell>
          <cell r="H6">
            <v>0.0443</v>
          </cell>
        </row>
        <row r="6">
          <cell r="J6">
            <v>1.652</v>
          </cell>
          <cell r="K6">
            <v>1.6486</v>
          </cell>
          <cell r="L6">
            <v>1.6468</v>
          </cell>
          <cell r="M6">
            <v>1.6419</v>
          </cell>
          <cell r="N6">
            <v>1.6372</v>
          </cell>
          <cell r="O6">
            <v>1.6368</v>
          </cell>
          <cell r="P6">
            <v>1.6309</v>
          </cell>
          <cell r="Q6">
            <v>1.6239</v>
          </cell>
          <cell r="R6">
            <v>1.6155</v>
          </cell>
          <cell r="S6">
            <v>1.6056</v>
          </cell>
          <cell r="T6">
            <v>1.5937</v>
          </cell>
          <cell r="U6">
            <v>1.5796</v>
          </cell>
        </row>
        <row r="6">
          <cell r="AJ6">
            <v>1.64425684</v>
          </cell>
          <cell r="AK6">
            <v>0.00697248348</v>
          </cell>
          <cell r="AL6">
            <v>-0.000295666238</v>
          </cell>
          <cell r="AM6">
            <v>-0.00225530604</v>
          </cell>
          <cell r="AN6">
            <v>-8.6130679e-6</v>
          </cell>
          <cell r="AO6">
            <v>-2.0302048e-7</v>
          </cell>
        </row>
        <row r="6">
          <cell r="BH6">
            <v>4</v>
          </cell>
          <cell r="BI6">
            <v>2</v>
          </cell>
          <cell r="BJ6">
            <v>717</v>
          </cell>
          <cell r="BK6">
            <v>764</v>
          </cell>
        </row>
        <row r="6">
          <cell r="BO6">
            <v>53</v>
          </cell>
          <cell r="BP6">
            <v>60</v>
          </cell>
          <cell r="BQ6">
            <v>63</v>
          </cell>
        </row>
        <row r="6">
          <cell r="BS6">
            <v>670</v>
          </cell>
        </row>
        <row r="6">
          <cell r="BW6">
            <v>82.7</v>
          </cell>
          <cell r="BX6">
            <v>115</v>
          </cell>
          <cell r="BY6">
            <v>83</v>
          </cell>
        </row>
        <row r="6">
          <cell r="CB6">
            <v>3.4</v>
          </cell>
        </row>
        <row r="6">
          <cell r="CX6">
            <v>0.61</v>
          </cell>
          <cell r="CY6">
            <v>0.72</v>
          </cell>
          <cell r="CZ6">
            <v>0.79</v>
          </cell>
          <cell r="DA6">
            <v>0.825</v>
          </cell>
          <cell r="DB6">
            <v>0.85</v>
          </cell>
          <cell r="DC6">
            <v>0.85</v>
          </cell>
          <cell r="DD6">
            <v>0.85</v>
          </cell>
          <cell r="DE6">
            <v>0.84</v>
          </cell>
          <cell r="DF6">
            <v>0.825</v>
          </cell>
          <cell r="DG6">
            <v>0.82</v>
          </cell>
          <cell r="DH6">
            <v>0.85</v>
          </cell>
          <cell r="DI6">
            <v>0.87</v>
          </cell>
          <cell r="DJ6">
            <v>0.88</v>
          </cell>
          <cell r="DK6">
            <v>0.875</v>
          </cell>
          <cell r="DL6">
            <v>0.82</v>
          </cell>
          <cell r="DM6">
            <v>0.855</v>
          </cell>
          <cell r="DN6">
            <v>0.85</v>
          </cell>
          <cell r="DO6">
            <v>0.85</v>
          </cell>
          <cell r="DP6">
            <v>0.845</v>
          </cell>
          <cell r="DQ6">
            <v>0.835</v>
          </cell>
          <cell r="DR6">
            <v>0.835</v>
          </cell>
          <cell r="DS6">
            <v>0.84</v>
          </cell>
          <cell r="DT6">
            <v>0.85</v>
          </cell>
          <cell r="DU6">
            <v>0.82</v>
          </cell>
          <cell r="DV6">
            <v>0.08</v>
          </cell>
        </row>
        <row r="6">
          <cell r="DX6" t="str">
            <v>PG</v>
          </cell>
          <cell r="DY6">
            <v>700</v>
          </cell>
          <cell r="DZ6" t="str">
            <v>A</v>
          </cell>
        </row>
        <row r="7">
          <cell r="B7" t="str">
            <v>IRG105</v>
          </cell>
        </row>
        <row r="7">
          <cell r="D7">
            <v>25.8110465116279</v>
          </cell>
          <cell r="E7">
            <v>18.8960176991151</v>
          </cell>
        </row>
        <row r="7">
          <cell r="G7">
            <v>0.0344</v>
          </cell>
          <cell r="H7">
            <v>0.0451999999999999</v>
          </cell>
        </row>
        <row r="7">
          <cell r="J7">
            <v>1.9156</v>
          </cell>
          <cell r="K7">
            <v>1.9076</v>
          </cell>
          <cell r="L7">
            <v>1.9037</v>
          </cell>
          <cell r="M7">
            <v>1.8949</v>
          </cell>
          <cell r="N7">
            <v>1.8883</v>
          </cell>
          <cell r="O7">
            <v>1.8879</v>
          </cell>
          <cell r="P7">
            <v>1.8809</v>
          </cell>
          <cell r="Q7">
            <v>1.8732</v>
          </cell>
          <cell r="R7">
            <v>1.8643</v>
          </cell>
          <cell r="S7">
            <v>1.8541</v>
          </cell>
          <cell r="T7">
            <v>1.8421</v>
          </cell>
          <cell r="U7">
            <v>1.828</v>
          </cell>
        </row>
        <row r="7">
          <cell r="AJ7">
            <v>1.89339063</v>
          </cell>
          <cell r="AK7">
            <v>0.0164957944</v>
          </cell>
          <cell r="AL7">
            <v>0.000172086127</v>
          </cell>
          <cell r="AM7">
            <v>-0.00238194281</v>
          </cell>
          <cell r="AN7">
            <v>-5.84920051e-6</v>
          </cell>
          <cell r="AO7">
            <v>-1.79729326e-7</v>
          </cell>
        </row>
        <row r="7">
          <cell r="BF7">
            <v>1</v>
          </cell>
        </row>
        <row r="7">
          <cell r="BH7">
            <v>2</v>
          </cell>
          <cell r="BI7">
            <v>5</v>
          </cell>
          <cell r="BJ7">
            <v>534</v>
          </cell>
          <cell r="BK7">
            <v>565</v>
          </cell>
        </row>
        <row r="7">
          <cell r="BO7">
            <v>64</v>
          </cell>
          <cell r="BP7">
            <v>78</v>
          </cell>
          <cell r="BQ7">
            <v>85</v>
          </cell>
        </row>
        <row r="7">
          <cell r="BS7">
            <v>447</v>
          </cell>
        </row>
        <row r="7">
          <cell r="CB7">
            <v>5.62</v>
          </cell>
        </row>
        <row r="7">
          <cell r="CX7">
            <v>0.69</v>
          </cell>
          <cell r="CY7">
            <v>0.756</v>
          </cell>
          <cell r="CZ7">
            <v>0.772</v>
          </cell>
          <cell r="DA7">
            <v>0.787</v>
          </cell>
          <cell r="DB7">
            <v>0.813</v>
          </cell>
          <cell r="DC7">
            <v>0.822</v>
          </cell>
          <cell r="DD7">
            <v>0.816</v>
          </cell>
          <cell r="DE7">
            <v>0.808</v>
          </cell>
          <cell r="DF7">
            <v>0.802</v>
          </cell>
          <cell r="DG7">
            <v>0.812</v>
          </cell>
          <cell r="DH7">
            <v>0.831</v>
          </cell>
          <cell r="DI7">
            <v>0.831</v>
          </cell>
          <cell r="DJ7">
            <v>0.833</v>
          </cell>
          <cell r="DK7">
            <v>0.841</v>
          </cell>
          <cell r="DL7">
            <v>0.841</v>
          </cell>
          <cell r="DM7">
            <v>0.832</v>
          </cell>
          <cell r="DN7">
            <v>0.833</v>
          </cell>
          <cell r="DO7">
            <v>0.825</v>
          </cell>
          <cell r="DP7">
            <v>0.828</v>
          </cell>
          <cell r="DQ7">
            <v>0.829</v>
          </cell>
          <cell r="DR7">
            <v>0.8</v>
          </cell>
          <cell r="DS7">
            <v>0.791</v>
          </cell>
          <cell r="DT7">
            <v>0.77</v>
          </cell>
          <cell r="DU7">
            <v>0.408</v>
          </cell>
        </row>
        <row r="7">
          <cell r="DX7" t="str">
            <v>PG</v>
          </cell>
          <cell r="DY7">
            <v>700</v>
          </cell>
          <cell r="DZ7" t="str">
            <v>B</v>
          </cell>
        </row>
        <row r="8">
          <cell r="B8" t="str">
            <v>IRG106</v>
          </cell>
        </row>
        <row r="8">
          <cell r="D8">
            <v>32.2978723404254</v>
          </cell>
          <cell r="E8">
            <v>21.1936416184971</v>
          </cell>
        </row>
        <row r="8">
          <cell r="G8">
            <v>0.0235000000000001</v>
          </cell>
          <cell r="H8">
            <v>0.0346</v>
          </cell>
        </row>
        <row r="8">
          <cell r="J8">
            <v>1.7759</v>
          </cell>
          <cell r="K8">
            <v>1.7714</v>
          </cell>
          <cell r="L8">
            <v>1.7692</v>
          </cell>
          <cell r="M8">
            <v>1.7638</v>
          </cell>
          <cell r="N8">
            <v>1.7593</v>
          </cell>
          <cell r="O8">
            <v>1.759</v>
          </cell>
          <cell r="P8">
            <v>1.7538</v>
          </cell>
          <cell r="Q8">
            <v>1.7479</v>
          </cell>
          <cell r="R8">
            <v>1.7411</v>
          </cell>
          <cell r="S8">
            <v>1.7333</v>
          </cell>
          <cell r="T8">
            <v>1.724</v>
          </cell>
          <cell r="U8">
            <v>1.7133</v>
          </cell>
        </row>
        <row r="8">
          <cell r="AJ8">
            <v>1.7645246</v>
          </cell>
          <cell r="AK8">
            <v>0.0087740386</v>
          </cell>
          <cell r="AL8">
            <v>0.000102972652</v>
          </cell>
          <cell r="AM8">
            <v>-0.00193226819</v>
          </cell>
          <cell r="AN8">
            <v>-7.93913316e-7</v>
          </cell>
          <cell r="AO8">
            <v>-1.7459667e-7</v>
          </cell>
        </row>
        <row r="8">
          <cell r="BF8">
            <v>3</v>
          </cell>
          <cell r="BG8">
            <v>3</v>
          </cell>
          <cell r="BH8">
            <v>5</v>
          </cell>
          <cell r="BI8">
            <v>3</v>
          </cell>
          <cell r="BJ8">
            <v>628</v>
          </cell>
          <cell r="BK8">
            <v>676</v>
          </cell>
        </row>
        <row r="8">
          <cell r="BO8">
            <v>73</v>
          </cell>
          <cell r="BP8">
            <v>84</v>
          </cell>
          <cell r="BQ8">
            <v>90</v>
          </cell>
        </row>
        <row r="8">
          <cell r="BS8">
            <v>524</v>
          </cell>
          <cell r="BT8">
            <v>183</v>
          </cell>
        </row>
        <row r="8">
          <cell r="BW8">
            <v>49.7</v>
          </cell>
        </row>
        <row r="8">
          <cell r="BY8">
            <v>85.7</v>
          </cell>
        </row>
        <row r="8">
          <cell r="CB8">
            <v>4.28</v>
          </cell>
        </row>
        <row r="8">
          <cell r="CV8">
            <v>0.003</v>
          </cell>
          <cell r="CW8">
            <v>0.305</v>
          </cell>
          <cell r="CX8">
            <v>0.667</v>
          </cell>
          <cell r="CY8">
            <v>0.741</v>
          </cell>
          <cell r="CZ8">
            <v>0.786</v>
          </cell>
          <cell r="DA8">
            <v>0.813</v>
          </cell>
          <cell r="DB8">
            <v>0.852</v>
          </cell>
          <cell r="DC8">
            <v>0.868</v>
          </cell>
          <cell r="DD8">
            <v>0.851</v>
          </cell>
          <cell r="DE8">
            <v>0.837</v>
          </cell>
          <cell r="DF8">
            <v>0.809</v>
          </cell>
          <cell r="DG8">
            <v>0.831</v>
          </cell>
          <cell r="DH8">
            <v>0.872</v>
          </cell>
          <cell r="DI8">
            <v>0.881</v>
          </cell>
          <cell r="DJ8">
            <v>0.881</v>
          </cell>
          <cell r="DK8">
            <v>0.881</v>
          </cell>
          <cell r="DL8">
            <v>0.884</v>
          </cell>
          <cell r="DM8">
            <v>0.883</v>
          </cell>
          <cell r="DN8">
            <v>0.888</v>
          </cell>
          <cell r="DO8">
            <v>0.889</v>
          </cell>
          <cell r="DP8">
            <v>0.88</v>
          </cell>
          <cell r="DQ8">
            <v>0.878</v>
          </cell>
          <cell r="DR8">
            <v>0.87</v>
          </cell>
          <cell r="DS8">
            <v>0.864</v>
          </cell>
          <cell r="DT8">
            <v>0.845</v>
          </cell>
          <cell r="DU8">
            <v>0.774</v>
          </cell>
        </row>
        <row r="8">
          <cell r="DX8" t="str">
            <v>PG</v>
          </cell>
          <cell r="DY8">
            <v>700</v>
          </cell>
          <cell r="DZ8" t="str">
            <v>A</v>
          </cell>
          <cell r="EA8" t="str">
            <v>热性能</v>
          </cell>
        </row>
        <row r="9">
          <cell r="B9" t="str">
            <v>IRG201</v>
          </cell>
          <cell r="C9" t="str">
            <v>Ge33Se55As12</v>
          </cell>
        </row>
        <row r="9">
          <cell r="E9">
            <v>193.935897435897</v>
          </cell>
          <cell r="F9">
            <v>95.7692307692304</v>
          </cell>
        </row>
        <row r="9">
          <cell r="H9">
            <v>0.00780000000000003</v>
          </cell>
          <cell r="I9">
            <v>0.0156000000000001</v>
          </cell>
        </row>
        <row r="9">
          <cell r="O9">
            <v>2.5293</v>
          </cell>
        </row>
        <row r="9">
          <cell r="Q9">
            <v>2.5175</v>
          </cell>
        </row>
        <row r="9">
          <cell r="S9">
            <v>2.5127</v>
          </cell>
        </row>
        <row r="9">
          <cell r="U9">
            <v>2.5097</v>
          </cell>
        </row>
        <row r="9">
          <cell r="W9">
            <v>2.5072</v>
          </cell>
        </row>
        <row r="9">
          <cell r="Y9">
            <v>2.5047</v>
          </cell>
          <cell r="Z9">
            <v>2.5021</v>
          </cell>
          <cell r="AA9">
            <v>2.4993</v>
          </cell>
          <cell r="AB9">
            <v>2.4961</v>
          </cell>
          <cell r="AC9">
            <v>2.494</v>
          </cell>
          <cell r="AD9">
            <v>2.4926</v>
          </cell>
          <cell r="AE9">
            <v>2.4886</v>
          </cell>
          <cell r="AF9">
            <v>2.4865</v>
          </cell>
          <cell r="AG9">
            <v>2.4843</v>
          </cell>
          <cell r="AH9">
            <v>2.4794</v>
          </cell>
        </row>
        <row r="9">
          <cell r="AJ9">
            <v>2.5100146</v>
          </cell>
          <cell r="AK9">
            <v>0.0774951645</v>
          </cell>
          <cell r="AL9">
            <v>0.00493712807</v>
          </cell>
          <cell r="AM9">
            <v>-0.000133895139</v>
          </cell>
          <cell r="AN9">
            <v>-1.35083467e-7</v>
          </cell>
          <cell r="AO9">
            <v>5.71566554e-11</v>
          </cell>
        </row>
        <row r="9">
          <cell r="AR9">
            <v>70</v>
          </cell>
          <cell r="AS9">
            <v>67</v>
          </cell>
        </row>
        <row r="9">
          <cell r="AU9">
            <v>65</v>
          </cell>
          <cell r="AV9">
            <v>64</v>
          </cell>
          <cell r="AW9">
            <v>62</v>
          </cell>
          <cell r="AX9">
            <v>62</v>
          </cell>
          <cell r="AY9">
            <v>61</v>
          </cell>
          <cell r="AZ9">
            <v>5.82024746e-5</v>
          </cell>
          <cell r="BA9">
            <v>2.04217931e-8</v>
          </cell>
          <cell r="BB9">
            <v>-7.67373884e-11</v>
          </cell>
          <cell r="BC9">
            <v>0.000165764285</v>
          </cell>
          <cell r="BD9">
            <v>9.67535705e-7</v>
          </cell>
          <cell r="BE9">
            <v>-4.58176501</v>
          </cell>
          <cell r="BF9">
            <v>1</v>
          </cell>
          <cell r="BG9">
            <v>1</v>
          </cell>
          <cell r="BH9">
            <v>1</v>
          </cell>
          <cell r="BI9">
            <v>1</v>
          </cell>
          <cell r="BJ9">
            <v>369</v>
          </cell>
          <cell r="BK9">
            <v>409</v>
          </cell>
        </row>
        <row r="9">
          <cell r="BN9">
            <v>123</v>
          </cell>
          <cell r="BO9">
            <v>123</v>
          </cell>
        </row>
        <row r="9">
          <cell r="BS9">
            <v>150</v>
          </cell>
        </row>
        <row r="9">
          <cell r="BU9">
            <v>21.7</v>
          </cell>
          <cell r="BV9">
            <v>8.5</v>
          </cell>
        </row>
        <row r="9">
          <cell r="BZ9">
            <v>0.27</v>
          </cell>
        </row>
        <row r="9">
          <cell r="CB9">
            <v>4.42</v>
          </cell>
          <cell r="CC9">
            <v>0.027</v>
          </cell>
          <cell r="CD9">
            <v>0.053</v>
          </cell>
          <cell r="CE9">
            <v>0.032</v>
          </cell>
          <cell r="CF9">
            <v>0.128</v>
          </cell>
          <cell r="CG9">
            <v>0.503</v>
          </cell>
          <cell r="CH9">
            <v>0.65</v>
          </cell>
          <cell r="CI9">
            <v>0.669</v>
          </cell>
          <cell r="CJ9">
            <v>0.622</v>
          </cell>
          <cell r="CK9">
            <v>0.614</v>
          </cell>
          <cell r="CL9">
            <v>0.656</v>
          </cell>
          <cell r="CM9">
            <v>0.702</v>
          </cell>
          <cell r="CN9">
            <v>0.704</v>
          </cell>
          <cell r="CO9">
            <v>0.703</v>
          </cell>
          <cell r="CP9">
            <v>0.701</v>
          </cell>
          <cell r="CQ9">
            <v>0.702</v>
          </cell>
          <cell r="CR9">
            <v>0.698</v>
          </cell>
          <cell r="CS9">
            <v>0.697</v>
          </cell>
          <cell r="CT9">
            <v>0.694</v>
          </cell>
          <cell r="CU9">
            <v>0.689</v>
          </cell>
          <cell r="CV9">
            <v>0.692</v>
          </cell>
          <cell r="CW9">
            <v>0.692</v>
          </cell>
          <cell r="CX9">
            <v>0.688</v>
          </cell>
        </row>
        <row r="9">
          <cell r="CZ9">
            <v>0.685</v>
          </cell>
        </row>
        <row r="9">
          <cell r="DB9">
            <v>0.685</v>
          </cell>
        </row>
        <row r="9">
          <cell r="DD9">
            <v>0.681</v>
          </cell>
        </row>
        <row r="9">
          <cell r="DF9">
            <v>0.678</v>
          </cell>
        </row>
        <row r="9">
          <cell r="DI9">
            <v>0.684</v>
          </cell>
        </row>
        <row r="9">
          <cell r="DK9">
            <v>0.68</v>
          </cell>
        </row>
        <row r="9">
          <cell r="DM9">
            <v>0.682</v>
          </cell>
        </row>
        <row r="9">
          <cell r="DO9">
            <v>0.663</v>
          </cell>
          <cell r="DP9">
            <v>0.55</v>
          </cell>
        </row>
        <row r="9">
          <cell r="DS9">
            <v>0</v>
          </cell>
        </row>
        <row r="9">
          <cell r="DX9" t="str">
            <v>RP</v>
          </cell>
          <cell r="DY9">
            <v>1000</v>
          </cell>
          <cell r="DZ9" t="str">
            <v>B</v>
          </cell>
          <cell r="EA9" t="str">
            <v>TR2017-06Z-065/10</v>
          </cell>
        </row>
        <row r="10">
          <cell r="B10" t="str">
            <v>IRG202</v>
          </cell>
          <cell r="C10" t="str">
            <v>Ge22Se58As20</v>
          </cell>
        </row>
        <row r="10">
          <cell r="E10">
            <v>198.697368421051</v>
          </cell>
          <cell r="F10">
            <v>102.931034482759</v>
          </cell>
        </row>
        <row r="10">
          <cell r="H10">
            <v>0.00760000000000005</v>
          </cell>
          <cell r="I10">
            <v>0.0145</v>
          </cell>
        </row>
        <row r="10">
          <cell r="O10">
            <v>2.5265</v>
          </cell>
        </row>
        <row r="10">
          <cell r="Q10">
            <v>2.5148</v>
          </cell>
        </row>
        <row r="10">
          <cell r="S10">
            <v>2.5101</v>
          </cell>
        </row>
        <row r="10">
          <cell r="U10">
            <v>2.5072</v>
          </cell>
        </row>
        <row r="10">
          <cell r="W10">
            <v>2.5047</v>
          </cell>
        </row>
        <row r="10">
          <cell r="Y10">
            <v>2.5024</v>
          </cell>
          <cell r="Z10">
            <v>2.5</v>
          </cell>
          <cell r="AA10">
            <v>2.4974</v>
          </cell>
          <cell r="AB10">
            <v>2.4944</v>
          </cell>
          <cell r="AC10">
            <v>2.4925</v>
          </cell>
          <cell r="AD10">
            <v>2.4911</v>
          </cell>
          <cell r="AE10">
            <v>2.4875</v>
          </cell>
          <cell r="AF10">
            <v>2.4855</v>
          </cell>
          <cell r="AG10">
            <v>2.4835</v>
          </cell>
          <cell r="AH10">
            <v>2.4787</v>
          </cell>
        </row>
        <row r="10">
          <cell r="AJ10">
            <v>2.50749294</v>
          </cell>
          <cell r="AK10">
            <v>0.0753634838</v>
          </cell>
          <cell r="AL10">
            <v>0.00896425156</v>
          </cell>
          <cell r="AM10">
            <v>-0.000133628512</v>
          </cell>
          <cell r="AN10">
            <v>-1.55445148e-8</v>
          </cell>
          <cell r="AO10">
            <v>-3.13014967e-10</v>
          </cell>
        </row>
        <row r="10">
          <cell r="AR10">
            <v>44</v>
          </cell>
          <cell r="AS10">
            <v>41</v>
          </cell>
        </row>
        <row r="10">
          <cell r="AU10">
            <v>40</v>
          </cell>
          <cell r="AV10">
            <v>39</v>
          </cell>
          <cell r="AW10">
            <v>39</v>
          </cell>
          <cell r="AX10">
            <v>37</v>
          </cell>
          <cell r="AY10">
            <v>37</v>
          </cell>
          <cell r="AZ10">
            <v>3.41318015e-5</v>
          </cell>
          <cell r="BA10">
            <v>3.57897609e-8</v>
          </cell>
          <cell r="BB10">
            <v>5.35456785e-10</v>
          </cell>
          <cell r="BC10">
            <v>3.75405582e-5</v>
          </cell>
          <cell r="BD10">
            <v>6.49642351e-7</v>
          </cell>
          <cell r="BE10">
            <v>-2.08674904</v>
          </cell>
          <cell r="BF10">
            <v>1</v>
          </cell>
          <cell r="BG10">
            <v>1</v>
          </cell>
          <cell r="BH10">
            <v>2</v>
          </cell>
          <cell r="BI10">
            <v>1</v>
          </cell>
          <cell r="BJ10">
            <v>292</v>
          </cell>
          <cell r="BK10">
            <v>347</v>
          </cell>
        </row>
        <row r="10">
          <cell r="BN10">
            <v>164</v>
          </cell>
          <cell r="BO10">
            <v>165</v>
          </cell>
        </row>
        <row r="10">
          <cell r="BS10">
            <v>152</v>
          </cell>
        </row>
        <row r="10">
          <cell r="BU10">
            <v>18.2</v>
          </cell>
          <cell r="BV10">
            <v>7.1</v>
          </cell>
        </row>
        <row r="10">
          <cell r="BZ10">
            <v>0.28</v>
          </cell>
        </row>
        <row r="10">
          <cell r="CB10">
            <v>4.41</v>
          </cell>
          <cell r="CC10">
            <v>0.009</v>
          </cell>
          <cell r="CD10">
            <v>0.041</v>
          </cell>
          <cell r="CE10">
            <v>0.057</v>
          </cell>
          <cell r="CF10">
            <v>0.181</v>
          </cell>
          <cell r="CG10">
            <v>0.563</v>
          </cell>
          <cell r="CH10">
            <v>0.665</v>
          </cell>
          <cell r="CI10">
            <v>0.669</v>
          </cell>
          <cell r="CJ10">
            <v>0.649</v>
          </cell>
          <cell r="CK10">
            <v>0.65</v>
          </cell>
          <cell r="CL10">
            <v>0.678</v>
          </cell>
          <cell r="CM10">
            <v>0.707</v>
          </cell>
          <cell r="CN10">
            <v>0.708</v>
          </cell>
          <cell r="CO10">
            <v>0.708</v>
          </cell>
          <cell r="CP10">
            <v>0.706</v>
          </cell>
          <cell r="CQ10">
            <v>0.707</v>
          </cell>
          <cell r="CR10">
            <v>0.704</v>
          </cell>
          <cell r="CS10">
            <v>0.703</v>
          </cell>
          <cell r="CT10">
            <v>0.7</v>
          </cell>
          <cell r="CU10">
            <v>0.694</v>
          </cell>
          <cell r="CV10">
            <v>0.699</v>
          </cell>
          <cell r="CW10">
            <v>0.699</v>
          </cell>
          <cell r="CX10">
            <v>0.695</v>
          </cell>
        </row>
        <row r="10">
          <cell r="CZ10">
            <v>0.687</v>
          </cell>
        </row>
        <row r="10">
          <cell r="DB10">
            <v>0.695</v>
          </cell>
        </row>
        <row r="10">
          <cell r="DD10">
            <v>0.692</v>
          </cell>
        </row>
        <row r="10">
          <cell r="DF10">
            <v>0.692</v>
          </cell>
        </row>
        <row r="10">
          <cell r="DI10">
            <v>0.696</v>
          </cell>
        </row>
        <row r="10">
          <cell r="DK10">
            <v>0.698</v>
          </cell>
        </row>
        <row r="10">
          <cell r="DM10">
            <v>0.694</v>
          </cell>
        </row>
        <row r="10">
          <cell r="DO10">
            <v>0.681</v>
          </cell>
          <cell r="DP10">
            <v>0.631</v>
          </cell>
        </row>
        <row r="10">
          <cell r="DS10">
            <v>0</v>
          </cell>
        </row>
        <row r="10">
          <cell r="DX10" t="str">
            <v>RP</v>
          </cell>
          <cell r="DY10">
            <v>800</v>
          </cell>
          <cell r="DZ10" t="str">
            <v>A</v>
          </cell>
          <cell r="EA10" t="str">
            <v>TR2017-06Z-110/10</v>
          </cell>
        </row>
        <row r="11">
          <cell r="B11" t="str">
            <v>IRG203</v>
          </cell>
          <cell r="C11" t="str">
            <v>Ge20Se65Sb15</v>
          </cell>
        </row>
        <row r="11">
          <cell r="E11">
            <v>170.851063829782</v>
          </cell>
          <cell r="F11">
            <v>86.0706521739121</v>
          </cell>
        </row>
        <row r="11">
          <cell r="H11">
            <v>0.0094000000000003</v>
          </cell>
          <cell r="I11">
            <v>0.0184000000000002</v>
          </cell>
        </row>
        <row r="11">
          <cell r="O11">
            <v>2.6261</v>
          </cell>
        </row>
        <row r="11">
          <cell r="Q11">
            <v>2.6118</v>
          </cell>
        </row>
        <row r="11">
          <cell r="S11">
            <v>2.606</v>
          </cell>
        </row>
        <row r="11">
          <cell r="U11">
            <v>2.6024</v>
          </cell>
        </row>
        <row r="11">
          <cell r="W11">
            <v>2.5993</v>
          </cell>
        </row>
        <row r="11">
          <cell r="Y11">
            <v>2.5963</v>
          </cell>
          <cell r="Z11">
            <v>2.5933</v>
          </cell>
          <cell r="AA11">
            <v>2.5899</v>
          </cell>
          <cell r="AB11">
            <v>2.5862</v>
          </cell>
          <cell r="AC11">
            <v>2.5837</v>
          </cell>
          <cell r="AD11">
            <v>2.582</v>
          </cell>
          <cell r="AE11">
            <v>2.5774</v>
          </cell>
          <cell r="AF11">
            <v>2.5749</v>
          </cell>
          <cell r="AG11">
            <v>2.5723</v>
          </cell>
          <cell r="AH11">
            <v>2.5666</v>
          </cell>
        </row>
        <row r="11">
          <cell r="AJ11">
            <v>2.60273354</v>
          </cell>
          <cell r="AK11">
            <v>0.0941482233</v>
          </cell>
          <cell r="AL11">
            <v>0.00502888512</v>
          </cell>
          <cell r="AM11">
            <v>-0.000163603992</v>
          </cell>
          <cell r="AN11">
            <v>-1.11889408e-7</v>
          </cell>
          <cell r="AO11">
            <v>-3.32572655e-11</v>
          </cell>
        </row>
        <row r="11">
          <cell r="AR11">
            <v>45</v>
          </cell>
          <cell r="AS11">
            <v>42</v>
          </cell>
        </row>
        <row r="11">
          <cell r="AU11">
            <v>40</v>
          </cell>
          <cell r="AV11">
            <v>39</v>
          </cell>
          <cell r="AW11">
            <v>39</v>
          </cell>
          <cell r="AX11">
            <v>39</v>
          </cell>
          <cell r="AY11">
            <v>39</v>
          </cell>
          <cell r="AZ11">
            <v>3.47395906e-5</v>
          </cell>
          <cell r="BA11">
            <v>-7.61267718e-9</v>
          </cell>
          <cell r="BB11">
            <v>2.63505658e-10</v>
          </cell>
          <cell r="BC11">
            <v>1.45447787e-5</v>
          </cell>
          <cell r="BD11">
            <v>4.854554e-8</v>
          </cell>
          <cell r="BE11">
            <v>0.833183229</v>
          </cell>
          <cell r="BF11">
            <v>1</v>
          </cell>
          <cell r="BG11">
            <v>1</v>
          </cell>
          <cell r="BH11">
            <v>2</v>
          </cell>
          <cell r="BI11">
            <v>1</v>
          </cell>
          <cell r="BJ11">
            <v>266</v>
          </cell>
          <cell r="BK11">
            <v>301</v>
          </cell>
        </row>
        <row r="11">
          <cell r="BN11">
            <v>162</v>
          </cell>
          <cell r="BO11">
            <v>164</v>
          </cell>
        </row>
        <row r="11">
          <cell r="BS11">
            <v>137</v>
          </cell>
        </row>
        <row r="11">
          <cell r="BU11">
            <v>20</v>
          </cell>
          <cell r="BV11">
            <v>7.8</v>
          </cell>
        </row>
        <row r="11">
          <cell r="BZ11">
            <v>0.28</v>
          </cell>
          <cell r="CA11">
            <v>10.11</v>
          </cell>
          <cell r="CB11">
            <v>4.71</v>
          </cell>
          <cell r="CC11">
            <v>0.009</v>
          </cell>
          <cell r="CD11">
            <v>0.129</v>
          </cell>
          <cell r="CE11">
            <v>0.08</v>
          </cell>
          <cell r="CF11">
            <v>0.149</v>
          </cell>
          <cell r="CG11">
            <v>0.525</v>
          </cell>
          <cell r="CH11">
            <v>0.637</v>
          </cell>
          <cell r="CI11">
            <v>0.657</v>
          </cell>
          <cell r="CJ11">
            <v>0.589</v>
          </cell>
          <cell r="CK11">
            <v>0.585</v>
          </cell>
          <cell r="CL11">
            <v>0.638</v>
          </cell>
          <cell r="CM11">
            <v>0.678</v>
          </cell>
          <cell r="CN11">
            <v>0.682</v>
          </cell>
          <cell r="CO11">
            <v>0.679</v>
          </cell>
          <cell r="CP11">
            <v>0.678</v>
          </cell>
          <cell r="CQ11">
            <v>0.678</v>
          </cell>
          <cell r="CR11">
            <v>0.674</v>
          </cell>
          <cell r="CS11">
            <v>0.675</v>
          </cell>
          <cell r="CT11">
            <v>0.671</v>
          </cell>
          <cell r="CU11">
            <v>0.666</v>
          </cell>
          <cell r="CV11">
            <v>0.669</v>
          </cell>
          <cell r="CW11">
            <v>0.67</v>
          </cell>
          <cell r="CX11">
            <v>0.668</v>
          </cell>
        </row>
        <row r="11">
          <cell r="CZ11">
            <v>0.663</v>
          </cell>
        </row>
        <row r="11">
          <cell r="DB11">
            <v>0.665</v>
          </cell>
        </row>
        <row r="11">
          <cell r="DD11">
            <v>0.661</v>
          </cell>
        </row>
        <row r="11">
          <cell r="DF11">
            <v>0.66</v>
          </cell>
        </row>
        <row r="11">
          <cell r="DI11">
            <v>0.662</v>
          </cell>
        </row>
        <row r="11">
          <cell r="DK11">
            <v>0.672</v>
          </cell>
        </row>
        <row r="11">
          <cell r="DM11">
            <v>0.676</v>
          </cell>
        </row>
        <row r="11">
          <cell r="DO11">
            <v>0.651</v>
          </cell>
          <cell r="DP11">
            <v>0.326</v>
          </cell>
        </row>
        <row r="11">
          <cell r="DS11">
            <v>0</v>
          </cell>
        </row>
        <row r="11">
          <cell r="DX11" t="str">
            <v>RP</v>
          </cell>
          <cell r="DY11">
            <v>700</v>
          </cell>
          <cell r="DZ11" t="str">
            <v>MA</v>
          </cell>
          <cell r="EA11" t="str">
            <v>R2017-06Z-177-1/10</v>
          </cell>
        </row>
        <row r="12">
          <cell r="B12" t="str">
            <v>IRG204</v>
          </cell>
          <cell r="C12" t="str">
            <v>Se63As30Sb4Sn3</v>
          </cell>
        </row>
        <row r="12">
          <cell r="E12">
            <v>168.358490566042</v>
          </cell>
          <cell r="F12">
            <v>132.774436090225</v>
          </cell>
        </row>
        <row r="12">
          <cell r="H12">
            <v>0.0105999999999997</v>
          </cell>
          <cell r="I12">
            <v>0.0133000000000001</v>
          </cell>
        </row>
        <row r="12">
          <cell r="O12">
            <v>2.8095</v>
          </cell>
        </row>
        <row r="12">
          <cell r="Q12">
            <v>2.7914</v>
          </cell>
        </row>
        <row r="12">
          <cell r="S12">
            <v>2.7846</v>
          </cell>
        </row>
        <row r="12">
          <cell r="U12">
            <v>2.7808</v>
          </cell>
        </row>
        <row r="12">
          <cell r="W12">
            <v>2.7779</v>
          </cell>
        </row>
        <row r="12">
          <cell r="Y12">
            <v>2.7754</v>
          </cell>
          <cell r="Z12">
            <v>2.773</v>
          </cell>
          <cell r="AA12">
            <v>2.7704</v>
          </cell>
          <cell r="AB12">
            <v>2.7677</v>
          </cell>
          <cell r="AC12">
            <v>2.7659</v>
          </cell>
          <cell r="AD12">
            <v>2.7647</v>
          </cell>
          <cell r="AE12">
            <v>2.7614</v>
          </cell>
          <cell r="AF12">
            <v>2.7597</v>
          </cell>
          <cell r="AG12">
            <v>2.7578</v>
          </cell>
          <cell r="AH12">
            <v>2.7538</v>
          </cell>
        </row>
        <row r="12">
          <cell r="AJ12">
            <v>2.77904809</v>
          </cell>
          <cell r="AK12">
            <v>0.119114976</v>
          </cell>
          <cell r="AL12">
            <v>0.0150434031</v>
          </cell>
          <cell r="AM12">
            <v>-0.000122685571</v>
          </cell>
          <cell r="AN12">
            <v>-1.09065013e-8</v>
          </cell>
          <cell r="AO12">
            <v>-1.8517301e-10</v>
          </cell>
        </row>
        <row r="12">
          <cell r="AR12">
            <v>26</v>
          </cell>
          <cell r="AS12">
            <v>21</v>
          </cell>
        </row>
        <row r="12">
          <cell r="AU12">
            <v>19</v>
          </cell>
          <cell r="AV12">
            <v>18</v>
          </cell>
          <cell r="AW12">
            <v>18</v>
          </cell>
          <cell r="AX12">
            <v>17</v>
          </cell>
          <cell r="AY12">
            <v>16</v>
          </cell>
          <cell r="AZ12">
            <v>1.39794081e-5</v>
          </cell>
          <cell r="BA12">
            <v>6.65805239e-8</v>
          </cell>
          <cell r="BB12">
            <v>-1.61119581e-10</v>
          </cell>
          <cell r="BC12">
            <v>3.04933256e-5</v>
          </cell>
          <cell r="BD12">
            <v>8.15250164e-8</v>
          </cell>
          <cell r="BE12">
            <v>-0.727148659</v>
          </cell>
          <cell r="BF12">
            <v>1</v>
          </cell>
          <cell r="BG12">
            <v>1</v>
          </cell>
          <cell r="BH12">
            <v>2</v>
          </cell>
          <cell r="BI12">
            <v>1</v>
          </cell>
          <cell r="BJ12">
            <v>174</v>
          </cell>
          <cell r="BK12">
            <v>199</v>
          </cell>
        </row>
        <row r="12">
          <cell r="BN12">
            <v>209</v>
          </cell>
          <cell r="BO12">
            <v>216</v>
          </cell>
        </row>
        <row r="12">
          <cell r="BS12">
            <v>115</v>
          </cell>
        </row>
        <row r="12">
          <cell r="BU12">
            <v>18.8</v>
          </cell>
          <cell r="BV12">
            <v>7.3</v>
          </cell>
        </row>
        <row r="12">
          <cell r="BZ12">
            <v>0.29</v>
          </cell>
        </row>
        <row r="12">
          <cell r="CB12">
            <v>4.72</v>
          </cell>
          <cell r="CC12">
            <v>0.003</v>
          </cell>
          <cell r="CD12">
            <v>0.119</v>
          </cell>
          <cell r="CE12">
            <v>0.45</v>
          </cell>
          <cell r="CF12">
            <v>0.574</v>
          </cell>
          <cell r="CG12">
            <v>0.614</v>
          </cell>
          <cell r="CH12">
            <v>0.608</v>
          </cell>
          <cell r="CI12">
            <v>0.61</v>
          </cell>
          <cell r="CJ12">
            <v>0.648</v>
          </cell>
          <cell r="CK12">
            <v>0.663</v>
          </cell>
          <cell r="CL12">
            <v>0.672</v>
          </cell>
          <cell r="CM12">
            <v>0.675</v>
          </cell>
          <cell r="CN12">
            <v>0.674</v>
          </cell>
          <cell r="CO12">
            <v>0.672</v>
          </cell>
          <cell r="CP12">
            <v>0.67</v>
          </cell>
          <cell r="CQ12">
            <v>0.67</v>
          </cell>
          <cell r="CR12">
            <v>0.669</v>
          </cell>
          <cell r="CS12">
            <v>0.667</v>
          </cell>
          <cell r="CT12">
            <v>0.662</v>
          </cell>
          <cell r="CU12">
            <v>0.647</v>
          </cell>
          <cell r="CV12">
            <v>0.66</v>
          </cell>
          <cell r="CW12">
            <v>0.662</v>
          </cell>
          <cell r="CX12">
            <v>0.661</v>
          </cell>
        </row>
        <row r="12">
          <cell r="CZ12">
            <v>0.661</v>
          </cell>
        </row>
        <row r="12">
          <cell r="DB12">
            <v>0.658</v>
          </cell>
        </row>
        <row r="12">
          <cell r="DD12">
            <v>0.656</v>
          </cell>
        </row>
        <row r="12">
          <cell r="DF12">
            <v>0.654</v>
          </cell>
        </row>
        <row r="12">
          <cell r="DI12">
            <v>0.654</v>
          </cell>
        </row>
        <row r="12">
          <cell r="DK12">
            <v>0.651</v>
          </cell>
        </row>
        <row r="12">
          <cell r="DM12">
            <v>0.644</v>
          </cell>
        </row>
        <row r="12">
          <cell r="DO12">
            <v>0.583</v>
          </cell>
        </row>
        <row r="12">
          <cell r="DS12">
            <v>0</v>
          </cell>
        </row>
        <row r="12">
          <cell r="DX12" t="str">
            <v>RP</v>
          </cell>
          <cell r="DY12">
            <v>600</v>
          </cell>
          <cell r="DZ12" t="str">
            <v>B</v>
          </cell>
          <cell r="EA12" t="str">
            <v>R2016-06Z-605/10</v>
          </cell>
        </row>
        <row r="13">
          <cell r="B13" t="str">
            <v>IRG205</v>
          </cell>
          <cell r="C13" t="str">
            <v>Ge28Se60Sb12</v>
          </cell>
        </row>
        <row r="13">
          <cell r="E13">
            <v>174.43010752688</v>
          </cell>
          <cell r="F13">
            <v>93.6315789473702</v>
          </cell>
        </row>
        <row r="13">
          <cell r="H13">
            <v>0.00930000000000009</v>
          </cell>
          <cell r="I13">
            <v>0.0170999999999997</v>
          </cell>
        </row>
        <row r="13">
          <cell r="O13">
            <v>2.6423</v>
          </cell>
        </row>
        <row r="13">
          <cell r="Q13">
            <v>2.6279</v>
          </cell>
        </row>
        <row r="13">
          <cell r="S13">
            <v>2.6222</v>
          </cell>
        </row>
        <row r="13">
          <cell r="U13">
            <v>2.6186</v>
          </cell>
        </row>
        <row r="13">
          <cell r="W13">
            <v>2.6157</v>
          </cell>
        </row>
        <row r="13">
          <cell r="Y13">
            <v>2.6129</v>
          </cell>
          <cell r="Z13">
            <v>2.61</v>
          </cell>
          <cell r="AA13">
            <v>2.6068</v>
          </cell>
          <cell r="AB13">
            <v>2.6033</v>
          </cell>
          <cell r="AC13">
            <v>2.6011</v>
          </cell>
          <cell r="AD13">
            <v>2.5994</v>
          </cell>
          <cell r="AE13">
            <v>2.5952</v>
          </cell>
          <cell r="AF13">
            <v>2.5929</v>
          </cell>
          <cell r="AG13">
            <v>2.5905</v>
          </cell>
          <cell r="AH13">
            <v>2.585</v>
          </cell>
        </row>
        <row r="13">
          <cell r="AJ13">
            <v>2.6191393</v>
          </cell>
          <cell r="AK13">
            <v>0.0896817068</v>
          </cell>
          <cell r="AL13">
            <v>0.0196164887</v>
          </cell>
          <cell r="AM13">
            <v>-0.000165122357</v>
          </cell>
          <cell r="AN13">
            <v>1.7019611e-8</v>
          </cell>
          <cell r="AO13">
            <v>-3.78716691e-10</v>
          </cell>
        </row>
        <row r="13">
          <cell r="AQ13">
            <v>86</v>
          </cell>
          <cell r="AR13">
            <v>78</v>
          </cell>
          <cell r="AS13">
            <v>72</v>
          </cell>
        </row>
        <row r="13">
          <cell r="AU13">
            <v>70</v>
          </cell>
          <cell r="AV13">
            <v>70</v>
          </cell>
          <cell r="AW13">
            <v>70</v>
          </cell>
          <cell r="AX13">
            <v>70</v>
          </cell>
          <cell r="AY13">
            <v>70</v>
          </cell>
          <cell r="AZ13">
            <v>6.14572914e-5</v>
          </cell>
          <cell r="BA13">
            <v>1.00145875e-7</v>
          </cell>
          <cell r="BB13">
            <v>4.99576375e-10</v>
          </cell>
          <cell r="BC13">
            <v>1.79054048e-5</v>
          </cell>
          <cell r="BD13">
            <v>4.39154637e-9</v>
          </cell>
          <cell r="BE13">
            <v>0.929199596</v>
          </cell>
          <cell r="BF13">
            <v>1</v>
          </cell>
          <cell r="BG13">
            <v>1</v>
          </cell>
          <cell r="BH13">
            <v>1</v>
          </cell>
          <cell r="BI13">
            <v>1</v>
          </cell>
          <cell r="BJ13">
            <v>282</v>
          </cell>
          <cell r="BK13">
            <v>314</v>
          </cell>
        </row>
        <row r="13">
          <cell r="BN13">
            <v>140</v>
          </cell>
          <cell r="BO13">
            <v>141</v>
          </cell>
        </row>
        <row r="13">
          <cell r="BR13">
            <v>0.33</v>
          </cell>
          <cell r="BS13">
            <v>132</v>
          </cell>
          <cell r="BT13">
            <v>996</v>
          </cell>
          <cell r="BU13">
            <v>21.9</v>
          </cell>
          <cell r="BV13">
            <v>8.6</v>
          </cell>
        </row>
        <row r="13">
          <cell r="BZ13">
            <v>0.27</v>
          </cell>
          <cell r="CA13">
            <v>9.71</v>
          </cell>
          <cell r="CB13">
            <v>4.68</v>
          </cell>
          <cell r="CC13">
            <v>0.036</v>
          </cell>
          <cell r="CD13">
            <v>0.083</v>
          </cell>
          <cell r="CE13">
            <v>0.057</v>
          </cell>
          <cell r="CF13">
            <v>0.157</v>
          </cell>
          <cell r="CG13">
            <v>0.496</v>
          </cell>
          <cell r="CH13">
            <v>0.629</v>
          </cell>
          <cell r="CI13">
            <v>0.648</v>
          </cell>
          <cell r="CJ13">
            <v>0.569</v>
          </cell>
          <cell r="CK13">
            <v>0.568</v>
          </cell>
          <cell r="CL13">
            <v>0.633</v>
          </cell>
          <cell r="CM13">
            <v>0.681</v>
          </cell>
          <cell r="CN13">
            <v>0.686</v>
          </cell>
          <cell r="CO13">
            <v>0.685</v>
          </cell>
          <cell r="CP13">
            <v>0.684</v>
          </cell>
          <cell r="CQ13">
            <v>0.685</v>
          </cell>
          <cell r="CR13">
            <v>0.68</v>
          </cell>
          <cell r="CS13">
            <v>0.681</v>
          </cell>
          <cell r="CT13">
            <v>0.679</v>
          </cell>
          <cell r="CU13">
            <v>0.676</v>
          </cell>
          <cell r="CV13">
            <v>0.678</v>
          </cell>
          <cell r="CW13">
            <v>0.679</v>
          </cell>
          <cell r="CX13">
            <v>0.671</v>
          </cell>
        </row>
        <row r="13">
          <cell r="CZ13">
            <v>0.671</v>
          </cell>
        </row>
        <row r="13">
          <cell r="DB13">
            <v>0.675</v>
          </cell>
        </row>
        <row r="13">
          <cell r="DD13">
            <v>0.671</v>
          </cell>
        </row>
        <row r="13">
          <cell r="DF13">
            <v>0.668</v>
          </cell>
        </row>
        <row r="13">
          <cell r="DI13">
            <v>0.676</v>
          </cell>
        </row>
        <row r="13">
          <cell r="DK13">
            <v>0.681</v>
          </cell>
        </row>
        <row r="13">
          <cell r="DM13">
            <v>0.652</v>
          </cell>
        </row>
        <row r="13">
          <cell r="DO13">
            <v>0.602</v>
          </cell>
          <cell r="DP13">
            <v>0.002</v>
          </cell>
        </row>
        <row r="13">
          <cell r="DS13">
            <v>0</v>
          </cell>
        </row>
        <row r="13">
          <cell r="DX13" t="str">
            <v>RP</v>
          </cell>
          <cell r="DY13">
            <v>900</v>
          </cell>
          <cell r="DZ13" t="str">
            <v>MA</v>
          </cell>
          <cell r="EA13" t="str">
            <v>TR2016-06Z-715/10</v>
          </cell>
        </row>
        <row r="14">
          <cell r="B14" t="str">
            <v>IRG206</v>
          </cell>
          <cell r="C14" t="str">
            <v>Se60As40</v>
          </cell>
        </row>
        <row r="14">
          <cell r="E14">
            <v>169.311320754721</v>
          </cell>
          <cell r="F14">
            <v>137.705426356592</v>
          </cell>
        </row>
        <row r="14">
          <cell r="H14">
            <v>0.0105999999999997</v>
          </cell>
          <cell r="I14">
            <v>0.0128999999999997</v>
          </cell>
        </row>
        <row r="14">
          <cell r="O14">
            <v>2.8197</v>
          </cell>
        </row>
        <row r="14">
          <cell r="Q14">
            <v>2.8015</v>
          </cell>
        </row>
        <row r="14">
          <cell r="S14">
            <v>2.7947</v>
          </cell>
        </row>
        <row r="14">
          <cell r="U14">
            <v>2.7909</v>
          </cell>
        </row>
        <row r="14">
          <cell r="W14">
            <v>2.788</v>
          </cell>
        </row>
        <row r="14">
          <cell r="Y14">
            <v>2.7856</v>
          </cell>
          <cell r="Z14">
            <v>2.7832</v>
          </cell>
          <cell r="AA14">
            <v>2.7807</v>
          </cell>
          <cell r="AB14">
            <v>2.7781</v>
          </cell>
          <cell r="AC14">
            <v>2.7764</v>
          </cell>
          <cell r="AD14">
            <v>2.7752</v>
          </cell>
          <cell r="AE14">
            <v>2.772</v>
          </cell>
          <cell r="AF14">
            <v>2.7703</v>
          </cell>
          <cell r="AG14">
            <v>2.7685</v>
          </cell>
          <cell r="AH14">
            <v>2.7646</v>
          </cell>
        </row>
        <row r="14">
          <cell r="AJ14">
            <v>2.78901449</v>
          </cell>
          <cell r="AK14">
            <v>0.12022832</v>
          </cell>
          <cell r="AL14">
            <v>0.0140968057</v>
          </cell>
          <cell r="AM14">
            <v>-0.000119593672</v>
          </cell>
          <cell r="AN14">
            <v>3.87859337e-9</v>
          </cell>
          <cell r="AO14">
            <v>-2.3183781e-10</v>
          </cell>
        </row>
        <row r="14">
          <cell r="AQ14">
            <v>51</v>
          </cell>
          <cell r="AR14">
            <v>42</v>
          </cell>
          <cell r="AS14">
            <v>37</v>
          </cell>
        </row>
        <row r="14">
          <cell r="AU14">
            <v>34</v>
          </cell>
          <cell r="AV14">
            <v>32</v>
          </cell>
          <cell r="AW14">
            <v>32</v>
          </cell>
          <cell r="AX14">
            <v>32</v>
          </cell>
          <cell r="AY14">
            <v>32</v>
          </cell>
          <cell r="AZ14">
            <v>2.65966795e-5</v>
          </cell>
          <cell r="BA14">
            <v>-3.30028088e-8</v>
          </cell>
          <cell r="BB14">
            <v>-2.13497778e-10</v>
          </cell>
          <cell r="BC14">
            <v>3.35590269e-5</v>
          </cell>
          <cell r="BD14">
            <v>4.18228806e-8</v>
          </cell>
          <cell r="BE14">
            <v>0.0448973442</v>
          </cell>
          <cell r="BF14">
            <v>1</v>
          </cell>
          <cell r="BG14">
            <v>1</v>
          </cell>
          <cell r="BH14">
            <v>1</v>
          </cell>
          <cell r="BI14">
            <v>1</v>
          </cell>
          <cell r="BJ14">
            <v>184</v>
          </cell>
          <cell r="BK14">
            <v>216</v>
          </cell>
        </row>
        <row r="14">
          <cell r="BN14">
            <v>207</v>
          </cell>
          <cell r="BO14">
            <v>213</v>
          </cell>
        </row>
        <row r="14">
          <cell r="BR14">
            <v>0.24</v>
          </cell>
          <cell r="BS14">
            <v>118</v>
          </cell>
        </row>
        <row r="14">
          <cell r="BU14">
            <v>18.4</v>
          </cell>
          <cell r="BV14">
            <v>7.1</v>
          </cell>
        </row>
        <row r="14">
          <cell r="BZ14">
            <v>0.3</v>
          </cell>
        </row>
        <row r="14">
          <cell r="CB14">
            <v>4.63</v>
          </cell>
          <cell r="CC14">
            <v>0.005</v>
          </cell>
          <cell r="CD14">
            <v>0.07</v>
          </cell>
          <cell r="CE14">
            <v>0.385</v>
          </cell>
          <cell r="CF14">
            <v>0.525</v>
          </cell>
          <cell r="CG14">
            <v>0.558</v>
          </cell>
          <cell r="CH14">
            <v>0.55</v>
          </cell>
          <cell r="CI14">
            <v>0.57</v>
          </cell>
          <cell r="CJ14">
            <v>0.618</v>
          </cell>
          <cell r="CK14">
            <v>0.638</v>
          </cell>
          <cell r="CL14">
            <v>0.645</v>
          </cell>
          <cell r="CM14">
            <v>0.646</v>
          </cell>
          <cell r="CN14">
            <v>0.645</v>
          </cell>
          <cell r="CO14">
            <v>0.646</v>
          </cell>
          <cell r="CP14">
            <v>0.644</v>
          </cell>
          <cell r="CQ14">
            <v>0.645</v>
          </cell>
          <cell r="CR14">
            <v>0.645</v>
          </cell>
          <cell r="CS14">
            <v>0.644</v>
          </cell>
          <cell r="CT14">
            <v>0.643</v>
          </cell>
          <cell r="CU14">
            <v>0.641</v>
          </cell>
          <cell r="CV14">
            <v>0.643</v>
          </cell>
          <cell r="CW14">
            <v>0.643</v>
          </cell>
          <cell r="CX14">
            <v>0.642</v>
          </cell>
        </row>
        <row r="14">
          <cell r="CZ14">
            <v>0.641</v>
          </cell>
        </row>
        <row r="14">
          <cell r="DB14">
            <v>0.641</v>
          </cell>
        </row>
        <row r="14">
          <cell r="DD14">
            <v>0.638</v>
          </cell>
        </row>
        <row r="14">
          <cell r="DF14">
            <v>0.635</v>
          </cell>
        </row>
        <row r="14">
          <cell r="DI14">
            <v>0.635</v>
          </cell>
        </row>
        <row r="14">
          <cell r="DK14">
            <v>0.632</v>
          </cell>
        </row>
        <row r="14">
          <cell r="DM14">
            <v>0.625</v>
          </cell>
        </row>
        <row r="14">
          <cell r="DO14">
            <v>0.604</v>
          </cell>
          <cell r="DP14">
            <v>0.049</v>
          </cell>
        </row>
        <row r="14">
          <cell r="DS14">
            <v>0</v>
          </cell>
        </row>
        <row r="14">
          <cell r="DX14" t="str">
            <v>RP</v>
          </cell>
          <cell r="DY14">
            <v>600</v>
          </cell>
          <cell r="DZ14" t="str">
            <v>A</v>
          </cell>
          <cell r="EA14" t="str">
            <v>R2017-06Z-179-2/10</v>
          </cell>
        </row>
        <row r="15">
          <cell r="B15" t="str">
            <v>IRG207</v>
          </cell>
          <cell r="C15" t="str">
            <v>Ge10Se50As40</v>
          </cell>
        </row>
        <row r="15">
          <cell r="E15">
            <v>200.23456790124</v>
          </cell>
          <cell r="F15">
            <v>154.567307692305</v>
          </cell>
        </row>
        <row r="15">
          <cell r="H15">
            <v>0.00809999999999977</v>
          </cell>
          <cell r="I15">
            <v>0.0104000000000002</v>
          </cell>
        </row>
        <row r="15">
          <cell r="O15">
            <v>2.6418</v>
          </cell>
        </row>
        <row r="15">
          <cell r="Q15">
            <v>2.6271</v>
          </cell>
        </row>
        <row r="15">
          <cell r="S15">
            <v>2.6219</v>
          </cell>
        </row>
        <row r="15">
          <cell r="U15">
            <v>2.619</v>
          </cell>
        </row>
        <row r="15">
          <cell r="W15">
            <v>2.6168</v>
          </cell>
        </row>
        <row r="15">
          <cell r="Y15">
            <v>2.6149</v>
          </cell>
          <cell r="Z15">
            <v>2.613</v>
          </cell>
          <cell r="AA15">
            <v>2.611</v>
          </cell>
          <cell r="AB15">
            <v>2.6089</v>
          </cell>
          <cell r="AC15">
            <v>2.6075</v>
          </cell>
          <cell r="AD15">
            <v>2.6066</v>
          </cell>
          <cell r="AE15">
            <v>2.604</v>
          </cell>
          <cell r="AF15">
            <v>2.6026</v>
          </cell>
          <cell r="AG15">
            <v>2.6011</v>
          </cell>
          <cell r="AH15">
            <v>2.5976</v>
          </cell>
        </row>
        <row r="15">
          <cell r="AJ15">
            <v>2.61831229</v>
          </cell>
          <cell r="AK15">
            <v>0.0816642866</v>
          </cell>
          <cell r="AL15">
            <v>0.053106591</v>
          </cell>
          <cell r="AM15">
            <v>-0.000110051999</v>
          </cell>
          <cell r="AN15">
            <v>1.46716051e-7</v>
          </cell>
          <cell r="AO15">
            <v>-6.88427028e-10</v>
          </cell>
        </row>
        <row r="15">
          <cell r="AQ15">
            <v>29</v>
          </cell>
          <cell r="AR15">
            <v>22</v>
          </cell>
          <cell r="AS15">
            <v>18</v>
          </cell>
        </row>
        <row r="15">
          <cell r="AU15">
            <v>17</v>
          </cell>
          <cell r="AV15">
            <v>17</v>
          </cell>
          <cell r="AW15">
            <v>17</v>
          </cell>
        </row>
        <row r="15">
          <cell r="AZ15">
            <v>1.48053392e-5</v>
          </cell>
          <cell r="BA15">
            <v>-3.01867159e-8</v>
          </cell>
          <cell r="BB15">
            <v>3.01500279e-10</v>
          </cell>
          <cell r="BC15">
            <v>1.69101074e-5</v>
          </cell>
          <cell r="BD15">
            <v>-3.09972262e-8</v>
          </cell>
          <cell r="BE15">
            <v>0.976244312</v>
          </cell>
          <cell r="BF15">
            <v>1</v>
          </cell>
          <cell r="BG15">
            <v>1</v>
          </cell>
          <cell r="BH15">
            <v>1</v>
          </cell>
          <cell r="BI15">
            <v>1</v>
          </cell>
          <cell r="BJ15">
            <v>228</v>
          </cell>
          <cell r="BK15">
            <v>281</v>
          </cell>
        </row>
        <row r="15">
          <cell r="BN15">
            <v>203</v>
          </cell>
          <cell r="BO15">
            <v>205</v>
          </cell>
        </row>
        <row r="15">
          <cell r="BR15">
            <v>0.37</v>
          </cell>
          <cell r="BS15">
            <v>126</v>
          </cell>
        </row>
        <row r="15">
          <cell r="CB15">
            <v>4.49</v>
          </cell>
          <cell r="CC15">
            <v>0.015</v>
          </cell>
          <cell r="CD15">
            <v>0.074</v>
          </cell>
          <cell r="CE15">
            <v>0.188</v>
          </cell>
          <cell r="CF15">
            <v>0.371</v>
          </cell>
          <cell r="CG15">
            <v>0.618</v>
          </cell>
          <cell r="CH15">
            <v>0.644</v>
          </cell>
          <cell r="CI15">
            <v>0.635</v>
          </cell>
          <cell r="CJ15">
            <v>0.589</v>
          </cell>
          <cell r="CK15">
            <v>0.598</v>
          </cell>
          <cell r="CL15">
            <v>0.652</v>
          </cell>
          <cell r="CM15">
            <v>0.682</v>
          </cell>
          <cell r="CN15">
            <v>0.683</v>
          </cell>
          <cell r="CO15">
            <v>0.681</v>
          </cell>
          <cell r="CP15">
            <v>0.678</v>
          </cell>
          <cell r="CQ15">
            <v>0.679</v>
          </cell>
          <cell r="CR15">
            <v>0.674</v>
          </cell>
          <cell r="CS15">
            <v>0.674</v>
          </cell>
          <cell r="CT15">
            <v>0.672</v>
          </cell>
          <cell r="CU15">
            <v>0.668</v>
          </cell>
          <cell r="CV15">
            <v>0.667</v>
          </cell>
          <cell r="CW15">
            <v>0.667</v>
          </cell>
          <cell r="CX15">
            <v>0.663</v>
          </cell>
        </row>
        <row r="15">
          <cell r="CZ15">
            <v>0.66</v>
          </cell>
        </row>
        <row r="15">
          <cell r="DB15">
            <v>0.66</v>
          </cell>
        </row>
        <row r="15">
          <cell r="DD15">
            <v>0.656</v>
          </cell>
        </row>
        <row r="15">
          <cell r="DF15">
            <v>0.654</v>
          </cell>
        </row>
        <row r="15">
          <cell r="DI15">
            <v>0.65</v>
          </cell>
        </row>
        <row r="15">
          <cell r="DK15">
            <v>0.651</v>
          </cell>
        </row>
        <row r="15">
          <cell r="DM15">
            <v>0.653</v>
          </cell>
        </row>
        <row r="15">
          <cell r="DO15">
            <v>0.612</v>
          </cell>
          <cell r="DP15">
            <v>0.399</v>
          </cell>
        </row>
        <row r="15">
          <cell r="DS15">
            <v>0</v>
          </cell>
        </row>
        <row r="15">
          <cell r="DX15" t="str">
            <v>RP</v>
          </cell>
          <cell r="DY15">
            <v>700</v>
          </cell>
          <cell r="DZ15" t="str">
            <v>A</v>
          </cell>
          <cell r="EA15" t="str">
            <v>TR2016-06Z-040-1/10</v>
          </cell>
        </row>
        <row r="16">
          <cell r="B16" t="str">
            <v>IRG209</v>
          </cell>
        </row>
        <row r="16">
          <cell r="E16">
            <v>98.5433789954337</v>
          </cell>
          <cell r="F16">
            <v>209.32352941177</v>
          </cell>
        </row>
        <row r="16">
          <cell r="H16">
            <v>0.0219</v>
          </cell>
          <cell r="I16">
            <v>0.0101999999999998</v>
          </cell>
        </row>
        <row r="16">
          <cell r="Q16">
            <v>3.1728</v>
          </cell>
        </row>
        <row r="16">
          <cell r="S16">
            <v>3.1581</v>
          </cell>
        </row>
        <row r="16">
          <cell r="U16">
            <v>3.1509</v>
          </cell>
        </row>
        <row r="16">
          <cell r="W16">
            <v>3.1466</v>
          </cell>
        </row>
        <row r="16">
          <cell r="Y16">
            <v>3.1435</v>
          </cell>
          <cell r="Z16">
            <v>3.1411</v>
          </cell>
          <cell r="AA16">
            <v>3.1388</v>
          </cell>
          <cell r="AB16">
            <v>3.1366</v>
          </cell>
          <cell r="AC16">
            <v>3.1351</v>
          </cell>
          <cell r="AD16">
            <v>3.1343</v>
          </cell>
          <cell r="AE16">
            <v>3.132</v>
          </cell>
          <cell r="AF16">
            <v>3.1309</v>
          </cell>
        </row>
        <row r="16">
          <cell r="AJ16">
            <v>3.13929176</v>
          </cell>
          <cell r="AK16">
            <v>0.313936155</v>
          </cell>
          <cell r="AL16">
            <v>-0.0996169027</v>
          </cell>
          <cell r="AM16">
            <v>-2.04518e-5</v>
          </cell>
          <cell r="AN16">
            <v>-5.44750915e-7</v>
          </cell>
          <cell r="AO16">
            <v>1.59766987e-9</v>
          </cell>
        </row>
        <row r="16">
          <cell r="BF16">
            <v>1</v>
          </cell>
          <cell r="BG16">
            <v>1</v>
          </cell>
          <cell r="BH16">
            <v>1</v>
          </cell>
          <cell r="BI16">
            <v>1</v>
          </cell>
          <cell r="BJ16">
            <v>183</v>
          </cell>
          <cell r="BK16">
            <v>212</v>
          </cell>
        </row>
        <row r="16">
          <cell r="BO16">
            <v>180</v>
          </cell>
        </row>
        <row r="16">
          <cell r="BS16">
            <v>112</v>
          </cell>
        </row>
        <row r="16">
          <cell r="CB16">
            <v>5.31</v>
          </cell>
          <cell r="CC16">
            <v>0.2</v>
          </cell>
          <cell r="CD16">
            <v>0.2</v>
          </cell>
          <cell r="CE16">
            <v>0.37</v>
          </cell>
          <cell r="CF16">
            <v>0.53</v>
          </cell>
          <cell r="CG16">
            <v>0.56</v>
          </cell>
          <cell r="CH16">
            <v>0.56</v>
          </cell>
          <cell r="CI16">
            <v>0.4</v>
          </cell>
          <cell r="CJ16">
            <v>0.13</v>
          </cell>
          <cell r="CK16">
            <v>0.49</v>
          </cell>
          <cell r="CL16">
            <v>0.59</v>
          </cell>
          <cell r="CM16">
            <v>0.59</v>
          </cell>
          <cell r="CN16">
            <v>0.59</v>
          </cell>
          <cell r="CO16">
            <v>0.59</v>
          </cell>
          <cell r="CP16">
            <v>0.59</v>
          </cell>
          <cell r="CQ16">
            <v>0.58</v>
          </cell>
          <cell r="CR16">
            <v>0.57</v>
          </cell>
          <cell r="CS16">
            <v>0.58</v>
          </cell>
          <cell r="CT16">
            <v>0.58</v>
          </cell>
          <cell r="CU16">
            <v>0.58</v>
          </cell>
          <cell r="CV16">
            <v>0.58</v>
          </cell>
          <cell r="CW16">
            <v>0.58</v>
          </cell>
          <cell r="CX16">
            <v>0.57</v>
          </cell>
        </row>
        <row r="16">
          <cell r="CZ16">
            <v>0.57</v>
          </cell>
        </row>
        <row r="16">
          <cell r="DB16">
            <v>0.57</v>
          </cell>
        </row>
        <row r="16">
          <cell r="DD16">
            <v>0.56</v>
          </cell>
        </row>
        <row r="16">
          <cell r="DF16">
            <v>0.55</v>
          </cell>
        </row>
        <row r="16">
          <cell r="DI16">
            <v>0.54</v>
          </cell>
        </row>
        <row r="16">
          <cell r="DK16">
            <v>0.5</v>
          </cell>
        </row>
        <row r="16">
          <cell r="DM16">
            <v>0.09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-ZK3L-M90@3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Z296"/>
  <sheetViews>
    <sheetView tabSelected="1" zoomScale="90" zoomScaleNormal="90" workbookViewId="0">
      <pane xSplit="3" ySplit="4" topLeftCell="KK5" activePane="bottomRight" state="frozen"/>
      <selection/>
      <selection pane="topRight"/>
      <selection pane="bottomLeft"/>
      <selection pane="bottomRight" activeCell="KQ21" sqref="KQ21"/>
    </sheetView>
  </sheetViews>
  <sheetFormatPr defaultColWidth="9" defaultRowHeight="13.2"/>
  <cols>
    <col min="1" max="1" width="9" style="628"/>
    <col min="2" max="2" width="4.5" style="659" customWidth="1"/>
    <col min="3" max="3" width="19.1296296296296" style="662" customWidth="1"/>
    <col min="4" max="4" width="9.75" style="628" customWidth="1"/>
    <col min="5" max="6" width="8.75" style="665" customWidth="1"/>
    <col min="7" max="8" width="9.75" style="666" customWidth="1"/>
    <col min="9" max="28" width="8.75" style="667" customWidth="1"/>
    <col min="29" max="34" width="17.75" style="628" customWidth="1"/>
    <col min="35" max="35" width="9" style="628" customWidth="1"/>
    <col min="36" max="36" width="6.77777777777778" style="628" customWidth="1"/>
    <col min="37" max="44" width="7.75" style="628" customWidth="1"/>
    <col min="45" max="165" width="9.12962962962963" style="628" customWidth="1"/>
    <col min="166" max="171" width="9.62962962962963" style="668" customWidth="1"/>
    <col min="172" max="177" width="7.75" style="628" customWidth="1"/>
    <col min="178" max="178" width="7.75" style="669" customWidth="1"/>
    <col min="179" max="179" width="7.75" style="628" customWidth="1"/>
    <col min="180" max="180" width="4.87962962962963" style="628" customWidth="1"/>
    <col min="181" max="181" width="7.75" style="628" customWidth="1"/>
    <col min="182" max="185" width="7.75" style="669" customWidth="1"/>
    <col min="186" max="186" width="7.75" style="665" customWidth="1"/>
    <col min="187" max="187" width="4.5" style="628" customWidth="1"/>
    <col min="188" max="210" width="11.3796296296296" style="669" customWidth="1"/>
    <col min="211" max="213" width="8.75" style="669" customWidth="1"/>
    <col min="214" max="215" width="9.75" style="669" customWidth="1"/>
    <col min="216" max="217" width="9.75" style="670" customWidth="1"/>
    <col min="218" max="218" width="9.75" style="671" customWidth="1"/>
    <col min="219" max="219" width="9.75" style="669" customWidth="1"/>
    <col min="220" max="220" width="14.3796296296296" style="665" customWidth="1"/>
    <col min="221" max="221" width="10.5" style="665" customWidth="1"/>
    <col min="222" max="222" width="10.6296296296296" style="628" customWidth="1"/>
    <col min="223" max="223" width="14.3796296296296" style="628" customWidth="1"/>
    <col min="224" max="224" width="11.1296296296296" style="670" customWidth="1"/>
    <col min="225" max="296" width="8.37962962962963" style="671" customWidth="1"/>
    <col min="297" max="297" width="16.6296296296296" style="628" customWidth="1"/>
    <col min="298" max="299" width="8.5" style="669" customWidth="1"/>
    <col min="300" max="301" width="10.8796296296296" style="628" customWidth="1"/>
    <col min="302" max="302" width="9.75" style="628" customWidth="1"/>
    <col min="303" max="303" width="14.6296296296296" style="672" customWidth="1"/>
    <col min="304" max="304" width="10.6296296296296" style="673" customWidth="1"/>
    <col min="305" max="305" width="14.6296296296296" style="672" customWidth="1"/>
    <col min="306" max="306" width="10.6296296296296" style="673" customWidth="1"/>
    <col min="307" max="307" width="13.1296296296296" style="672" customWidth="1"/>
    <col min="308" max="308" width="10.6296296296296" style="673" customWidth="1"/>
    <col min="309" max="309" width="10.8518518518519" style="672" customWidth="1"/>
    <col min="310" max="310" width="10.6296296296296" style="673" customWidth="1"/>
    <col min="311" max="311" width="22.3425925925926" style="672" customWidth="1"/>
    <col min="312" max="312" width="10.6296296296296" style="673" customWidth="1"/>
    <col min="313" max="313" width="9.11111111111111" style="628"/>
    <col min="314" max="16384" width="9" style="628"/>
  </cols>
  <sheetData>
    <row r="1" s="628" customFormat="1" ht="15" hidden="1" customHeight="1" spans="2:312">
      <c r="B1" s="659"/>
      <c r="C1" s="674"/>
      <c r="E1" s="665"/>
      <c r="F1" s="665"/>
      <c r="G1" s="666"/>
      <c r="H1" s="666" t="s">
        <v>0</v>
      </c>
      <c r="I1" s="667">
        <v>2.32542</v>
      </c>
      <c r="J1" s="667">
        <v>1.97009</v>
      </c>
      <c r="K1" s="667">
        <v>1.52958</v>
      </c>
      <c r="L1" s="667">
        <v>1.12864</v>
      </c>
      <c r="M1" s="667">
        <v>1.064</v>
      </c>
      <c r="N1" s="667">
        <v>1.01398</v>
      </c>
      <c r="O1" s="667">
        <v>0.85211</v>
      </c>
      <c r="P1" s="667">
        <v>0.76819</v>
      </c>
      <c r="Q1" s="667">
        <v>0.70652</v>
      </c>
      <c r="R1" s="667">
        <v>0.65627</v>
      </c>
      <c r="S1" s="667">
        <v>0.64385</v>
      </c>
      <c r="T1" s="667">
        <v>0.6328</v>
      </c>
      <c r="U1" s="667">
        <v>0.58929</v>
      </c>
      <c r="V1" s="667">
        <v>0.58756</v>
      </c>
      <c r="W1" s="667">
        <v>0.54607</v>
      </c>
      <c r="X1" s="667">
        <v>0.48613</v>
      </c>
      <c r="Y1" s="667">
        <v>0.47999</v>
      </c>
      <c r="Z1" s="667">
        <v>0.43584</v>
      </c>
      <c r="AA1" s="667">
        <v>0.40466</v>
      </c>
      <c r="AB1" s="667">
        <v>0.36501</v>
      </c>
      <c r="FJ1" s="668"/>
      <c r="FK1" s="668"/>
      <c r="FL1" s="668"/>
      <c r="FM1" s="668"/>
      <c r="FN1" s="668"/>
      <c r="FO1" s="668"/>
      <c r="FV1" s="669"/>
      <c r="FZ1" s="669"/>
      <c r="GA1" s="669"/>
      <c r="GB1" s="669"/>
      <c r="GC1" s="669"/>
      <c r="GD1" s="665"/>
      <c r="GF1" s="669"/>
      <c r="GG1" s="669"/>
      <c r="GH1" s="669"/>
      <c r="GI1" s="669"/>
      <c r="GJ1" s="669"/>
      <c r="GK1" s="669"/>
      <c r="GL1" s="669"/>
      <c r="GM1" s="669"/>
      <c r="GN1" s="669"/>
      <c r="GO1" s="669"/>
      <c r="GP1" s="669"/>
      <c r="GQ1" s="669"/>
      <c r="GR1" s="669"/>
      <c r="GS1" s="669"/>
      <c r="GT1" s="669"/>
      <c r="GU1" s="669"/>
      <c r="GV1" s="669"/>
      <c r="GW1" s="669"/>
      <c r="GX1" s="669"/>
      <c r="GY1" s="669"/>
      <c r="GZ1" s="669"/>
      <c r="HA1" s="669"/>
      <c r="HB1" s="669"/>
      <c r="HC1" s="669"/>
      <c r="HD1" s="669"/>
      <c r="HE1" s="669"/>
      <c r="HF1" s="669"/>
      <c r="HG1" s="669"/>
      <c r="HH1" s="670"/>
      <c r="HI1" s="670"/>
      <c r="HJ1" s="671"/>
      <c r="HK1" s="669"/>
      <c r="HL1" s="665"/>
      <c r="HM1" s="665"/>
      <c r="HP1" s="670"/>
      <c r="HQ1" s="671"/>
      <c r="HR1" s="671"/>
      <c r="HS1" s="671"/>
      <c r="HT1" s="671"/>
      <c r="HU1" s="671"/>
      <c r="HV1" s="671"/>
      <c r="HW1" s="671"/>
      <c r="HX1" s="671"/>
      <c r="HY1" s="671"/>
      <c r="HZ1" s="671"/>
      <c r="IA1" s="671"/>
      <c r="IB1" s="671"/>
      <c r="IC1" s="671"/>
      <c r="ID1" s="671"/>
      <c r="IE1" s="671"/>
      <c r="IF1" s="671"/>
      <c r="IG1" s="671"/>
      <c r="IH1" s="671"/>
      <c r="II1" s="671"/>
      <c r="IJ1" s="671"/>
      <c r="IK1" s="671"/>
      <c r="IL1" s="671"/>
      <c r="IM1" s="671"/>
      <c r="IN1" s="671"/>
      <c r="IO1" s="671"/>
      <c r="IP1" s="671"/>
      <c r="IQ1" s="671"/>
      <c r="IR1" s="671"/>
      <c r="IS1" s="671"/>
      <c r="IT1" s="671"/>
      <c r="IU1" s="671"/>
      <c r="IV1" s="671"/>
      <c r="IW1" s="671"/>
      <c r="IX1" s="671"/>
      <c r="IY1" s="671"/>
      <c r="IZ1" s="671"/>
      <c r="JA1" s="671"/>
      <c r="JB1" s="671"/>
      <c r="JC1" s="671"/>
      <c r="JD1" s="671"/>
      <c r="JE1" s="671"/>
      <c r="JF1" s="671"/>
      <c r="JG1" s="671"/>
      <c r="JH1" s="671"/>
      <c r="JI1" s="671"/>
      <c r="JJ1" s="671"/>
      <c r="JK1" s="671"/>
      <c r="JL1" s="671"/>
      <c r="JM1" s="671"/>
      <c r="JN1" s="671"/>
      <c r="JO1" s="671"/>
      <c r="JP1" s="671"/>
      <c r="JQ1" s="671"/>
      <c r="JR1" s="671"/>
      <c r="JS1" s="671"/>
      <c r="JT1" s="671"/>
      <c r="JU1" s="671"/>
      <c r="JV1" s="671"/>
      <c r="JW1" s="671"/>
      <c r="JX1" s="671"/>
      <c r="JY1" s="671"/>
      <c r="JZ1" s="671"/>
      <c r="KA1" s="671"/>
      <c r="KB1" s="671"/>
      <c r="KC1" s="671"/>
      <c r="KD1" s="671"/>
      <c r="KE1" s="671"/>
      <c r="KF1" s="671"/>
      <c r="KG1" s="671"/>
      <c r="KH1" s="671"/>
      <c r="KI1" s="671"/>
      <c r="KJ1" s="671"/>
      <c r="KL1" s="669"/>
      <c r="KM1" s="669"/>
      <c r="KQ1" s="761"/>
      <c r="KR1" s="762"/>
      <c r="KS1" s="761"/>
      <c r="KT1" s="762"/>
      <c r="KU1" s="761"/>
      <c r="KV1" s="762"/>
      <c r="KW1" s="761"/>
      <c r="KX1" s="762"/>
      <c r="KY1" s="761"/>
      <c r="KZ1" s="762"/>
    </row>
    <row r="2" s="663" customFormat="1" ht="24" customHeight="1" spans="1:312">
      <c r="A2" s="675" t="s">
        <v>1</v>
      </c>
      <c r="B2" s="676" t="s">
        <v>2</v>
      </c>
      <c r="C2" s="675" t="s">
        <v>3</v>
      </c>
      <c r="D2" s="675" t="s">
        <v>4</v>
      </c>
      <c r="E2" s="677" t="s">
        <v>5</v>
      </c>
      <c r="F2" s="677"/>
      <c r="G2" s="678" t="s">
        <v>6</v>
      </c>
      <c r="H2" s="678"/>
      <c r="I2" s="694" t="s">
        <v>7</v>
      </c>
      <c r="J2" s="694"/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700"/>
      <c r="W2" s="694"/>
      <c r="X2" s="694"/>
      <c r="Y2" s="694"/>
      <c r="Z2" s="694"/>
      <c r="AA2" s="694"/>
      <c r="AB2" s="694"/>
      <c r="AC2" s="675" t="s">
        <v>8</v>
      </c>
      <c r="AD2" s="675"/>
      <c r="AE2" s="675"/>
      <c r="AF2" s="675"/>
      <c r="AG2" s="675"/>
      <c r="AH2" s="675"/>
      <c r="AI2" s="675" t="s">
        <v>9</v>
      </c>
      <c r="AJ2" s="675"/>
      <c r="AK2" s="675"/>
      <c r="AL2" s="675"/>
      <c r="AM2" s="675"/>
      <c r="AN2" s="675"/>
      <c r="AO2" s="675" t="s">
        <v>10</v>
      </c>
      <c r="AP2" s="675"/>
      <c r="AQ2" s="675"/>
      <c r="AR2" s="675"/>
      <c r="AS2" s="675" t="s">
        <v>11</v>
      </c>
      <c r="AT2" s="675"/>
      <c r="AU2" s="675"/>
      <c r="AV2" s="675"/>
      <c r="AW2" s="675"/>
      <c r="AX2" s="675"/>
      <c r="AY2" s="675"/>
      <c r="AZ2" s="675"/>
      <c r="BA2" s="675"/>
      <c r="BB2" s="675"/>
      <c r="BC2" s="675"/>
      <c r="BD2" s="675"/>
      <c r="BE2" s="675"/>
      <c r="BF2" s="675"/>
      <c r="BG2" s="675"/>
      <c r="BH2" s="675"/>
      <c r="BI2" s="675"/>
      <c r="BJ2" s="675"/>
      <c r="BK2" s="675"/>
      <c r="BL2" s="675"/>
      <c r="BM2" s="675"/>
      <c r="BN2" s="675"/>
      <c r="BO2" s="675"/>
      <c r="BP2" s="675"/>
      <c r="BQ2" s="675"/>
      <c r="BR2" s="675"/>
      <c r="BS2" s="675"/>
      <c r="BT2" s="675"/>
      <c r="BU2" s="675"/>
      <c r="BV2" s="675"/>
      <c r="BW2" s="675"/>
      <c r="BX2" s="675"/>
      <c r="BY2" s="675"/>
      <c r="BZ2" s="675"/>
      <c r="CA2" s="675"/>
      <c r="CB2" s="675"/>
      <c r="CC2" s="675"/>
      <c r="CD2" s="675"/>
      <c r="CE2" s="675"/>
      <c r="CF2" s="675"/>
      <c r="CG2" s="675"/>
      <c r="CH2" s="675"/>
      <c r="CI2" s="675"/>
      <c r="CJ2" s="675"/>
      <c r="CK2" s="675"/>
      <c r="CL2" s="675"/>
      <c r="CM2" s="675"/>
      <c r="CN2" s="675"/>
      <c r="CO2" s="675"/>
      <c r="CP2" s="675"/>
      <c r="CQ2" s="675"/>
      <c r="CR2" s="675"/>
      <c r="CS2" s="675"/>
      <c r="CT2" s="675"/>
      <c r="CU2" s="675"/>
      <c r="CV2" s="675"/>
      <c r="CW2" s="675"/>
      <c r="CX2" s="675"/>
      <c r="CY2" s="675"/>
      <c r="CZ2" s="675"/>
      <c r="DA2" s="675"/>
      <c r="DB2" s="675"/>
      <c r="DC2" s="675"/>
      <c r="DD2" s="675"/>
      <c r="DE2" s="675"/>
      <c r="DF2" s="675"/>
      <c r="DG2" s="675"/>
      <c r="DH2" s="675"/>
      <c r="DI2" s="675"/>
      <c r="DJ2" s="675"/>
      <c r="DK2" s="675"/>
      <c r="DL2" s="675"/>
      <c r="DM2" s="675"/>
      <c r="DN2" s="675"/>
      <c r="DO2" s="675"/>
      <c r="DP2" s="675"/>
      <c r="DQ2" s="675"/>
      <c r="DR2" s="675"/>
      <c r="DS2" s="675"/>
      <c r="DT2" s="675"/>
      <c r="DU2" s="675"/>
      <c r="DV2" s="675"/>
      <c r="DW2" s="675"/>
      <c r="DX2" s="675"/>
      <c r="DY2" s="675"/>
      <c r="DZ2" s="675"/>
      <c r="EA2" s="675"/>
      <c r="EB2" s="675"/>
      <c r="EC2" s="675"/>
      <c r="ED2" s="675"/>
      <c r="EE2" s="675"/>
      <c r="EF2" s="675"/>
      <c r="EG2" s="675"/>
      <c r="EH2" s="675"/>
      <c r="EI2" s="675"/>
      <c r="EJ2" s="675"/>
      <c r="EK2" s="675"/>
      <c r="EL2" s="675"/>
      <c r="EM2" s="675"/>
      <c r="EN2" s="675"/>
      <c r="EO2" s="675"/>
      <c r="EP2" s="675"/>
      <c r="EQ2" s="675"/>
      <c r="ER2" s="675"/>
      <c r="ES2" s="675"/>
      <c r="ET2" s="675"/>
      <c r="EU2" s="675"/>
      <c r="EV2" s="675"/>
      <c r="EW2" s="675"/>
      <c r="EX2" s="675"/>
      <c r="EY2" s="675" t="s">
        <v>12</v>
      </c>
      <c r="EZ2" s="675"/>
      <c r="FA2" s="675"/>
      <c r="FB2" s="675"/>
      <c r="FC2" s="675"/>
      <c r="FD2" s="675"/>
      <c r="FE2" s="675"/>
      <c r="FF2" s="675"/>
      <c r="FG2" s="675"/>
      <c r="FH2" s="675"/>
      <c r="FI2" s="675"/>
      <c r="FJ2" s="721" t="s">
        <v>13</v>
      </c>
      <c r="FK2" s="721"/>
      <c r="FL2" s="721"/>
      <c r="FM2" s="721"/>
      <c r="FN2" s="721"/>
      <c r="FO2" s="721"/>
      <c r="FP2" s="675" t="s">
        <v>14</v>
      </c>
      <c r="FQ2" s="675"/>
      <c r="FR2" s="675"/>
      <c r="FS2" s="675"/>
      <c r="FT2" s="675"/>
      <c r="FU2" s="675"/>
      <c r="FV2" s="732"/>
      <c r="FW2" s="675"/>
      <c r="FX2" s="675"/>
      <c r="FY2" s="675"/>
      <c r="FZ2" s="733" t="s">
        <v>15</v>
      </c>
      <c r="GA2" s="732"/>
      <c r="GB2" s="732"/>
      <c r="GC2" s="732"/>
      <c r="GD2" s="677"/>
      <c r="GE2" s="675"/>
      <c r="GF2" s="732"/>
      <c r="GG2" s="732"/>
      <c r="GH2" s="732"/>
      <c r="GI2" s="732"/>
      <c r="GJ2" s="732"/>
      <c r="GK2" s="732"/>
      <c r="GL2" s="732"/>
      <c r="GM2" s="732"/>
      <c r="GN2" s="732"/>
      <c r="GO2" s="732"/>
      <c r="GP2" s="732"/>
      <c r="GQ2" s="732"/>
      <c r="GR2" s="732"/>
      <c r="GS2" s="732"/>
      <c r="GT2" s="732"/>
      <c r="GU2" s="732"/>
      <c r="GV2" s="732"/>
      <c r="GW2" s="732"/>
      <c r="GX2" s="732"/>
      <c r="GY2" s="732"/>
      <c r="GZ2" s="732"/>
      <c r="HA2" s="732"/>
      <c r="HB2" s="732"/>
      <c r="HC2" s="732"/>
      <c r="HD2" s="732"/>
      <c r="HE2" s="732"/>
      <c r="HF2" s="732" t="s">
        <v>16</v>
      </c>
      <c r="HG2" s="732"/>
      <c r="HH2" s="713"/>
      <c r="HI2" s="713"/>
      <c r="HJ2" s="700"/>
      <c r="HK2" s="732"/>
      <c r="HL2" s="677" t="s">
        <v>17</v>
      </c>
      <c r="HM2" s="677" t="s">
        <v>18</v>
      </c>
      <c r="HN2" s="675" t="s">
        <v>19</v>
      </c>
      <c r="HO2" s="675" t="s">
        <v>20</v>
      </c>
      <c r="HP2" s="713" t="s">
        <v>21</v>
      </c>
      <c r="HQ2" s="700" t="s">
        <v>22</v>
      </c>
      <c r="HR2" s="700"/>
      <c r="HS2" s="700"/>
      <c r="HT2" s="700"/>
      <c r="HU2" s="700"/>
      <c r="HV2" s="700"/>
      <c r="HW2" s="700"/>
      <c r="HX2" s="700"/>
      <c r="HY2" s="700"/>
      <c r="HZ2" s="700"/>
      <c r="IA2" s="700"/>
      <c r="IB2" s="700"/>
      <c r="IC2" s="700"/>
      <c r="ID2" s="700"/>
      <c r="IE2" s="700"/>
      <c r="IF2" s="700"/>
      <c r="IG2" s="700"/>
      <c r="IH2" s="700"/>
      <c r="II2" s="700"/>
      <c r="IJ2" s="700"/>
      <c r="IK2" s="700"/>
      <c r="IL2" s="700"/>
      <c r="IM2" s="700"/>
      <c r="IN2" s="700"/>
      <c r="IO2" s="700"/>
      <c r="IP2" s="700"/>
      <c r="IQ2" s="700"/>
      <c r="IR2" s="700"/>
      <c r="IS2" s="700"/>
      <c r="IT2" s="700"/>
      <c r="IU2" s="700"/>
      <c r="IV2" s="700"/>
      <c r="IW2" s="700"/>
      <c r="IX2" s="700"/>
      <c r="IY2" s="700"/>
      <c r="IZ2" s="700"/>
      <c r="JA2" s="700" t="s">
        <v>23</v>
      </c>
      <c r="JB2" s="700"/>
      <c r="JC2" s="700"/>
      <c r="JD2" s="700"/>
      <c r="JE2" s="700"/>
      <c r="JF2" s="700"/>
      <c r="JG2" s="700"/>
      <c r="JH2" s="700"/>
      <c r="JI2" s="700"/>
      <c r="JJ2" s="700"/>
      <c r="JK2" s="700"/>
      <c r="JL2" s="700"/>
      <c r="JM2" s="700"/>
      <c r="JN2" s="700"/>
      <c r="JO2" s="700"/>
      <c r="JP2" s="700"/>
      <c r="JQ2" s="700"/>
      <c r="JR2" s="700"/>
      <c r="JS2" s="700"/>
      <c r="JT2" s="700"/>
      <c r="JU2" s="700"/>
      <c r="JV2" s="700"/>
      <c r="JW2" s="700"/>
      <c r="JX2" s="700"/>
      <c r="JY2" s="700"/>
      <c r="JZ2" s="700"/>
      <c r="KA2" s="700"/>
      <c r="KB2" s="700"/>
      <c r="KC2" s="700"/>
      <c r="KD2" s="700"/>
      <c r="KE2" s="700"/>
      <c r="KF2" s="700"/>
      <c r="KG2" s="700"/>
      <c r="KH2" s="700"/>
      <c r="KI2" s="700"/>
      <c r="KJ2" s="700"/>
      <c r="KK2" s="675" t="s">
        <v>24</v>
      </c>
      <c r="KL2" s="732" t="s">
        <v>25</v>
      </c>
      <c r="KM2" s="732"/>
      <c r="KN2" s="675" t="s">
        <v>26</v>
      </c>
      <c r="KO2" s="675" t="s">
        <v>3</v>
      </c>
      <c r="KP2" s="675" t="s">
        <v>4</v>
      </c>
      <c r="KQ2" s="763" t="s">
        <v>27</v>
      </c>
      <c r="KR2" s="763"/>
      <c r="KS2" s="763" t="s">
        <v>28</v>
      </c>
      <c r="KT2" s="763"/>
      <c r="KU2" s="763" t="s">
        <v>29</v>
      </c>
      <c r="KV2" s="763"/>
      <c r="KW2" s="763" t="s">
        <v>30</v>
      </c>
      <c r="KX2" s="763"/>
      <c r="KY2" s="763" t="s">
        <v>31</v>
      </c>
      <c r="KZ2" s="763"/>
    </row>
    <row r="3" s="663" customFormat="1" ht="30.6" spans="1:312">
      <c r="A3" s="675"/>
      <c r="B3" s="676"/>
      <c r="C3" s="675"/>
      <c r="D3" s="675"/>
      <c r="E3" s="677" t="s">
        <v>32</v>
      </c>
      <c r="F3" s="677" t="s">
        <v>33</v>
      </c>
      <c r="G3" s="678" t="s">
        <v>34</v>
      </c>
      <c r="H3" s="678" t="s">
        <v>35</v>
      </c>
      <c r="I3" s="695" t="s">
        <v>36</v>
      </c>
      <c r="J3" s="695" t="s">
        <v>37</v>
      </c>
      <c r="K3" s="695" t="s">
        <v>38</v>
      </c>
      <c r="L3" s="695" t="s">
        <v>39</v>
      </c>
      <c r="M3" s="695" t="s">
        <v>40</v>
      </c>
      <c r="N3" s="694" t="s">
        <v>41</v>
      </c>
      <c r="O3" s="694" t="s">
        <v>42</v>
      </c>
      <c r="P3" s="694" t="s">
        <v>43</v>
      </c>
      <c r="Q3" s="694" t="s">
        <v>44</v>
      </c>
      <c r="R3" s="694" t="s">
        <v>45</v>
      </c>
      <c r="S3" s="694" t="s">
        <v>46</v>
      </c>
      <c r="T3" s="694" t="s">
        <v>47</v>
      </c>
      <c r="U3" s="694" t="s">
        <v>48</v>
      </c>
      <c r="V3" s="694" t="s">
        <v>49</v>
      </c>
      <c r="W3" s="694" t="s">
        <v>50</v>
      </c>
      <c r="X3" s="694" t="s">
        <v>51</v>
      </c>
      <c r="Y3" s="694" t="s">
        <v>52</v>
      </c>
      <c r="Z3" s="694" t="s">
        <v>53</v>
      </c>
      <c r="AA3" s="694" t="s">
        <v>54</v>
      </c>
      <c r="AB3" s="694" t="s">
        <v>55</v>
      </c>
      <c r="AC3" s="675" t="s">
        <v>56</v>
      </c>
      <c r="AD3" s="675" t="s">
        <v>57</v>
      </c>
      <c r="AE3" s="675" t="s">
        <v>58</v>
      </c>
      <c r="AF3" s="675" t="s">
        <v>59</v>
      </c>
      <c r="AG3" s="675" t="s">
        <v>60</v>
      </c>
      <c r="AH3" s="675" t="s">
        <v>61</v>
      </c>
      <c r="AI3" s="675" t="s">
        <v>62</v>
      </c>
      <c r="AJ3" s="675" t="s">
        <v>63</v>
      </c>
      <c r="AK3" s="675" t="s">
        <v>64</v>
      </c>
      <c r="AL3" s="675" t="s">
        <v>65</v>
      </c>
      <c r="AM3" s="675" t="s">
        <v>66</v>
      </c>
      <c r="AN3" s="675" t="s">
        <v>67</v>
      </c>
      <c r="AO3" s="711" t="s">
        <v>68</v>
      </c>
      <c r="AP3" s="711" t="s">
        <v>69</v>
      </c>
      <c r="AQ3" s="712" t="s">
        <v>70</v>
      </c>
      <c r="AR3" s="712" t="s">
        <v>71</v>
      </c>
      <c r="AS3" s="713" t="s">
        <v>72</v>
      </c>
      <c r="AT3" s="713" t="s">
        <v>73</v>
      </c>
      <c r="AU3" s="713" t="s">
        <v>74</v>
      </c>
      <c r="AV3" s="713" t="s">
        <v>75</v>
      </c>
      <c r="AW3" s="713" t="s">
        <v>76</v>
      </c>
      <c r="AX3" s="713" t="s">
        <v>77</v>
      </c>
      <c r="AY3" s="713" t="s">
        <v>78</v>
      </c>
      <c r="AZ3" s="713" t="s">
        <v>79</v>
      </c>
      <c r="BA3" s="713" t="s">
        <v>80</v>
      </c>
      <c r="BB3" s="713" t="s">
        <v>81</v>
      </c>
      <c r="BC3" s="713" t="s">
        <v>82</v>
      </c>
      <c r="BD3" s="713" t="s">
        <v>83</v>
      </c>
      <c r="BE3" s="713" t="s">
        <v>84</v>
      </c>
      <c r="BF3" s="713" t="s">
        <v>85</v>
      </c>
      <c r="BG3" s="713" t="s">
        <v>86</v>
      </c>
      <c r="BH3" s="713" t="s">
        <v>87</v>
      </c>
      <c r="BI3" s="713" t="s">
        <v>88</v>
      </c>
      <c r="BJ3" s="713" t="s">
        <v>89</v>
      </c>
      <c r="BK3" s="713" t="s">
        <v>90</v>
      </c>
      <c r="BL3" s="713" t="s">
        <v>91</v>
      </c>
      <c r="BM3" s="713" t="s">
        <v>92</v>
      </c>
      <c r="BN3" s="713" t="s">
        <v>93</v>
      </c>
      <c r="BO3" s="713" t="s">
        <v>94</v>
      </c>
      <c r="BP3" s="713" t="s">
        <v>95</v>
      </c>
      <c r="BQ3" s="713" t="s">
        <v>96</v>
      </c>
      <c r="BR3" s="713" t="s">
        <v>97</v>
      </c>
      <c r="BS3" s="713" t="s">
        <v>98</v>
      </c>
      <c r="BT3" s="713" t="s">
        <v>99</v>
      </c>
      <c r="BU3" s="713" t="s">
        <v>100</v>
      </c>
      <c r="BV3" s="713" t="s">
        <v>101</v>
      </c>
      <c r="BW3" s="713" t="s">
        <v>102</v>
      </c>
      <c r="BX3" s="713" t="s">
        <v>103</v>
      </c>
      <c r="BY3" s="713" t="s">
        <v>104</v>
      </c>
      <c r="BZ3" s="713" t="s">
        <v>105</v>
      </c>
      <c r="CA3" s="713" t="s">
        <v>106</v>
      </c>
      <c r="CB3" s="713" t="s">
        <v>107</v>
      </c>
      <c r="CC3" s="713" t="s">
        <v>108</v>
      </c>
      <c r="CD3" s="713" t="s">
        <v>109</v>
      </c>
      <c r="CE3" s="713" t="s">
        <v>110</v>
      </c>
      <c r="CF3" s="713" t="s">
        <v>111</v>
      </c>
      <c r="CG3" s="713" t="s">
        <v>112</v>
      </c>
      <c r="CH3" s="713" t="s">
        <v>113</v>
      </c>
      <c r="CI3" s="713" t="s">
        <v>114</v>
      </c>
      <c r="CJ3" s="713" t="s">
        <v>115</v>
      </c>
      <c r="CK3" s="713" t="s">
        <v>116</v>
      </c>
      <c r="CL3" s="713" t="s">
        <v>117</v>
      </c>
      <c r="CM3" s="713" t="s">
        <v>118</v>
      </c>
      <c r="CN3" s="713" t="s">
        <v>119</v>
      </c>
      <c r="CO3" s="713" t="s">
        <v>120</v>
      </c>
      <c r="CP3" s="713" t="s">
        <v>121</v>
      </c>
      <c r="CQ3" s="713" t="s">
        <v>122</v>
      </c>
      <c r="CR3" s="713" t="s">
        <v>123</v>
      </c>
      <c r="CS3" s="713" t="s">
        <v>124</v>
      </c>
      <c r="CT3" s="713" t="s">
        <v>125</v>
      </c>
      <c r="CU3" s="713" t="s">
        <v>126</v>
      </c>
      <c r="CV3" s="713" t="s">
        <v>127</v>
      </c>
      <c r="CW3" s="713" t="s">
        <v>128</v>
      </c>
      <c r="CX3" s="713" t="s">
        <v>129</v>
      </c>
      <c r="CY3" s="713" t="s">
        <v>130</v>
      </c>
      <c r="CZ3" s="713" t="s">
        <v>131</v>
      </c>
      <c r="DA3" s="713" t="s">
        <v>132</v>
      </c>
      <c r="DB3" s="713" t="s">
        <v>133</v>
      </c>
      <c r="DC3" s="713" t="s">
        <v>134</v>
      </c>
      <c r="DD3" s="713" t="s">
        <v>135</v>
      </c>
      <c r="DE3" s="713" t="s">
        <v>136</v>
      </c>
      <c r="DF3" s="713" t="s">
        <v>137</v>
      </c>
      <c r="DG3" s="713" t="s">
        <v>138</v>
      </c>
      <c r="DH3" s="713" t="s">
        <v>139</v>
      </c>
      <c r="DI3" s="713" t="s">
        <v>140</v>
      </c>
      <c r="DJ3" s="713" t="s">
        <v>141</v>
      </c>
      <c r="DK3" s="713" t="s">
        <v>142</v>
      </c>
      <c r="DL3" s="713" t="s">
        <v>143</v>
      </c>
      <c r="DM3" s="713" t="s">
        <v>144</v>
      </c>
      <c r="DN3" s="713" t="s">
        <v>145</v>
      </c>
      <c r="DO3" s="713" t="s">
        <v>146</v>
      </c>
      <c r="DP3" s="713" t="s">
        <v>147</v>
      </c>
      <c r="DQ3" s="713" t="s">
        <v>148</v>
      </c>
      <c r="DR3" s="713" t="s">
        <v>149</v>
      </c>
      <c r="DS3" s="713" t="s">
        <v>150</v>
      </c>
      <c r="DT3" s="713" t="s">
        <v>151</v>
      </c>
      <c r="DU3" s="713" t="s">
        <v>152</v>
      </c>
      <c r="DV3" s="713" t="s">
        <v>153</v>
      </c>
      <c r="DW3" s="713" t="s">
        <v>154</v>
      </c>
      <c r="DX3" s="713" t="s">
        <v>155</v>
      </c>
      <c r="DY3" s="713" t="s">
        <v>156</v>
      </c>
      <c r="DZ3" s="713" t="s">
        <v>157</v>
      </c>
      <c r="EA3" s="713" t="s">
        <v>158</v>
      </c>
      <c r="EB3" s="713" t="s">
        <v>159</v>
      </c>
      <c r="EC3" s="713" t="s">
        <v>160</v>
      </c>
      <c r="ED3" s="713" t="s">
        <v>161</v>
      </c>
      <c r="EE3" s="713" t="s">
        <v>162</v>
      </c>
      <c r="EF3" s="713" t="s">
        <v>163</v>
      </c>
      <c r="EG3" s="713" t="s">
        <v>164</v>
      </c>
      <c r="EH3" s="713" t="s">
        <v>165</v>
      </c>
      <c r="EI3" s="713" t="s">
        <v>166</v>
      </c>
      <c r="EJ3" s="713" t="s">
        <v>167</v>
      </c>
      <c r="EK3" s="713" t="s">
        <v>168</v>
      </c>
      <c r="EL3" s="713" t="s">
        <v>169</v>
      </c>
      <c r="EM3" s="713" t="s">
        <v>170</v>
      </c>
      <c r="EN3" s="713" t="s">
        <v>171</v>
      </c>
      <c r="EO3" s="713" t="s">
        <v>172</v>
      </c>
      <c r="EP3" s="713" t="s">
        <v>173</v>
      </c>
      <c r="EQ3" s="713" t="s">
        <v>174</v>
      </c>
      <c r="ER3" s="713" t="s">
        <v>175</v>
      </c>
      <c r="ES3" s="713" t="s">
        <v>176</v>
      </c>
      <c r="ET3" s="713" t="s">
        <v>177</v>
      </c>
      <c r="EU3" s="713" t="s">
        <v>178</v>
      </c>
      <c r="EV3" s="713" t="s">
        <v>179</v>
      </c>
      <c r="EW3" s="713" t="s">
        <v>180</v>
      </c>
      <c r="EX3" s="713" t="s">
        <v>181</v>
      </c>
      <c r="EY3" s="713" t="s">
        <v>116</v>
      </c>
      <c r="EZ3" s="713" t="s">
        <v>117</v>
      </c>
      <c r="FA3" s="713" t="s">
        <v>118</v>
      </c>
      <c r="FB3" s="713" t="s">
        <v>119</v>
      </c>
      <c r="FC3" s="713" t="s">
        <v>120</v>
      </c>
      <c r="FD3" s="713" t="s">
        <v>121</v>
      </c>
      <c r="FE3" s="713" t="s">
        <v>122</v>
      </c>
      <c r="FF3" s="713" t="s">
        <v>123</v>
      </c>
      <c r="FG3" s="713" t="s">
        <v>124</v>
      </c>
      <c r="FH3" s="713" t="s">
        <v>125</v>
      </c>
      <c r="FI3" s="713" t="s">
        <v>126</v>
      </c>
      <c r="FJ3" s="722" t="s">
        <v>182</v>
      </c>
      <c r="FK3" s="722" t="s">
        <v>183</v>
      </c>
      <c r="FL3" s="722" t="s">
        <v>184</v>
      </c>
      <c r="FM3" s="722" t="s">
        <v>185</v>
      </c>
      <c r="FN3" s="722" t="s">
        <v>186</v>
      </c>
      <c r="FO3" s="722" t="s">
        <v>187</v>
      </c>
      <c r="FP3" s="675" t="s">
        <v>188</v>
      </c>
      <c r="FQ3" s="675" t="s">
        <v>189</v>
      </c>
      <c r="FR3" s="722" t="s">
        <v>190</v>
      </c>
      <c r="FS3" s="722" t="s">
        <v>191</v>
      </c>
      <c r="FT3" s="675" t="s">
        <v>192</v>
      </c>
      <c r="FU3" s="675" t="s">
        <v>193</v>
      </c>
      <c r="FV3" s="733" t="s">
        <v>194</v>
      </c>
      <c r="FW3" s="722" t="s">
        <v>182</v>
      </c>
      <c r="FX3" s="722" t="s">
        <v>195</v>
      </c>
      <c r="FY3" s="722"/>
      <c r="FZ3" s="732" t="s">
        <v>196</v>
      </c>
      <c r="GA3" s="732" t="s">
        <v>197</v>
      </c>
      <c r="GB3" s="732" t="s">
        <v>198</v>
      </c>
      <c r="GC3" s="732" t="s">
        <v>199</v>
      </c>
      <c r="GD3" s="677" t="s">
        <v>0</v>
      </c>
      <c r="GE3" s="675" t="s">
        <v>200</v>
      </c>
      <c r="GF3" s="732" t="s">
        <v>201</v>
      </c>
      <c r="GG3" s="732" t="s">
        <v>202</v>
      </c>
      <c r="GH3" s="732" t="s">
        <v>203</v>
      </c>
      <c r="GI3" s="732" t="s">
        <v>204</v>
      </c>
      <c r="GJ3" s="732" t="s">
        <v>205</v>
      </c>
      <c r="GK3" s="732" t="s">
        <v>206</v>
      </c>
      <c r="GL3" s="732" t="s">
        <v>207</v>
      </c>
      <c r="GM3" s="732" t="s">
        <v>208</v>
      </c>
      <c r="GN3" s="732" t="s">
        <v>209</v>
      </c>
      <c r="GO3" s="732" t="s">
        <v>210</v>
      </c>
      <c r="GP3" s="732" t="s">
        <v>211</v>
      </c>
      <c r="GQ3" s="732" t="s">
        <v>212</v>
      </c>
      <c r="GR3" s="732" t="s">
        <v>213</v>
      </c>
      <c r="GS3" s="732" t="s">
        <v>214</v>
      </c>
      <c r="GT3" s="732" t="s">
        <v>215</v>
      </c>
      <c r="GU3" s="732" t="s">
        <v>216</v>
      </c>
      <c r="GV3" s="732" t="s">
        <v>217</v>
      </c>
      <c r="GW3" s="732" t="s">
        <v>218</v>
      </c>
      <c r="GX3" s="732" t="s">
        <v>219</v>
      </c>
      <c r="GY3" s="732" t="s">
        <v>220</v>
      </c>
      <c r="GZ3" s="732" t="s">
        <v>221</v>
      </c>
      <c r="HA3" s="732" t="s">
        <v>222</v>
      </c>
      <c r="HB3" s="732" t="s">
        <v>223</v>
      </c>
      <c r="HC3" s="732" t="s">
        <v>224</v>
      </c>
      <c r="HD3" s="732" t="s">
        <v>225</v>
      </c>
      <c r="HE3" s="732" t="s">
        <v>226</v>
      </c>
      <c r="HF3" s="732" t="s">
        <v>227</v>
      </c>
      <c r="HG3" s="733" t="s">
        <v>228</v>
      </c>
      <c r="HH3" s="713" t="s">
        <v>229</v>
      </c>
      <c r="HI3" s="713" t="s">
        <v>230</v>
      </c>
      <c r="HJ3" s="700" t="s">
        <v>231</v>
      </c>
      <c r="HK3" s="751" t="s">
        <v>232</v>
      </c>
      <c r="HL3" s="677" t="s">
        <v>233</v>
      </c>
      <c r="HM3" s="677" t="s">
        <v>234</v>
      </c>
      <c r="HN3" s="675" t="s">
        <v>235</v>
      </c>
      <c r="HO3" s="675" t="s">
        <v>236</v>
      </c>
      <c r="HP3" s="752" t="s">
        <v>237</v>
      </c>
      <c r="HQ3" s="700" t="s">
        <v>238</v>
      </c>
      <c r="HR3" s="700" t="s">
        <v>239</v>
      </c>
      <c r="HS3" s="700" t="s">
        <v>240</v>
      </c>
      <c r="HT3" s="700" t="s">
        <v>241</v>
      </c>
      <c r="HU3" s="700" t="s">
        <v>242</v>
      </c>
      <c r="HV3" s="700" t="s">
        <v>243</v>
      </c>
      <c r="HW3" s="700" t="s">
        <v>244</v>
      </c>
      <c r="HX3" s="700" t="s">
        <v>245</v>
      </c>
      <c r="HY3" s="700" t="s">
        <v>246</v>
      </c>
      <c r="HZ3" s="700" t="s">
        <v>247</v>
      </c>
      <c r="IA3" s="700" t="s">
        <v>248</v>
      </c>
      <c r="IB3" s="700" t="s">
        <v>249</v>
      </c>
      <c r="IC3" s="700" t="s">
        <v>250</v>
      </c>
      <c r="ID3" s="700" t="s">
        <v>251</v>
      </c>
      <c r="IE3" s="700" t="s">
        <v>252</v>
      </c>
      <c r="IF3" s="700" t="s">
        <v>253</v>
      </c>
      <c r="IG3" s="700" t="s">
        <v>254</v>
      </c>
      <c r="IH3" s="700" t="s">
        <v>255</v>
      </c>
      <c r="II3" s="700" t="s">
        <v>256</v>
      </c>
      <c r="IJ3" s="700" t="s">
        <v>257</v>
      </c>
      <c r="IK3" s="700" t="s">
        <v>258</v>
      </c>
      <c r="IL3" s="700" t="s">
        <v>259</v>
      </c>
      <c r="IM3" s="700" t="s">
        <v>260</v>
      </c>
      <c r="IN3" s="700" t="s">
        <v>261</v>
      </c>
      <c r="IO3" s="700" t="s">
        <v>262</v>
      </c>
      <c r="IP3" s="700" t="s">
        <v>263</v>
      </c>
      <c r="IQ3" s="700" t="s">
        <v>264</v>
      </c>
      <c r="IR3" s="700" t="s">
        <v>265</v>
      </c>
      <c r="IS3" s="700" t="s">
        <v>266</v>
      </c>
      <c r="IT3" s="700" t="s">
        <v>267</v>
      </c>
      <c r="IU3" s="700" t="s">
        <v>268</v>
      </c>
      <c r="IV3" s="700" t="s">
        <v>269</v>
      </c>
      <c r="IW3" s="700" t="s">
        <v>270</v>
      </c>
      <c r="IX3" s="700" t="s">
        <v>271</v>
      </c>
      <c r="IY3" s="700" t="s">
        <v>272</v>
      </c>
      <c r="IZ3" s="700" t="s">
        <v>273</v>
      </c>
      <c r="JA3" s="700" t="s">
        <v>238</v>
      </c>
      <c r="JB3" s="700" t="s">
        <v>239</v>
      </c>
      <c r="JC3" s="700" t="s">
        <v>240</v>
      </c>
      <c r="JD3" s="700" t="s">
        <v>241</v>
      </c>
      <c r="JE3" s="700" t="s">
        <v>242</v>
      </c>
      <c r="JF3" s="700" t="s">
        <v>243</v>
      </c>
      <c r="JG3" s="700" t="s">
        <v>244</v>
      </c>
      <c r="JH3" s="700" t="s">
        <v>245</v>
      </c>
      <c r="JI3" s="700" t="s">
        <v>246</v>
      </c>
      <c r="JJ3" s="700" t="s">
        <v>247</v>
      </c>
      <c r="JK3" s="700" t="s">
        <v>248</v>
      </c>
      <c r="JL3" s="700" t="s">
        <v>249</v>
      </c>
      <c r="JM3" s="700" t="s">
        <v>250</v>
      </c>
      <c r="JN3" s="700" t="s">
        <v>251</v>
      </c>
      <c r="JO3" s="700" t="s">
        <v>252</v>
      </c>
      <c r="JP3" s="700" t="s">
        <v>253</v>
      </c>
      <c r="JQ3" s="700" t="s">
        <v>254</v>
      </c>
      <c r="JR3" s="700" t="s">
        <v>255</v>
      </c>
      <c r="JS3" s="700" t="s">
        <v>256</v>
      </c>
      <c r="JT3" s="700" t="s">
        <v>257</v>
      </c>
      <c r="JU3" s="700" t="s">
        <v>258</v>
      </c>
      <c r="JV3" s="700" t="s">
        <v>259</v>
      </c>
      <c r="JW3" s="700" t="s">
        <v>260</v>
      </c>
      <c r="JX3" s="700" t="s">
        <v>261</v>
      </c>
      <c r="JY3" s="700" t="s">
        <v>262</v>
      </c>
      <c r="JZ3" s="700" t="s">
        <v>263</v>
      </c>
      <c r="KA3" s="700" t="s">
        <v>264</v>
      </c>
      <c r="KB3" s="700" t="s">
        <v>265</v>
      </c>
      <c r="KC3" s="700" t="s">
        <v>266</v>
      </c>
      <c r="KD3" s="700" t="s">
        <v>267</v>
      </c>
      <c r="KE3" s="700" t="s">
        <v>268</v>
      </c>
      <c r="KF3" s="700" t="s">
        <v>269</v>
      </c>
      <c r="KG3" s="700" t="s">
        <v>270</v>
      </c>
      <c r="KH3" s="700" t="s">
        <v>271</v>
      </c>
      <c r="KI3" s="700" t="s">
        <v>272</v>
      </c>
      <c r="KJ3" s="700" t="s">
        <v>273</v>
      </c>
      <c r="KK3" s="675"/>
      <c r="KL3" s="675" t="s">
        <v>274</v>
      </c>
      <c r="KM3" s="675" t="s">
        <v>275</v>
      </c>
      <c r="KN3" s="675"/>
      <c r="KO3" s="675"/>
      <c r="KP3" s="675"/>
      <c r="KQ3" s="764" t="s">
        <v>276</v>
      </c>
      <c r="KR3" s="764" t="s">
        <v>4</v>
      </c>
      <c r="KS3" s="764" t="s">
        <v>276</v>
      </c>
      <c r="KT3" s="768" t="s">
        <v>4</v>
      </c>
      <c r="KU3" s="764" t="s">
        <v>276</v>
      </c>
      <c r="KV3" s="764" t="s">
        <v>4</v>
      </c>
      <c r="KW3" s="764" t="s">
        <v>276</v>
      </c>
      <c r="KX3" s="768" t="s">
        <v>4</v>
      </c>
      <c r="KY3" s="764" t="s">
        <v>276</v>
      </c>
      <c r="KZ3" s="768" t="s">
        <v>4</v>
      </c>
    </row>
    <row r="4" s="664" customFormat="1" spans="1:312">
      <c r="A4" s="679"/>
      <c r="B4" s="680">
        <v>0</v>
      </c>
      <c r="C4" s="680">
        <v>1</v>
      </c>
      <c r="D4" s="680">
        <v>2</v>
      </c>
      <c r="E4" s="681">
        <v>3</v>
      </c>
      <c r="F4" s="681">
        <v>4</v>
      </c>
      <c r="G4" s="680">
        <v>5</v>
      </c>
      <c r="H4" s="680">
        <v>6</v>
      </c>
      <c r="I4" s="680">
        <v>7</v>
      </c>
      <c r="J4" s="680">
        <v>8</v>
      </c>
      <c r="K4" s="680">
        <v>9</v>
      </c>
      <c r="L4" s="680">
        <v>10</v>
      </c>
      <c r="M4" s="680">
        <v>11</v>
      </c>
      <c r="N4" s="680">
        <v>12</v>
      </c>
      <c r="O4" s="680">
        <v>13</v>
      </c>
      <c r="P4" s="680">
        <v>14</v>
      </c>
      <c r="Q4" s="680">
        <v>15</v>
      </c>
      <c r="R4" s="680">
        <v>16</v>
      </c>
      <c r="S4" s="680">
        <v>17</v>
      </c>
      <c r="T4" s="680">
        <v>18</v>
      </c>
      <c r="U4" s="680">
        <v>19</v>
      </c>
      <c r="V4" s="680">
        <v>20</v>
      </c>
      <c r="W4" s="680">
        <v>21</v>
      </c>
      <c r="X4" s="680">
        <v>22</v>
      </c>
      <c r="Y4" s="680">
        <v>23</v>
      </c>
      <c r="Z4" s="680">
        <v>24</v>
      </c>
      <c r="AA4" s="680">
        <v>25</v>
      </c>
      <c r="AB4" s="680">
        <v>26</v>
      </c>
      <c r="AC4" s="680">
        <v>27</v>
      </c>
      <c r="AD4" s="680">
        <v>28</v>
      </c>
      <c r="AE4" s="680">
        <v>29</v>
      </c>
      <c r="AF4" s="680">
        <v>30</v>
      </c>
      <c r="AG4" s="680">
        <v>31</v>
      </c>
      <c r="AH4" s="680">
        <v>32</v>
      </c>
      <c r="AI4" s="680">
        <v>33</v>
      </c>
      <c r="AJ4" s="680">
        <v>34</v>
      </c>
      <c r="AK4" s="680">
        <v>35</v>
      </c>
      <c r="AL4" s="680">
        <v>36</v>
      </c>
      <c r="AM4" s="680">
        <v>37</v>
      </c>
      <c r="AN4" s="680">
        <v>38</v>
      </c>
      <c r="AO4" s="680">
        <v>39</v>
      </c>
      <c r="AP4" s="680">
        <v>40</v>
      </c>
      <c r="AQ4" s="680">
        <v>41</v>
      </c>
      <c r="AR4" s="680">
        <v>42</v>
      </c>
      <c r="AS4" s="680">
        <v>43</v>
      </c>
      <c r="AT4" s="680">
        <v>44</v>
      </c>
      <c r="AU4" s="680">
        <v>45</v>
      </c>
      <c r="AV4" s="680">
        <v>46</v>
      </c>
      <c r="AW4" s="680">
        <v>47</v>
      </c>
      <c r="AX4" s="680">
        <v>48</v>
      </c>
      <c r="AY4" s="680">
        <v>49</v>
      </c>
      <c r="AZ4" s="680">
        <v>50</v>
      </c>
      <c r="BA4" s="680">
        <v>51</v>
      </c>
      <c r="BB4" s="680">
        <v>52</v>
      </c>
      <c r="BC4" s="680">
        <v>53</v>
      </c>
      <c r="BD4" s="680">
        <v>54</v>
      </c>
      <c r="BE4" s="680">
        <v>55</v>
      </c>
      <c r="BF4" s="680">
        <v>56</v>
      </c>
      <c r="BG4" s="680">
        <v>57</v>
      </c>
      <c r="BH4" s="680">
        <v>58</v>
      </c>
      <c r="BI4" s="680">
        <v>59</v>
      </c>
      <c r="BJ4" s="680">
        <v>60</v>
      </c>
      <c r="BK4" s="680">
        <v>61</v>
      </c>
      <c r="BL4" s="680">
        <v>62</v>
      </c>
      <c r="BM4" s="680">
        <v>63</v>
      </c>
      <c r="BN4" s="680">
        <v>64</v>
      </c>
      <c r="BO4" s="680">
        <v>65</v>
      </c>
      <c r="BP4" s="680">
        <v>66</v>
      </c>
      <c r="BQ4" s="680">
        <v>67</v>
      </c>
      <c r="BR4" s="680">
        <v>68</v>
      </c>
      <c r="BS4" s="680">
        <v>69</v>
      </c>
      <c r="BT4" s="680">
        <v>70</v>
      </c>
      <c r="BU4" s="680">
        <v>71</v>
      </c>
      <c r="BV4" s="680">
        <v>72</v>
      </c>
      <c r="BW4" s="680">
        <v>73</v>
      </c>
      <c r="BX4" s="680">
        <v>74</v>
      </c>
      <c r="BY4" s="680">
        <v>75</v>
      </c>
      <c r="BZ4" s="680">
        <v>76</v>
      </c>
      <c r="CA4" s="680">
        <v>77</v>
      </c>
      <c r="CB4" s="680">
        <v>78</v>
      </c>
      <c r="CC4" s="680">
        <v>79</v>
      </c>
      <c r="CD4" s="680">
        <v>80</v>
      </c>
      <c r="CE4" s="680">
        <v>81</v>
      </c>
      <c r="CF4" s="680">
        <v>82</v>
      </c>
      <c r="CG4" s="680">
        <v>83</v>
      </c>
      <c r="CH4" s="680">
        <v>84</v>
      </c>
      <c r="CI4" s="680">
        <v>85</v>
      </c>
      <c r="CJ4" s="680">
        <v>86</v>
      </c>
      <c r="CK4" s="680">
        <v>87</v>
      </c>
      <c r="CL4" s="680">
        <v>88</v>
      </c>
      <c r="CM4" s="680">
        <v>89</v>
      </c>
      <c r="CN4" s="680">
        <v>90</v>
      </c>
      <c r="CO4" s="680">
        <v>91</v>
      </c>
      <c r="CP4" s="680">
        <v>92</v>
      </c>
      <c r="CQ4" s="680">
        <v>93</v>
      </c>
      <c r="CR4" s="680">
        <v>94</v>
      </c>
      <c r="CS4" s="680">
        <v>95</v>
      </c>
      <c r="CT4" s="680">
        <v>96</v>
      </c>
      <c r="CU4" s="680">
        <v>97</v>
      </c>
      <c r="CV4" s="680">
        <v>98</v>
      </c>
      <c r="CW4" s="680">
        <v>99</v>
      </c>
      <c r="CX4" s="680">
        <v>100</v>
      </c>
      <c r="CY4" s="680">
        <v>101</v>
      </c>
      <c r="CZ4" s="680">
        <v>102</v>
      </c>
      <c r="DA4" s="680">
        <v>103</v>
      </c>
      <c r="DB4" s="680">
        <v>104</v>
      </c>
      <c r="DC4" s="680">
        <v>105</v>
      </c>
      <c r="DD4" s="680">
        <v>106</v>
      </c>
      <c r="DE4" s="680">
        <v>107</v>
      </c>
      <c r="DF4" s="680">
        <v>108</v>
      </c>
      <c r="DG4" s="680">
        <v>109</v>
      </c>
      <c r="DH4" s="680">
        <v>110</v>
      </c>
      <c r="DI4" s="680">
        <v>111</v>
      </c>
      <c r="DJ4" s="680">
        <v>112</v>
      </c>
      <c r="DK4" s="680">
        <v>113</v>
      </c>
      <c r="DL4" s="680">
        <v>114</v>
      </c>
      <c r="DM4" s="680">
        <v>115</v>
      </c>
      <c r="DN4" s="680">
        <v>116</v>
      </c>
      <c r="DO4" s="680">
        <v>117</v>
      </c>
      <c r="DP4" s="680">
        <v>118</v>
      </c>
      <c r="DQ4" s="680">
        <v>119</v>
      </c>
      <c r="DR4" s="680">
        <v>120</v>
      </c>
      <c r="DS4" s="680">
        <v>121</v>
      </c>
      <c r="DT4" s="680">
        <v>122</v>
      </c>
      <c r="DU4" s="680">
        <v>123</v>
      </c>
      <c r="DV4" s="680">
        <v>124</v>
      </c>
      <c r="DW4" s="680">
        <v>125</v>
      </c>
      <c r="DX4" s="680">
        <v>126</v>
      </c>
      <c r="DY4" s="680">
        <v>127</v>
      </c>
      <c r="DZ4" s="680">
        <v>128</v>
      </c>
      <c r="EA4" s="680">
        <v>129</v>
      </c>
      <c r="EB4" s="680">
        <v>130</v>
      </c>
      <c r="EC4" s="680">
        <v>131</v>
      </c>
      <c r="ED4" s="680">
        <v>132</v>
      </c>
      <c r="EE4" s="680">
        <v>133</v>
      </c>
      <c r="EF4" s="680">
        <v>134</v>
      </c>
      <c r="EG4" s="680">
        <v>135</v>
      </c>
      <c r="EH4" s="680">
        <v>136</v>
      </c>
      <c r="EI4" s="680">
        <v>137</v>
      </c>
      <c r="EJ4" s="680">
        <v>138</v>
      </c>
      <c r="EK4" s="680">
        <v>139</v>
      </c>
      <c r="EL4" s="680">
        <v>140</v>
      </c>
      <c r="EM4" s="680">
        <v>141</v>
      </c>
      <c r="EN4" s="680">
        <v>142</v>
      </c>
      <c r="EO4" s="680">
        <v>143</v>
      </c>
      <c r="EP4" s="680">
        <v>144</v>
      </c>
      <c r="EQ4" s="680">
        <v>145</v>
      </c>
      <c r="ER4" s="680">
        <v>146</v>
      </c>
      <c r="ES4" s="680">
        <v>147</v>
      </c>
      <c r="ET4" s="680">
        <v>148</v>
      </c>
      <c r="EU4" s="680">
        <v>149</v>
      </c>
      <c r="EV4" s="680">
        <v>150</v>
      </c>
      <c r="EW4" s="680">
        <v>151</v>
      </c>
      <c r="EX4" s="680">
        <v>152</v>
      </c>
      <c r="EY4" s="680">
        <v>153</v>
      </c>
      <c r="EZ4" s="680">
        <v>154</v>
      </c>
      <c r="FA4" s="680">
        <v>155</v>
      </c>
      <c r="FB4" s="680">
        <v>156</v>
      </c>
      <c r="FC4" s="680">
        <v>157</v>
      </c>
      <c r="FD4" s="680">
        <v>158</v>
      </c>
      <c r="FE4" s="680">
        <v>159</v>
      </c>
      <c r="FF4" s="680">
        <v>160</v>
      </c>
      <c r="FG4" s="680">
        <v>161</v>
      </c>
      <c r="FH4" s="680">
        <v>162</v>
      </c>
      <c r="FI4" s="680">
        <v>163</v>
      </c>
      <c r="FJ4" s="680">
        <v>164</v>
      </c>
      <c r="FK4" s="680">
        <v>165</v>
      </c>
      <c r="FL4" s="680">
        <v>166</v>
      </c>
      <c r="FM4" s="680">
        <v>167</v>
      </c>
      <c r="FN4" s="680">
        <v>168</v>
      </c>
      <c r="FO4" s="680">
        <v>169</v>
      </c>
      <c r="FP4" s="680">
        <v>170</v>
      </c>
      <c r="FQ4" s="680">
        <v>171</v>
      </c>
      <c r="FR4" s="680">
        <v>172</v>
      </c>
      <c r="FS4" s="680">
        <v>173</v>
      </c>
      <c r="FT4" s="680">
        <v>174</v>
      </c>
      <c r="FU4" s="680">
        <v>175</v>
      </c>
      <c r="FV4" s="681">
        <v>176</v>
      </c>
      <c r="FW4" s="680">
        <v>177</v>
      </c>
      <c r="FX4" s="680">
        <v>178</v>
      </c>
      <c r="FY4" s="680">
        <v>179</v>
      </c>
      <c r="FZ4" s="680">
        <v>180</v>
      </c>
      <c r="GA4" s="680">
        <v>181</v>
      </c>
      <c r="GB4" s="680">
        <v>182</v>
      </c>
      <c r="GC4" s="680">
        <v>183</v>
      </c>
      <c r="GD4" s="680">
        <v>184</v>
      </c>
      <c r="GE4" s="680">
        <v>185</v>
      </c>
      <c r="GF4" s="680">
        <v>186</v>
      </c>
      <c r="GG4" s="680">
        <v>187</v>
      </c>
      <c r="GH4" s="680">
        <v>188</v>
      </c>
      <c r="GI4" s="680">
        <v>189</v>
      </c>
      <c r="GJ4" s="680">
        <v>190</v>
      </c>
      <c r="GK4" s="680">
        <v>191</v>
      </c>
      <c r="GL4" s="680">
        <v>192</v>
      </c>
      <c r="GM4" s="680">
        <v>193</v>
      </c>
      <c r="GN4" s="680">
        <v>194</v>
      </c>
      <c r="GO4" s="680">
        <v>195</v>
      </c>
      <c r="GP4" s="680">
        <v>196</v>
      </c>
      <c r="GQ4" s="680">
        <v>197</v>
      </c>
      <c r="GR4" s="680">
        <v>198</v>
      </c>
      <c r="GS4" s="680">
        <v>199</v>
      </c>
      <c r="GT4" s="680">
        <v>200</v>
      </c>
      <c r="GU4" s="680">
        <v>201</v>
      </c>
      <c r="GV4" s="680">
        <v>202</v>
      </c>
      <c r="GW4" s="680">
        <v>203</v>
      </c>
      <c r="GX4" s="680">
        <v>204</v>
      </c>
      <c r="GY4" s="680">
        <v>205</v>
      </c>
      <c r="GZ4" s="680">
        <v>206</v>
      </c>
      <c r="HA4" s="680">
        <v>207</v>
      </c>
      <c r="HB4" s="680">
        <v>208</v>
      </c>
      <c r="HC4" s="680">
        <v>209</v>
      </c>
      <c r="HD4" s="680">
        <v>210</v>
      </c>
      <c r="HE4" s="680">
        <v>211</v>
      </c>
      <c r="HF4" s="680">
        <v>212</v>
      </c>
      <c r="HG4" s="680">
        <v>213</v>
      </c>
      <c r="HH4" s="680">
        <v>214</v>
      </c>
      <c r="HI4" s="680">
        <v>215</v>
      </c>
      <c r="HJ4" s="680">
        <v>216</v>
      </c>
      <c r="HK4" s="681">
        <v>217</v>
      </c>
      <c r="HL4" s="680">
        <v>218</v>
      </c>
      <c r="HM4" s="680">
        <v>219</v>
      </c>
      <c r="HN4" s="680">
        <v>220</v>
      </c>
      <c r="HO4" s="680">
        <v>221</v>
      </c>
      <c r="HP4" s="680">
        <v>222</v>
      </c>
      <c r="HQ4" s="681">
        <v>223</v>
      </c>
      <c r="HR4" s="681">
        <v>224</v>
      </c>
      <c r="HS4" s="680">
        <v>225</v>
      </c>
      <c r="HT4" s="680">
        <v>226</v>
      </c>
      <c r="HU4" s="680">
        <v>227</v>
      </c>
      <c r="HV4" s="680">
        <v>228</v>
      </c>
      <c r="HW4" s="680">
        <v>229</v>
      </c>
      <c r="HX4" s="680">
        <v>230</v>
      </c>
      <c r="HY4" s="680">
        <v>231</v>
      </c>
      <c r="HZ4" s="680">
        <v>232</v>
      </c>
      <c r="IA4" s="680">
        <v>233</v>
      </c>
      <c r="IB4" s="680">
        <v>234</v>
      </c>
      <c r="IC4" s="680">
        <v>235</v>
      </c>
      <c r="ID4" s="680">
        <v>236</v>
      </c>
      <c r="IE4" s="680">
        <v>237</v>
      </c>
      <c r="IF4" s="680">
        <v>238</v>
      </c>
      <c r="IG4" s="680">
        <v>239</v>
      </c>
      <c r="IH4" s="680">
        <v>240</v>
      </c>
      <c r="II4" s="680">
        <v>241</v>
      </c>
      <c r="IJ4" s="680">
        <v>242</v>
      </c>
      <c r="IK4" s="680">
        <v>243</v>
      </c>
      <c r="IL4" s="680">
        <v>244</v>
      </c>
      <c r="IM4" s="680">
        <v>245</v>
      </c>
      <c r="IN4" s="680">
        <v>246</v>
      </c>
      <c r="IO4" s="680">
        <v>247</v>
      </c>
      <c r="IP4" s="680">
        <v>248</v>
      </c>
      <c r="IQ4" s="680">
        <v>249</v>
      </c>
      <c r="IR4" s="680">
        <v>250</v>
      </c>
      <c r="IS4" s="680">
        <v>251</v>
      </c>
      <c r="IT4" s="680">
        <v>252</v>
      </c>
      <c r="IU4" s="680">
        <v>253</v>
      </c>
      <c r="IV4" s="680">
        <v>254</v>
      </c>
      <c r="IW4" s="680">
        <v>255</v>
      </c>
      <c r="IX4" s="680">
        <v>256</v>
      </c>
      <c r="IY4" s="680">
        <v>257</v>
      </c>
      <c r="IZ4" s="680">
        <v>258</v>
      </c>
      <c r="JA4" s="680">
        <v>259</v>
      </c>
      <c r="JB4" s="680">
        <v>260</v>
      </c>
      <c r="JC4" s="680">
        <v>261</v>
      </c>
      <c r="JD4" s="680">
        <v>262</v>
      </c>
      <c r="JE4" s="680">
        <v>263</v>
      </c>
      <c r="JF4" s="680">
        <v>264</v>
      </c>
      <c r="JG4" s="680">
        <v>265</v>
      </c>
      <c r="JH4" s="680">
        <v>266</v>
      </c>
      <c r="JI4" s="680">
        <v>267</v>
      </c>
      <c r="JJ4" s="680">
        <v>268</v>
      </c>
      <c r="JK4" s="680">
        <v>269</v>
      </c>
      <c r="JL4" s="680">
        <v>270</v>
      </c>
      <c r="JM4" s="680">
        <v>271</v>
      </c>
      <c r="JN4" s="680">
        <v>272</v>
      </c>
      <c r="JO4" s="680">
        <v>273</v>
      </c>
      <c r="JP4" s="680">
        <v>274</v>
      </c>
      <c r="JQ4" s="680">
        <v>275</v>
      </c>
      <c r="JR4" s="680">
        <v>276</v>
      </c>
      <c r="JS4" s="680">
        <v>277</v>
      </c>
      <c r="JT4" s="680">
        <v>278</v>
      </c>
      <c r="JU4" s="680">
        <v>279</v>
      </c>
      <c r="JV4" s="680">
        <v>280</v>
      </c>
      <c r="JW4" s="680">
        <v>281</v>
      </c>
      <c r="JX4" s="680">
        <v>282</v>
      </c>
      <c r="JY4" s="680">
        <v>283</v>
      </c>
      <c r="JZ4" s="680">
        <v>284</v>
      </c>
      <c r="KA4" s="680">
        <v>285</v>
      </c>
      <c r="KB4" s="680">
        <v>286</v>
      </c>
      <c r="KC4" s="680">
        <v>287</v>
      </c>
      <c r="KD4" s="680">
        <v>288</v>
      </c>
      <c r="KE4" s="680">
        <v>289</v>
      </c>
      <c r="KF4" s="680">
        <v>290</v>
      </c>
      <c r="KG4" s="680">
        <v>291</v>
      </c>
      <c r="KH4" s="680">
        <v>292</v>
      </c>
      <c r="KI4" s="680">
        <v>293</v>
      </c>
      <c r="KJ4" s="680">
        <v>294</v>
      </c>
      <c r="KK4" s="680">
        <v>301</v>
      </c>
      <c r="KL4" s="681">
        <v>302</v>
      </c>
      <c r="KM4" s="680">
        <v>303</v>
      </c>
      <c r="KN4" s="681">
        <v>304</v>
      </c>
      <c r="KO4" s="680">
        <v>305</v>
      </c>
      <c r="KP4" s="681">
        <v>306</v>
      </c>
      <c r="KQ4" s="680">
        <v>307</v>
      </c>
      <c r="KR4" s="681">
        <v>308</v>
      </c>
      <c r="KS4" s="680">
        <v>309</v>
      </c>
      <c r="KT4" s="681">
        <v>310</v>
      </c>
      <c r="KU4" s="680">
        <v>311</v>
      </c>
      <c r="KV4" s="681">
        <v>312</v>
      </c>
      <c r="KW4" s="680">
        <v>313</v>
      </c>
      <c r="KX4" s="681">
        <v>314</v>
      </c>
      <c r="KY4" s="680">
        <v>315</v>
      </c>
      <c r="KZ4" s="681">
        <v>316</v>
      </c>
    </row>
    <row r="5" s="628" customFormat="1" customHeight="1" spans="1:312">
      <c r="A5" s="682" t="s">
        <v>277</v>
      </c>
      <c r="B5" s="683">
        <v>1</v>
      </c>
      <c r="C5" s="684" t="s">
        <v>278</v>
      </c>
      <c r="D5" s="679">
        <v>497816</v>
      </c>
      <c r="E5" s="685">
        <v>81.61</v>
      </c>
      <c r="F5" s="685">
        <v>81.2</v>
      </c>
      <c r="G5" s="686">
        <v>0.00609</v>
      </c>
      <c r="H5" s="686">
        <v>0.006139</v>
      </c>
      <c r="I5" s="696">
        <v>1.4795</v>
      </c>
      <c r="J5" s="696">
        <v>1.48263</v>
      </c>
      <c r="K5" s="696">
        <v>1.48606</v>
      </c>
      <c r="L5" s="696">
        <v>1.4891</v>
      </c>
      <c r="M5" s="696">
        <v>1.48965</v>
      </c>
      <c r="N5" s="696">
        <v>1.4901</v>
      </c>
      <c r="O5" s="696">
        <v>1.49183</v>
      </c>
      <c r="P5" s="696">
        <v>1.49301</v>
      </c>
      <c r="Q5" s="697">
        <v>1.49407</v>
      </c>
      <c r="R5" s="697">
        <v>1.49514</v>
      </c>
      <c r="S5" s="697">
        <v>1.49543</v>
      </c>
      <c r="T5" s="701">
        <v>1.49571</v>
      </c>
      <c r="U5" s="697">
        <v>1.49694</v>
      </c>
      <c r="V5" s="697">
        <v>1.497</v>
      </c>
      <c r="W5" s="697">
        <v>1.49845</v>
      </c>
      <c r="X5" s="697">
        <v>1.50123</v>
      </c>
      <c r="Y5" s="697">
        <v>1.50157</v>
      </c>
      <c r="Z5" s="697">
        <v>1.50451</v>
      </c>
      <c r="AA5" s="697">
        <v>1.50721</v>
      </c>
      <c r="AB5" s="697">
        <v>1.51173</v>
      </c>
      <c r="AC5" s="704">
        <v>2.21807952</v>
      </c>
      <c r="AD5" s="704">
        <v>-0.00567922113</v>
      </c>
      <c r="AE5" s="704">
        <v>0.00828756139</v>
      </c>
      <c r="AF5" s="704">
        <v>9.66891434e-5</v>
      </c>
      <c r="AG5" s="704">
        <v>3.56668643e-6</v>
      </c>
      <c r="AH5" s="704">
        <v>-3.63065113e-7</v>
      </c>
      <c r="AI5" s="709">
        <v>0.3054</v>
      </c>
      <c r="AJ5" s="709">
        <v>0.2381</v>
      </c>
      <c r="AK5" s="709">
        <v>0.5386</v>
      </c>
      <c r="AL5" s="709">
        <v>0.2557</v>
      </c>
      <c r="AM5" s="709">
        <v>0.2362</v>
      </c>
      <c r="AN5" s="709">
        <v>0.4789</v>
      </c>
      <c r="AO5" s="709">
        <v>0.0113</v>
      </c>
      <c r="AP5" s="709">
        <v>0.0305</v>
      </c>
      <c r="AQ5" s="709">
        <v>-0.108</v>
      </c>
      <c r="AR5" s="709">
        <v>-0.0528</v>
      </c>
      <c r="AS5" s="714">
        <v>-5.4</v>
      </c>
      <c r="AT5" s="714">
        <v>-5.6</v>
      </c>
      <c r="AU5" s="714">
        <v>-5.8</v>
      </c>
      <c r="AV5" s="714">
        <v>-6.1</v>
      </c>
      <c r="AW5" s="714">
        <v>-6.4</v>
      </c>
      <c r="AX5" s="714">
        <v>-6.6</v>
      </c>
      <c r="AY5" s="714">
        <v>-6.8</v>
      </c>
      <c r="AZ5" s="714">
        <v>-7</v>
      </c>
      <c r="BA5" s="714">
        <v>-7.2</v>
      </c>
      <c r="BB5" s="714">
        <v>-7.5</v>
      </c>
      <c r="BC5" s="714">
        <v>-7.9</v>
      </c>
      <c r="BD5" s="714">
        <v>-5.3</v>
      </c>
      <c r="BE5" s="714">
        <v>-5.4</v>
      </c>
      <c r="BF5" s="714">
        <v>-5.8</v>
      </c>
      <c r="BG5" s="714">
        <v>-6</v>
      </c>
      <c r="BH5" s="714">
        <v>-6.3</v>
      </c>
      <c r="BI5" s="714">
        <v>-6.5</v>
      </c>
      <c r="BJ5" s="714">
        <v>-6.8</v>
      </c>
      <c r="BK5" s="714">
        <v>-6.9</v>
      </c>
      <c r="BL5" s="714">
        <v>-7.2</v>
      </c>
      <c r="BM5" s="714">
        <v>-7.5</v>
      </c>
      <c r="BN5" s="714">
        <v>-7.8</v>
      </c>
      <c r="BO5" s="714">
        <v>-5.3</v>
      </c>
      <c r="BP5" s="714">
        <v>-5.3</v>
      </c>
      <c r="BQ5" s="714">
        <v>-5.7</v>
      </c>
      <c r="BR5" s="714">
        <v>-5.9</v>
      </c>
      <c r="BS5" s="714">
        <v>-6.2</v>
      </c>
      <c r="BT5" s="714">
        <v>-6.4</v>
      </c>
      <c r="BU5" s="714">
        <v>-6.7</v>
      </c>
      <c r="BV5" s="714">
        <v>-6.9</v>
      </c>
      <c r="BW5" s="714">
        <v>-7.1</v>
      </c>
      <c r="BX5" s="714">
        <v>-7.4</v>
      </c>
      <c r="BY5" s="714">
        <v>-7.7</v>
      </c>
      <c r="BZ5" s="714">
        <v>-5.2</v>
      </c>
      <c r="CA5" s="714">
        <v>-5.3</v>
      </c>
      <c r="CB5" s="714">
        <v>-5.7</v>
      </c>
      <c r="CC5" s="714">
        <v>-5.9</v>
      </c>
      <c r="CD5" s="714">
        <v>-6.2</v>
      </c>
      <c r="CE5" s="714">
        <v>-6.4</v>
      </c>
      <c r="CF5" s="714">
        <v>-6.6</v>
      </c>
      <c r="CG5" s="714">
        <v>-6.9</v>
      </c>
      <c r="CH5" s="714">
        <v>-7.1</v>
      </c>
      <c r="CI5" s="714">
        <v>-7.4</v>
      </c>
      <c r="CJ5" s="714">
        <v>-7.6</v>
      </c>
      <c r="CK5" s="714">
        <v>-5.1</v>
      </c>
      <c r="CL5" s="714">
        <v>-5.3</v>
      </c>
      <c r="CM5" s="714">
        <v>-5.7</v>
      </c>
      <c r="CN5" s="714">
        <v>-5.9</v>
      </c>
      <c r="CO5" s="714">
        <v>-6.2</v>
      </c>
      <c r="CP5" s="714">
        <v>-6.5</v>
      </c>
      <c r="CQ5" s="714">
        <v>-6.6</v>
      </c>
      <c r="CR5" s="714">
        <v>-6.9</v>
      </c>
      <c r="CS5" s="714">
        <v>-7.1</v>
      </c>
      <c r="CT5" s="714">
        <v>-7.4</v>
      </c>
      <c r="CU5" s="714">
        <v>-7.6</v>
      </c>
      <c r="CV5" s="714">
        <v>-5</v>
      </c>
      <c r="CW5" s="714">
        <v>-5.3</v>
      </c>
      <c r="CX5" s="714">
        <v>-5.6</v>
      </c>
      <c r="CY5" s="714">
        <v>-5.9</v>
      </c>
      <c r="CZ5" s="714">
        <v>-6</v>
      </c>
      <c r="DA5" s="714">
        <v>-6.4</v>
      </c>
      <c r="DB5" s="714">
        <v>-6.6</v>
      </c>
      <c r="DC5" s="714">
        <v>-6.9</v>
      </c>
      <c r="DD5" s="714">
        <v>-7.1</v>
      </c>
      <c r="DE5" s="714">
        <v>-7.3</v>
      </c>
      <c r="DF5" s="714">
        <v>-7.5</v>
      </c>
      <c r="DG5" s="714">
        <v>-4.9</v>
      </c>
      <c r="DH5" s="715">
        <v>-5.2</v>
      </c>
      <c r="DI5" s="715">
        <v>-5.5</v>
      </c>
      <c r="DJ5" s="715">
        <v>-5.8</v>
      </c>
      <c r="DK5" s="715">
        <v>-6</v>
      </c>
      <c r="DL5" s="715">
        <v>-6.3</v>
      </c>
      <c r="DM5" s="715">
        <v>-6.5</v>
      </c>
      <c r="DN5" s="714">
        <v>-6.8</v>
      </c>
      <c r="DO5" s="714">
        <v>-6.9</v>
      </c>
      <c r="DP5" s="714">
        <v>-7.1</v>
      </c>
      <c r="DQ5" s="714">
        <v>-7.4</v>
      </c>
      <c r="DR5" s="714">
        <v>-4.6</v>
      </c>
      <c r="DS5" s="715">
        <v>-5.1</v>
      </c>
      <c r="DT5" s="715">
        <v>-5.2</v>
      </c>
      <c r="DU5" s="715">
        <v>-5.7</v>
      </c>
      <c r="DV5" s="715">
        <v>-5.9</v>
      </c>
      <c r="DW5" s="715">
        <v>-6</v>
      </c>
      <c r="DX5" s="715">
        <v>-6.3</v>
      </c>
      <c r="DY5" s="714">
        <v>-6.5</v>
      </c>
      <c r="DZ5" s="714">
        <v>-6.8</v>
      </c>
      <c r="EA5" s="714">
        <v>-7.1</v>
      </c>
      <c r="EB5" s="714">
        <v>-7.3</v>
      </c>
      <c r="EC5" s="714">
        <v>-4.6</v>
      </c>
      <c r="ED5" s="715">
        <v>-5</v>
      </c>
      <c r="EE5" s="715">
        <v>-5.2</v>
      </c>
      <c r="EF5" s="715">
        <v>-5.6</v>
      </c>
      <c r="EG5" s="715">
        <v>-5.8</v>
      </c>
      <c r="EH5" s="715">
        <v>-6</v>
      </c>
      <c r="EI5" s="715">
        <v>-6.2</v>
      </c>
      <c r="EJ5" s="714">
        <v>-6.4</v>
      </c>
      <c r="EK5" s="714">
        <v>-6.7</v>
      </c>
      <c r="EL5" s="714">
        <v>-7</v>
      </c>
      <c r="EM5" s="714">
        <v>-7.2</v>
      </c>
      <c r="EN5" s="714">
        <v>-4.5</v>
      </c>
      <c r="EO5" s="715">
        <v>-4.8</v>
      </c>
      <c r="EP5" s="715">
        <v>-5.1</v>
      </c>
      <c r="EQ5" s="715">
        <v>-5.5</v>
      </c>
      <c r="ER5" s="715">
        <v>-5.7</v>
      </c>
      <c r="ES5" s="715">
        <v>-5.9</v>
      </c>
      <c r="ET5" s="715">
        <v>-6</v>
      </c>
      <c r="EU5" s="714">
        <v>-6.1</v>
      </c>
      <c r="EV5" s="714">
        <v>-6.4</v>
      </c>
      <c r="EW5" s="714">
        <v>-6.8</v>
      </c>
      <c r="EX5" s="714">
        <v>-7.1</v>
      </c>
      <c r="EY5" s="714">
        <v>-7.5</v>
      </c>
      <c r="EZ5" s="715">
        <v>-7.3</v>
      </c>
      <c r="FA5" s="715">
        <v>-7.4</v>
      </c>
      <c r="FB5" s="715">
        <v>-7.4</v>
      </c>
      <c r="FC5" s="715">
        <v>-7.5</v>
      </c>
      <c r="FD5" s="715">
        <v>-7.6</v>
      </c>
      <c r="FE5" s="715">
        <v>-7.6</v>
      </c>
      <c r="FF5" s="714">
        <v>-7.8</v>
      </c>
      <c r="FG5" s="714">
        <v>-7.9</v>
      </c>
      <c r="FH5" s="714">
        <v>-8.1</v>
      </c>
      <c r="FI5" s="714">
        <v>-8.3</v>
      </c>
      <c r="FJ5" s="723">
        <v>-1.9e-5</v>
      </c>
      <c r="FK5" s="723">
        <v>-2.71e-9</v>
      </c>
      <c r="FL5" s="723">
        <v>-2.9e-11</v>
      </c>
      <c r="FM5" s="723">
        <v>3.52e-7</v>
      </c>
      <c r="FN5" s="723">
        <v>9.31e-11</v>
      </c>
      <c r="FO5" s="723">
        <v>0.228</v>
      </c>
      <c r="FP5" s="729">
        <v>1</v>
      </c>
      <c r="FQ5" s="729">
        <v>2</v>
      </c>
      <c r="FR5" s="729">
        <v>1</v>
      </c>
      <c r="FS5" s="729">
        <v>3</v>
      </c>
      <c r="FT5" s="729">
        <v>2</v>
      </c>
      <c r="FU5" s="729">
        <v>2</v>
      </c>
      <c r="FV5" s="681">
        <v>1</v>
      </c>
      <c r="FW5" s="729"/>
      <c r="FX5" s="729"/>
      <c r="FY5" s="729"/>
      <c r="FZ5" s="734">
        <v>464</v>
      </c>
      <c r="GA5" s="734">
        <v>489</v>
      </c>
      <c r="GB5" s="681">
        <v>421</v>
      </c>
      <c r="GC5" s="681">
        <v>442</v>
      </c>
      <c r="GD5" s="747">
        <v>0.74</v>
      </c>
      <c r="GE5" s="729"/>
      <c r="GF5" s="681">
        <v>124</v>
      </c>
      <c r="GG5" s="681">
        <v>152</v>
      </c>
      <c r="GH5" s="681">
        <v>115</v>
      </c>
      <c r="GI5" s="681">
        <v>118</v>
      </c>
      <c r="GJ5" s="681">
        <v>121</v>
      </c>
      <c r="GK5" s="681">
        <v>123</v>
      </c>
      <c r="GL5" s="681">
        <v>125</v>
      </c>
      <c r="GM5" s="681">
        <v>127</v>
      </c>
      <c r="GN5" s="681">
        <v>128</v>
      </c>
      <c r="GO5" s="681">
        <v>130</v>
      </c>
      <c r="GP5" s="681">
        <v>133</v>
      </c>
      <c r="GQ5" s="681">
        <v>136</v>
      </c>
      <c r="GR5" s="681">
        <v>138</v>
      </c>
      <c r="GS5" s="681">
        <v>140</v>
      </c>
      <c r="GT5" s="681">
        <v>142</v>
      </c>
      <c r="GU5" s="681">
        <v>144</v>
      </c>
      <c r="GV5" s="681">
        <v>145</v>
      </c>
      <c r="GW5" s="681">
        <v>146</v>
      </c>
      <c r="GX5" s="681">
        <v>147</v>
      </c>
      <c r="GY5" s="681">
        <v>148</v>
      </c>
      <c r="GZ5" s="681">
        <v>149</v>
      </c>
      <c r="HA5" s="681">
        <v>150</v>
      </c>
      <c r="HB5" s="681">
        <v>151</v>
      </c>
      <c r="HC5" s="681"/>
      <c r="HD5" s="681">
        <v>58</v>
      </c>
      <c r="HE5" s="681"/>
      <c r="HF5" s="681">
        <v>350</v>
      </c>
      <c r="HG5" s="738">
        <v>385</v>
      </c>
      <c r="HH5" s="714">
        <v>71.6</v>
      </c>
      <c r="HI5" s="714">
        <v>27.4</v>
      </c>
      <c r="HJ5" s="753">
        <v>0.307</v>
      </c>
      <c r="HK5" s="681">
        <v>33</v>
      </c>
      <c r="HL5" s="685">
        <v>0.69</v>
      </c>
      <c r="HM5" s="747">
        <v>3.67</v>
      </c>
      <c r="HN5" s="729" t="s">
        <v>279</v>
      </c>
      <c r="HO5" s="729" t="s">
        <v>280</v>
      </c>
      <c r="HP5" s="714">
        <v>-2.4</v>
      </c>
      <c r="HQ5" s="755">
        <v>0.999</v>
      </c>
      <c r="HR5" s="755">
        <v>0.999</v>
      </c>
      <c r="HS5" s="755">
        <v>0.999</v>
      </c>
      <c r="HT5" s="755">
        <v>0.999</v>
      </c>
      <c r="HU5" s="755">
        <v>0.999</v>
      </c>
      <c r="HV5" s="755">
        <v>0.999</v>
      </c>
      <c r="HW5" s="755">
        <v>0.999</v>
      </c>
      <c r="HX5" s="755">
        <v>0.999</v>
      </c>
      <c r="HY5" s="755">
        <v>0.999</v>
      </c>
      <c r="HZ5" s="755">
        <v>0.999</v>
      </c>
      <c r="IA5" s="755">
        <v>0.999</v>
      </c>
      <c r="IB5" s="755">
        <v>0.999</v>
      </c>
      <c r="IC5" s="755">
        <v>0.999</v>
      </c>
      <c r="ID5" s="755">
        <v>0.999</v>
      </c>
      <c r="IE5" s="755">
        <v>0.999</v>
      </c>
      <c r="IF5" s="755">
        <v>0.999</v>
      </c>
      <c r="IG5" s="755">
        <v>0.999</v>
      </c>
      <c r="IH5" s="755">
        <v>0.999</v>
      </c>
      <c r="II5" s="755">
        <v>0.999</v>
      </c>
      <c r="IJ5" s="755">
        <v>0.999</v>
      </c>
      <c r="IK5" s="755">
        <v>0.999</v>
      </c>
      <c r="IL5" s="755">
        <v>0.999</v>
      </c>
      <c r="IM5" s="755">
        <v>0.999</v>
      </c>
      <c r="IN5" s="755">
        <v>0.999</v>
      </c>
      <c r="IO5" s="755">
        <v>0.999</v>
      </c>
      <c r="IP5" s="755">
        <v>0.999</v>
      </c>
      <c r="IQ5" s="755">
        <v>0.995</v>
      </c>
      <c r="IR5" s="755">
        <v>0.984</v>
      </c>
      <c r="IS5" s="755">
        <v>0.97</v>
      </c>
      <c r="IT5" s="755">
        <v>0.942</v>
      </c>
      <c r="IU5" s="755">
        <v>0.886</v>
      </c>
      <c r="IV5" s="755">
        <v>0.788</v>
      </c>
      <c r="IW5" s="755">
        <v>0.643</v>
      </c>
      <c r="IX5" s="755">
        <v>0.466</v>
      </c>
      <c r="IY5" s="755">
        <v>0.298</v>
      </c>
      <c r="IZ5" s="755">
        <v>0.176</v>
      </c>
      <c r="JA5" s="755">
        <v>0.998</v>
      </c>
      <c r="JB5" s="755">
        <v>0.998</v>
      </c>
      <c r="JC5" s="755">
        <v>0.998</v>
      </c>
      <c r="JD5" s="755">
        <v>0.998</v>
      </c>
      <c r="JE5" s="755">
        <v>0.998</v>
      </c>
      <c r="JF5" s="755">
        <v>0.998</v>
      </c>
      <c r="JG5" s="755">
        <v>0.998</v>
      </c>
      <c r="JH5" s="755">
        <v>0.998</v>
      </c>
      <c r="JI5" s="755">
        <v>0.998</v>
      </c>
      <c r="JJ5" s="755">
        <v>0.998</v>
      </c>
      <c r="JK5" s="755">
        <v>0.998</v>
      </c>
      <c r="JL5" s="755">
        <v>0.998</v>
      </c>
      <c r="JM5" s="755">
        <v>0.998</v>
      </c>
      <c r="JN5" s="755">
        <v>0.998</v>
      </c>
      <c r="JO5" s="755">
        <v>0.998</v>
      </c>
      <c r="JP5" s="755">
        <v>0.998</v>
      </c>
      <c r="JQ5" s="755">
        <v>0.998</v>
      </c>
      <c r="JR5" s="755">
        <v>0.998</v>
      </c>
      <c r="JS5" s="755">
        <v>0.998</v>
      </c>
      <c r="JT5" s="755">
        <v>0.998</v>
      </c>
      <c r="JU5" s="755">
        <v>0.998</v>
      </c>
      <c r="JV5" s="755">
        <v>0.998</v>
      </c>
      <c r="JW5" s="755">
        <v>0.998</v>
      </c>
      <c r="JX5" s="755">
        <v>0.998</v>
      </c>
      <c r="JY5" s="755">
        <v>0.998</v>
      </c>
      <c r="JZ5" s="755">
        <v>0.998</v>
      </c>
      <c r="KA5" s="755">
        <v>0.993</v>
      </c>
      <c r="KB5" s="755">
        <v>0.975</v>
      </c>
      <c r="KC5" s="755">
        <v>0.948</v>
      </c>
      <c r="KD5" s="755">
        <v>0.893</v>
      </c>
      <c r="KE5" s="755">
        <v>0.788</v>
      </c>
      <c r="KF5" s="755">
        <v>0.621</v>
      </c>
      <c r="KG5" s="755">
        <v>0.41</v>
      </c>
      <c r="KH5" s="755">
        <v>0.212</v>
      </c>
      <c r="KI5" s="755">
        <v>0.086</v>
      </c>
      <c r="KJ5" s="755">
        <v>0.031</v>
      </c>
      <c r="KK5" s="765" t="s">
        <v>281</v>
      </c>
      <c r="KL5" s="738">
        <v>65</v>
      </c>
      <c r="KM5" s="738">
        <v>239</v>
      </c>
      <c r="KN5" s="646" t="s">
        <v>282</v>
      </c>
      <c r="KO5" s="646" t="s">
        <v>278</v>
      </c>
      <c r="KP5" s="679">
        <v>497816</v>
      </c>
      <c r="KQ5" s="766" t="s">
        <v>283</v>
      </c>
      <c r="KR5" s="750" t="s">
        <v>284</v>
      </c>
      <c r="KS5" s="769" t="s">
        <v>285</v>
      </c>
      <c r="KT5" s="770" t="s">
        <v>284</v>
      </c>
      <c r="KU5" s="766" t="s">
        <v>286</v>
      </c>
      <c r="KV5" s="750">
        <v>497816</v>
      </c>
      <c r="KW5" s="771" t="s">
        <v>287</v>
      </c>
      <c r="KX5" s="750" t="s">
        <v>288</v>
      </c>
      <c r="KY5" s="769" t="s">
        <v>289</v>
      </c>
      <c r="KZ5" s="770" t="s">
        <v>284</v>
      </c>
    </row>
    <row r="6" s="628" customFormat="1" customHeight="1" spans="1:312">
      <c r="A6" s="682" t="s">
        <v>277</v>
      </c>
      <c r="B6" s="683">
        <v>2</v>
      </c>
      <c r="C6" s="684" t="s">
        <v>290</v>
      </c>
      <c r="D6" s="679">
        <v>593686</v>
      </c>
      <c r="E6" s="685">
        <v>68.63</v>
      </c>
      <c r="F6" s="685">
        <v>68.25</v>
      </c>
      <c r="G6" s="686">
        <v>0.008638</v>
      </c>
      <c r="H6" s="686">
        <v>0.008716</v>
      </c>
      <c r="I6" s="696">
        <v>1.57002</v>
      </c>
      <c r="J6" s="696">
        <v>1.57383</v>
      </c>
      <c r="K6" s="696">
        <v>1.57808</v>
      </c>
      <c r="L6" s="696">
        <v>1.58198</v>
      </c>
      <c r="M6" s="696">
        <v>1.58269</v>
      </c>
      <c r="N6" s="696">
        <v>1.58328</v>
      </c>
      <c r="O6" s="696">
        <v>1.58561</v>
      </c>
      <c r="P6" s="696">
        <v>1.58723</v>
      </c>
      <c r="Q6" s="697">
        <v>1.58873</v>
      </c>
      <c r="R6" s="697">
        <v>1.59021</v>
      </c>
      <c r="S6" s="697">
        <v>1.59062</v>
      </c>
      <c r="T6" s="701">
        <v>1.59101</v>
      </c>
      <c r="U6" s="697">
        <v>1.59275</v>
      </c>
      <c r="V6" s="697">
        <v>1.59282</v>
      </c>
      <c r="W6" s="697">
        <v>1.59489</v>
      </c>
      <c r="X6" s="697">
        <v>1.59884</v>
      </c>
      <c r="Y6" s="697">
        <v>1.59934</v>
      </c>
      <c r="Z6" s="697">
        <v>1.60354</v>
      </c>
      <c r="AA6" s="697">
        <v>1.6074</v>
      </c>
      <c r="AB6" s="697">
        <v>1.61397</v>
      </c>
      <c r="AC6" s="704">
        <v>2.50210584</v>
      </c>
      <c r="AD6" s="704">
        <v>-0.00729437368</v>
      </c>
      <c r="AE6" s="704">
        <v>0.0122873858</v>
      </c>
      <c r="AF6" s="704">
        <v>0.000257463363</v>
      </c>
      <c r="AG6" s="704">
        <v>-1.16391265e-5</v>
      </c>
      <c r="AH6" s="704">
        <v>6.15553004e-7</v>
      </c>
      <c r="AI6" s="709">
        <v>0.3022</v>
      </c>
      <c r="AJ6" s="709">
        <v>0.2396</v>
      </c>
      <c r="AK6" s="709">
        <v>0.5441</v>
      </c>
      <c r="AL6" s="709">
        <v>0.2524</v>
      </c>
      <c r="AM6" s="709">
        <v>0.2375</v>
      </c>
      <c r="AN6" s="709">
        <v>0.4819</v>
      </c>
      <c r="AO6" s="709">
        <v>0.005</v>
      </c>
      <c r="AP6" s="709">
        <v>0.0145</v>
      </c>
      <c r="AQ6" s="709">
        <v>-0.0704</v>
      </c>
      <c r="AR6" s="709">
        <v>-0.0326</v>
      </c>
      <c r="AS6" s="714">
        <v>-5</v>
      </c>
      <c r="AT6" s="714">
        <v>-5.4</v>
      </c>
      <c r="AU6" s="714">
        <v>-5.6</v>
      </c>
      <c r="AV6" s="714">
        <v>-5.7</v>
      </c>
      <c r="AW6" s="714">
        <v>-5.8</v>
      </c>
      <c r="AX6" s="714">
        <v>-6</v>
      </c>
      <c r="AY6" s="714">
        <v>-6.1</v>
      </c>
      <c r="AZ6" s="714">
        <v>-6.2</v>
      </c>
      <c r="BA6" s="714">
        <v>-6.3</v>
      </c>
      <c r="BB6" s="714">
        <v>-6.4</v>
      </c>
      <c r="BC6" s="714">
        <v>-6.6</v>
      </c>
      <c r="BD6" s="714">
        <v>-4.9</v>
      </c>
      <c r="BE6" s="714">
        <v>-5.3</v>
      </c>
      <c r="BF6" s="714">
        <v>-5.5</v>
      </c>
      <c r="BG6" s="714">
        <v>-5.6</v>
      </c>
      <c r="BH6" s="714">
        <v>-5.7</v>
      </c>
      <c r="BI6" s="714">
        <v>-5.9</v>
      </c>
      <c r="BJ6" s="714">
        <v>-6</v>
      </c>
      <c r="BK6" s="714">
        <v>-6.1</v>
      </c>
      <c r="BL6" s="714">
        <v>-6.2</v>
      </c>
      <c r="BM6" s="714">
        <v>-6.3</v>
      </c>
      <c r="BN6" s="714">
        <v>-6.5</v>
      </c>
      <c r="BO6" s="714">
        <v>-4.8</v>
      </c>
      <c r="BP6" s="714">
        <v>-5.2</v>
      </c>
      <c r="BQ6" s="714">
        <v>-5.5</v>
      </c>
      <c r="BR6" s="714">
        <v>-5.6</v>
      </c>
      <c r="BS6" s="714">
        <v>-5.7</v>
      </c>
      <c r="BT6" s="714">
        <v>-5.9</v>
      </c>
      <c r="BU6" s="714">
        <v>-5.9</v>
      </c>
      <c r="BV6" s="714">
        <v>-6</v>
      </c>
      <c r="BW6" s="714">
        <v>-6.1</v>
      </c>
      <c r="BX6" s="714">
        <v>-6.2</v>
      </c>
      <c r="BY6" s="714">
        <v>-6.4</v>
      </c>
      <c r="BZ6" s="714">
        <v>-4.8</v>
      </c>
      <c r="CA6" s="714">
        <v>-5.2</v>
      </c>
      <c r="CB6" s="714">
        <v>-5.5</v>
      </c>
      <c r="CC6" s="714">
        <v>-5.6</v>
      </c>
      <c r="CD6" s="714">
        <v>-5.7</v>
      </c>
      <c r="CE6" s="714">
        <v>-5.9</v>
      </c>
      <c r="CF6" s="714">
        <v>-5.9</v>
      </c>
      <c r="CG6" s="714">
        <v>-6</v>
      </c>
      <c r="CH6" s="714">
        <v>-6.1</v>
      </c>
      <c r="CI6" s="714">
        <v>-6.2</v>
      </c>
      <c r="CJ6" s="714">
        <v>-6.3</v>
      </c>
      <c r="CK6" s="714">
        <v>-4.8</v>
      </c>
      <c r="CL6" s="714">
        <v>-5.2</v>
      </c>
      <c r="CM6" s="714">
        <v>-5.5</v>
      </c>
      <c r="CN6" s="714">
        <v>-5.6</v>
      </c>
      <c r="CO6" s="714">
        <v>-5.7</v>
      </c>
      <c r="CP6" s="714">
        <v>-5.8</v>
      </c>
      <c r="CQ6" s="714">
        <v>-5.9</v>
      </c>
      <c r="CR6" s="714">
        <v>-6</v>
      </c>
      <c r="CS6" s="714">
        <v>-6.1</v>
      </c>
      <c r="CT6" s="714">
        <v>-6.2</v>
      </c>
      <c r="CU6" s="714">
        <v>-6.3</v>
      </c>
      <c r="CV6" s="714">
        <v>-4.7</v>
      </c>
      <c r="CW6" s="714">
        <v>-5.1</v>
      </c>
      <c r="CX6" s="714">
        <v>-5.4</v>
      </c>
      <c r="CY6" s="714">
        <v>-5.5</v>
      </c>
      <c r="CZ6" s="714">
        <v>-5.6</v>
      </c>
      <c r="DA6" s="714">
        <v>-5.7</v>
      </c>
      <c r="DB6" s="714">
        <v>-5.7</v>
      </c>
      <c r="DC6" s="714">
        <v>-5.8</v>
      </c>
      <c r="DD6" s="714">
        <v>-6</v>
      </c>
      <c r="DE6" s="714">
        <v>-6.1</v>
      </c>
      <c r="DF6" s="714">
        <v>-6.2</v>
      </c>
      <c r="DG6" s="714">
        <v>-4.6</v>
      </c>
      <c r="DH6" s="715">
        <v>-5</v>
      </c>
      <c r="DI6" s="715">
        <v>-5.2</v>
      </c>
      <c r="DJ6" s="715">
        <v>-5.4</v>
      </c>
      <c r="DK6" s="715">
        <v>-5.5</v>
      </c>
      <c r="DL6" s="715">
        <v>-5.6</v>
      </c>
      <c r="DM6" s="715">
        <v>-5.6</v>
      </c>
      <c r="DN6" s="714">
        <v>-5.7</v>
      </c>
      <c r="DO6" s="714">
        <v>-5.8</v>
      </c>
      <c r="DP6" s="714">
        <v>-5.9</v>
      </c>
      <c r="DQ6" s="714">
        <v>-6.1</v>
      </c>
      <c r="DR6" s="714">
        <v>-4.5</v>
      </c>
      <c r="DS6" s="715">
        <v>-4.9</v>
      </c>
      <c r="DT6" s="715">
        <v>-5.1</v>
      </c>
      <c r="DU6" s="715">
        <v>-5.3</v>
      </c>
      <c r="DV6" s="715">
        <v>-5.4</v>
      </c>
      <c r="DW6" s="715">
        <v>-5.5</v>
      </c>
      <c r="DX6" s="715">
        <v>-5.6</v>
      </c>
      <c r="DY6" s="714">
        <v>-5.6</v>
      </c>
      <c r="DZ6" s="714">
        <v>-5.7</v>
      </c>
      <c r="EA6" s="714">
        <v>-5.8</v>
      </c>
      <c r="EB6" s="714">
        <v>-6</v>
      </c>
      <c r="EC6" s="714">
        <v>-4.5</v>
      </c>
      <c r="ED6" s="715">
        <v>-4.8</v>
      </c>
      <c r="EE6" s="715">
        <v>-5.1</v>
      </c>
      <c r="EF6" s="715">
        <v>-5.3</v>
      </c>
      <c r="EG6" s="715">
        <v>-5.4</v>
      </c>
      <c r="EH6" s="715">
        <v>-5.5</v>
      </c>
      <c r="EI6" s="715">
        <v>-5.5</v>
      </c>
      <c r="EJ6" s="714">
        <v>-5.6</v>
      </c>
      <c r="EK6" s="714">
        <v>-5.6</v>
      </c>
      <c r="EL6" s="714">
        <v>-5.7</v>
      </c>
      <c r="EM6" s="714">
        <v>-5.9</v>
      </c>
      <c r="EN6" s="714">
        <v>-4.3</v>
      </c>
      <c r="EO6" s="715">
        <v>-4.6</v>
      </c>
      <c r="EP6" s="715">
        <v>-4.9</v>
      </c>
      <c r="EQ6" s="715">
        <v>-5.1</v>
      </c>
      <c r="ER6" s="715">
        <v>-5.2</v>
      </c>
      <c r="ES6" s="715">
        <v>-5.3</v>
      </c>
      <c r="ET6" s="715">
        <v>-5.3</v>
      </c>
      <c r="EU6" s="714">
        <v>-5.3</v>
      </c>
      <c r="EV6" s="714">
        <v>-5.4</v>
      </c>
      <c r="EW6" s="714">
        <v>-5.5</v>
      </c>
      <c r="EX6" s="714">
        <v>-5.7</v>
      </c>
      <c r="EY6" s="714">
        <v>-7.4</v>
      </c>
      <c r="EZ6" s="715">
        <v>-7.4</v>
      </c>
      <c r="FA6" s="715">
        <v>-7.3</v>
      </c>
      <c r="FB6" s="715">
        <v>-7.2</v>
      </c>
      <c r="FC6" s="715">
        <v>-7.1</v>
      </c>
      <c r="FD6" s="715">
        <v>-7</v>
      </c>
      <c r="FE6" s="715">
        <v>-7</v>
      </c>
      <c r="FF6" s="714">
        <v>-7</v>
      </c>
      <c r="FG6" s="714">
        <v>-7</v>
      </c>
      <c r="FH6" s="714">
        <v>-7</v>
      </c>
      <c r="FI6" s="714">
        <v>-7</v>
      </c>
      <c r="FJ6" s="723">
        <v>-1.56e-5</v>
      </c>
      <c r="FK6" s="723">
        <v>2.44e-9</v>
      </c>
      <c r="FL6" s="723">
        <v>-1.24e-11</v>
      </c>
      <c r="FM6" s="723">
        <v>2.89e-7</v>
      </c>
      <c r="FN6" s="723">
        <v>2.96e-10</v>
      </c>
      <c r="FO6" s="723">
        <v>0.233</v>
      </c>
      <c r="FP6" s="729">
        <v>1</v>
      </c>
      <c r="FQ6" s="729">
        <v>1</v>
      </c>
      <c r="FR6" s="729">
        <v>1</v>
      </c>
      <c r="FS6" s="729">
        <v>3</v>
      </c>
      <c r="FT6" s="729">
        <v>2</v>
      </c>
      <c r="FU6" s="729">
        <v>2</v>
      </c>
      <c r="FV6" s="681">
        <v>1</v>
      </c>
      <c r="FW6" s="729"/>
      <c r="FX6" s="729"/>
      <c r="FY6" s="729"/>
      <c r="FZ6" s="734">
        <v>584</v>
      </c>
      <c r="GA6" s="734">
        <v>608</v>
      </c>
      <c r="GB6" s="681">
        <v>564</v>
      </c>
      <c r="GC6" s="681">
        <v>575</v>
      </c>
      <c r="GD6" s="747">
        <v>0.64</v>
      </c>
      <c r="GE6" s="729"/>
      <c r="GF6" s="681">
        <v>113</v>
      </c>
      <c r="GG6" s="681">
        <v>136</v>
      </c>
      <c r="GH6" s="681">
        <v>103</v>
      </c>
      <c r="GI6" s="681">
        <v>105</v>
      </c>
      <c r="GJ6" s="681">
        <v>107</v>
      </c>
      <c r="GK6" s="681">
        <v>108</v>
      </c>
      <c r="GL6" s="681">
        <v>109</v>
      </c>
      <c r="GM6" s="681">
        <v>110</v>
      </c>
      <c r="GN6" s="681">
        <v>111</v>
      </c>
      <c r="GO6" s="681">
        <v>112</v>
      </c>
      <c r="GP6" s="681">
        <v>113</v>
      </c>
      <c r="GQ6" s="681">
        <v>114</v>
      </c>
      <c r="GR6" s="681">
        <v>115</v>
      </c>
      <c r="GS6" s="681">
        <v>116</v>
      </c>
      <c r="GT6" s="681">
        <v>117</v>
      </c>
      <c r="GU6" s="681">
        <v>118</v>
      </c>
      <c r="GV6" s="681">
        <v>119</v>
      </c>
      <c r="GW6" s="681">
        <v>120</v>
      </c>
      <c r="GX6" s="681">
        <v>122</v>
      </c>
      <c r="GY6" s="681">
        <v>123</v>
      </c>
      <c r="GZ6" s="681">
        <v>124</v>
      </c>
      <c r="HA6" s="681">
        <v>125</v>
      </c>
      <c r="HB6" s="681">
        <v>127</v>
      </c>
      <c r="HC6" s="681"/>
      <c r="HD6" s="681">
        <v>95</v>
      </c>
      <c r="HE6" s="681"/>
      <c r="HF6" s="681">
        <v>390</v>
      </c>
      <c r="HG6" s="738">
        <v>365</v>
      </c>
      <c r="HH6" s="714">
        <v>73.3</v>
      </c>
      <c r="HI6" s="714">
        <v>28.2</v>
      </c>
      <c r="HJ6" s="753">
        <v>0.298</v>
      </c>
      <c r="HK6" s="681">
        <v>42</v>
      </c>
      <c r="HL6" s="685">
        <v>0.44</v>
      </c>
      <c r="HM6" s="747">
        <v>4.07</v>
      </c>
      <c r="HN6" s="729" t="s">
        <v>291</v>
      </c>
      <c r="HO6" s="729" t="s">
        <v>292</v>
      </c>
      <c r="HP6" s="714">
        <v>-1.3</v>
      </c>
      <c r="HQ6" s="755">
        <v>0.999</v>
      </c>
      <c r="HR6" s="755">
        <v>0.999</v>
      </c>
      <c r="HS6" s="755">
        <v>0.999</v>
      </c>
      <c r="HT6" s="755">
        <v>0.999</v>
      </c>
      <c r="HU6" s="755">
        <v>0.999</v>
      </c>
      <c r="HV6" s="755">
        <v>0.999</v>
      </c>
      <c r="HW6" s="755">
        <v>0.999</v>
      </c>
      <c r="HX6" s="755">
        <v>0.999</v>
      </c>
      <c r="HY6" s="755">
        <v>0.999</v>
      </c>
      <c r="HZ6" s="755">
        <v>0.999</v>
      </c>
      <c r="IA6" s="755">
        <v>0.999</v>
      </c>
      <c r="IB6" s="755">
        <v>0.999</v>
      </c>
      <c r="IC6" s="755">
        <v>0.999</v>
      </c>
      <c r="ID6" s="755">
        <v>0.999</v>
      </c>
      <c r="IE6" s="755">
        <v>0.999</v>
      </c>
      <c r="IF6" s="755">
        <v>0.999</v>
      </c>
      <c r="IG6" s="755">
        <v>0.999</v>
      </c>
      <c r="IH6" s="755">
        <v>0.999</v>
      </c>
      <c r="II6" s="755">
        <v>0.999</v>
      </c>
      <c r="IJ6" s="755">
        <v>0.999</v>
      </c>
      <c r="IK6" s="755">
        <v>0.999</v>
      </c>
      <c r="IL6" s="755">
        <v>0.999</v>
      </c>
      <c r="IM6" s="755">
        <v>0.998</v>
      </c>
      <c r="IN6" s="755">
        <v>0.997</v>
      </c>
      <c r="IO6" s="755">
        <v>0.995</v>
      </c>
      <c r="IP6" s="755">
        <v>0.99</v>
      </c>
      <c r="IQ6" s="755">
        <v>0.978</v>
      </c>
      <c r="IR6" s="755">
        <v>0.955</v>
      </c>
      <c r="IS6" s="755">
        <v>0.912</v>
      </c>
      <c r="IT6" s="755">
        <v>0.839</v>
      </c>
      <c r="IU6" s="755">
        <v>0.728</v>
      </c>
      <c r="IV6" s="755">
        <v>0.591</v>
      </c>
      <c r="IW6" s="755">
        <v>0.448</v>
      </c>
      <c r="IX6" s="755">
        <v>0.325</v>
      </c>
      <c r="IY6" s="755">
        <v>0.235</v>
      </c>
      <c r="IZ6" s="755">
        <v>0.175</v>
      </c>
      <c r="JA6" s="755">
        <v>0.998</v>
      </c>
      <c r="JB6" s="755">
        <v>0.998</v>
      </c>
      <c r="JC6" s="755">
        <v>0.998</v>
      </c>
      <c r="JD6" s="755">
        <v>0.998</v>
      </c>
      <c r="JE6" s="755">
        <v>0.998</v>
      </c>
      <c r="JF6" s="755">
        <v>0.998</v>
      </c>
      <c r="JG6" s="755">
        <v>0.998</v>
      </c>
      <c r="JH6" s="755">
        <v>0.998</v>
      </c>
      <c r="JI6" s="755">
        <v>0.998</v>
      </c>
      <c r="JJ6" s="755">
        <v>0.998</v>
      </c>
      <c r="JK6" s="755">
        <v>0.998</v>
      </c>
      <c r="JL6" s="755">
        <v>0.998</v>
      </c>
      <c r="JM6" s="755">
        <v>0.998</v>
      </c>
      <c r="JN6" s="755">
        <v>0.998</v>
      </c>
      <c r="JO6" s="755">
        <v>0.998</v>
      </c>
      <c r="JP6" s="755">
        <v>0.998</v>
      </c>
      <c r="JQ6" s="755">
        <v>0.998</v>
      </c>
      <c r="JR6" s="755">
        <v>0.998</v>
      </c>
      <c r="JS6" s="755">
        <v>0.998</v>
      </c>
      <c r="JT6" s="755">
        <v>0.998</v>
      </c>
      <c r="JU6" s="755">
        <v>0.998</v>
      </c>
      <c r="JV6" s="755">
        <v>0.998</v>
      </c>
      <c r="JW6" s="755">
        <v>0.996</v>
      </c>
      <c r="JX6" s="755">
        <v>0.994</v>
      </c>
      <c r="JY6" s="755">
        <v>0.99</v>
      </c>
      <c r="JZ6" s="755">
        <v>0.978</v>
      </c>
      <c r="KA6" s="755">
        <v>0.956</v>
      </c>
      <c r="KB6" s="755">
        <v>0.909</v>
      </c>
      <c r="KC6" s="755">
        <v>0.829</v>
      </c>
      <c r="KD6" s="755">
        <v>0.702</v>
      </c>
      <c r="KE6" s="755">
        <v>0.53</v>
      </c>
      <c r="KF6" s="755">
        <v>0.35</v>
      </c>
      <c r="KG6" s="755">
        <v>0.201</v>
      </c>
      <c r="KH6" s="755">
        <v>0.107</v>
      </c>
      <c r="KI6" s="755">
        <v>0.056</v>
      </c>
      <c r="KJ6" s="755">
        <v>0.032</v>
      </c>
      <c r="KK6" s="765" t="s">
        <v>281</v>
      </c>
      <c r="KL6" s="738">
        <v>68</v>
      </c>
      <c r="KM6" s="738">
        <v>277</v>
      </c>
      <c r="KN6" s="646" t="s">
        <v>282</v>
      </c>
      <c r="KO6" s="646" t="s">
        <v>290</v>
      </c>
      <c r="KP6" s="679">
        <v>593686</v>
      </c>
      <c r="KQ6" s="766" t="s">
        <v>293</v>
      </c>
      <c r="KR6" s="750" t="s">
        <v>294</v>
      </c>
      <c r="KS6" s="769" t="s">
        <v>295</v>
      </c>
      <c r="KT6" s="770" t="s">
        <v>296</v>
      </c>
      <c r="KU6" s="766" t="s">
        <v>297</v>
      </c>
      <c r="KV6" s="750">
        <v>593686</v>
      </c>
      <c r="KW6" s="771" t="s">
        <v>298</v>
      </c>
      <c r="KX6" s="750" t="s">
        <v>299</v>
      </c>
      <c r="KY6" s="769"/>
      <c r="KZ6" s="770"/>
    </row>
    <row r="7" s="628" customFormat="1" customHeight="1" spans="1:312">
      <c r="A7" s="682" t="s">
        <v>300</v>
      </c>
      <c r="B7" s="683">
        <v>3</v>
      </c>
      <c r="C7" s="684" t="s">
        <v>301</v>
      </c>
      <c r="D7" s="646">
        <v>550755</v>
      </c>
      <c r="E7" s="685">
        <v>75.5</v>
      </c>
      <c r="F7" s="685">
        <v>75.12</v>
      </c>
      <c r="G7" s="686">
        <v>0.007289</v>
      </c>
      <c r="H7" s="686">
        <v>0.007349</v>
      </c>
      <c r="I7" s="696">
        <v>1.53051</v>
      </c>
      <c r="J7" s="696">
        <v>1.53391</v>
      </c>
      <c r="K7" s="696">
        <v>1.53766</v>
      </c>
      <c r="L7" s="696">
        <v>1.54106</v>
      </c>
      <c r="M7" s="696">
        <v>1.54168</v>
      </c>
      <c r="N7" s="696">
        <v>1.5422</v>
      </c>
      <c r="O7" s="696">
        <v>1.5442</v>
      </c>
      <c r="P7" s="696">
        <v>1.54558</v>
      </c>
      <c r="Q7" s="696">
        <v>1.54684</v>
      </c>
      <c r="R7" s="696">
        <v>1.5481</v>
      </c>
      <c r="S7" s="696">
        <v>1.54845</v>
      </c>
      <c r="T7" s="696">
        <v>1.54878</v>
      </c>
      <c r="U7" s="696">
        <v>1.55025</v>
      </c>
      <c r="V7" s="696">
        <v>1.55032</v>
      </c>
      <c r="W7" s="696">
        <v>1.55206</v>
      </c>
      <c r="X7" s="696">
        <v>1.55539</v>
      </c>
      <c r="Y7" s="696">
        <v>1.5558</v>
      </c>
      <c r="Z7" s="696">
        <v>1.55932</v>
      </c>
      <c r="AA7" s="696">
        <v>1.56256</v>
      </c>
      <c r="AB7" s="696">
        <v>1.56803</v>
      </c>
      <c r="AC7" s="705">
        <v>2.37490887</v>
      </c>
      <c r="AD7" s="705">
        <v>-0.00634594354</v>
      </c>
      <c r="AE7" s="705">
        <v>0.0100559237</v>
      </c>
      <c r="AF7" s="705">
        <v>0.00023269693</v>
      </c>
      <c r="AG7" s="705">
        <v>-1.51093626e-5</v>
      </c>
      <c r="AH7" s="705">
        <v>7.74351892e-7</v>
      </c>
      <c r="AI7" s="710">
        <v>0.3046</v>
      </c>
      <c r="AJ7" s="710">
        <v>0.2387</v>
      </c>
      <c r="AK7" s="710">
        <v>0.5392</v>
      </c>
      <c r="AL7" s="710">
        <v>0.2545</v>
      </c>
      <c r="AM7" s="710">
        <v>0.2368</v>
      </c>
      <c r="AN7" s="710">
        <v>0.479</v>
      </c>
      <c r="AO7" s="710">
        <v>0.0083</v>
      </c>
      <c r="AP7" s="710">
        <v>0.021</v>
      </c>
      <c r="AQ7" s="710">
        <v>-0.0965</v>
      </c>
      <c r="AR7" s="710">
        <v>-0.0465</v>
      </c>
      <c r="AS7" s="715">
        <v>-7.1</v>
      </c>
      <c r="AT7" s="715">
        <v>-6.8</v>
      </c>
      <c r="AU7" s="715">
        <v>-6.4</v>
      </c>
      <c r="AV7" s="715">
        <v>-6.4</v>
      </c>
      <c r="AW7" s="715">
        <v>-6.4</v>
      </c>
      <c r="AX7" s="715">
        <v>-6.2</v>
      </c>
      <c r="AY7" s="715">
        <v>-6</v>
      </c>
      <c r="AZ7" s="715">
        <v>-6</v>
      </c>
      <c r="BA7" s="715">
        <v>-5.9</v>
      </c>
      <c r="BB7" s="715">
        <v>-5.8</v>
      </c>
      <c r="BC7" s="715">
        <v>-5.5</v>
      </c>
      <c r="BD7" s="715">
        <v>-6.8</v>
      </c>
      <c r="BE7" s="715">
        <v>-6.5</v>
      </c>
      <c r="BF7" s="715">
        <v>-6.2</v>
      </c>
      <c r="BG7" s="715">
        <v>-6.3</v>
      </c>
      <c r="BH7" s="715">
        <v>-6.3</v>
      </c>
      <c r="BI7" s="715">
        <v>-6.1</v>
      </c>
      <c r="BJ7" s="715">
        <v>-6</v>
      </c>
      <c r="BK7" s="715">
        <v>-5.8</v>
      </c>
      <c r="BL7" s="715">
        <v>-5.7</v>
      </c>
      <c r="BM7" s="715">
        <v>-5.5</v>
      </c>
      <c r="BN7" s="715">
        <v>-5.3</v>
      </c>
      <c r="BO7" s="715">
        <v>-6.6</v>
      </c>
      <c r="BP7" s="715">
        <v>-6.4</v>
      </c>
      <c r="BQ7" s="715">
        <v>-6.3</v>
      </c>
      <c r="BR7" s="715">
        <v>-6.1</v>
      </c>
      <c r="BS7" s="715">
        <v>-6</v>
      </c>
      <c r="BT7" s="715">
        <v>-5.8</v>
      </c>
      <c r="BU7" s="715">
        <v>-5.8</v>
      </c>
      <c r="BV7" s="715">
        <v>-5.6</v>
      </c>
      <c r="BW7" s="715">
        <v>-5.6</v>
      </c>
      <c r="BX7" s="715">
        <v>-5.4</v>
      </c>
      <c r="BY7" s="715">
        <v>-5.2</v>
      </c>
      <c r="BZ7" s="715">
        <v>-6.5</v>
      </c>
      <c r="CA7" s="715">
        <v>-6.3</v>
      </c>
      <c r="CB7" s="715">
        <v>-6.2</v>
      </c>
      <c r="CC7" s="715">
        <v>-6.1</v>
      </c>
      <c r="CD7" s="715">
        <v>-6</v>
      </c>
      <c r="CE7" s="715">
        <v>-5.8</v>
      </c>
      <c r="CF7" s="715">
        <v>-5.7</v>
      </c>
      <c r="CG7" s="715">
        <v>-5.6</v>
      </c>
      <c r="CH7" s="715">
        <v>-5.5</v>
      </c>
      <c r="CI7" s="715">
        <v>-5.4</v>
      </c>
      <c r="CJ7" s="715">
        <v>-5.2</v>
      </c>
      <c r="CK7" s="715">
        <v>-6.5</v>
      </c>
      <c r="CL7" s="715">
        <v>-6.3</v>
      </c>
      <c r="CM7" s="715">
        <v>-6.2</v>
      </c>
      <c r="CN7" s="715">
        <v>-6.1</v>
      </c>
      <c r="CO7" s="715">
        <v>-6</v>
      </c>
      <c r="CP7" s="715">
        <v>-5.8</v>
      </c>
      <c r="CQ7" s="715">
        <v>-5.6</v>
      </c>
      <c r="CR7" s="715">
        <v>-5.5</v>
      </c>
      <c r="CS7" s="715">
        <v>-5.5</v>
      </c>
      <c r="CT7" s="715">
        <v>-5.4</v>
      </c>
      <c r="CU7" s="715">
        <v>-5.2</v>
      </c>
      <c r="CV7" s="715">
        <v>-6.4</v>
      </c>
      <c r="CW7" s="715">
        <v>-6.2</v>
      </c>
      <c r="CX7" s="715">
        <v>-6.2</v>
      </c>
      <c r="CY7" s="715">
        <v>-5.9</v>
      </c>
      <c r="CZ7" s="715">
        <v>-5.8</v>
      </c>
      <c r="DA7" s="715">
        <v>-5.6</v>
      </c>
      <c r="DB7" s="715">
        <v>-5.5</v>
      </c>
      <c r="DC7" s="715">
        <v>-5.4</v>
      </c>
      <c r="DD7" s="715">
        <v>-5.4</v>
      </c>
      <c r="DE7" s="715">
        <v>-5.2</v>
      </c>
      <c r="DF7" s="715">
        <v>-5.1</v>
      </c>
      <c r="DG7" s="715">
        <v>-6.3</v>
      </c>
      <c r="DH7" s="715">
        <v>-6.2</v>
      </c>
      <c r="DI7" s="715">
        <v>-6.1</v>
      </c>
      <c r="DJ7" s="715">
        <v>-5.8</v>
      </c>
      <c r="DK7" s="715">
        <v>-5.6</v>
      </c>
      <c r="DL7" s="715">
        <v>-5.5</v>
      </c>
      <c r="DM7" s="715">
        <v>-5.3</v>
      </c>
      <c r="DN7" s="715">
        <v>-5.2</v>
      </c>
      <c r="DO7" s="715">
        <v>-5.1</v>
      </c>
      <c r="DP7" s="715">
        <v>-5</v>
      </c>
      <c r="DQ7" s="715">
        <v>-4.9</v>
      </c>
      <c r="DR7" s="715">
        <v>-6.2</v>
      </c>
      <c r="DS7" s="715">
        <v>-6.1</v>
      </c>
      <c r="DT7" s="715">
        <v>-5.9</v>
      </c>
      <c r="DU7" s="715">
        <v>-5.6</v>
      </c>
      <c r="DV7" s="715">
        <v>-5.5</v>
      </c>
      <c r="DW7" s="715">
        <v>-5.4</v>
      </c>
      <c r="DX7" s="715">
        <v>-5.2</v>
      </c>
      <c r="DY7" s="715">
        <v>-4.9</v>
      </c>
      <c r="DZ7" s="715">
        <v>-4.9</v>
      </c>
      <c r="EA7" s="715">
        <v>-4.9</v>
      </c>
      <c r="EB7" s="715">
        <v>-4.8</v>
      </c>
      <c r="EC7" s="715">
        <v>-6.1</v>
      </c>
      <c r="ED7" s="715">
        <v>-6</v>
      </c>
      <c r="EE7" s="715">
        <v>-5.8</v>
      </c>
      <c r="EF7" s="715">
        <v>-5.6</v>
      </c>
      <c r="EG7" s="715">
        <v>-5.4</v>
      </c>
      <c r="EH7" s="715">
        <v>-5.3</v>
      </c>
      <c r="EI7" s="715">
        <v>-5.1</v>
      </c>
      <c r="EJ7" s="715">
        <v>-4.9</v>
      </c>
      <c r="EK7" s="715">
        <v>-4.8</v>
      </c>
      <c r="EL7" s="715">
        <v>-4.8</v>
      </c>
      <c r="EM7" s="715">
        <v>-4.7</v>
      </c>
      <c r="EN7" s="715">
        <v>-5.8</v>
      </c>
      <c r="EO7" s="715">
        <v>-5.6</v>
      </c>
      <c r="EP7" s="715">
        <v>-5.5</v>
      </c>
      <c r="EQ7" s="715">
        <v>-5.3</v>
      </c>
      <c r="ER7" s="715">
        <v>-5</v>
      </c>
      <c r="ES7" s="715">
        <v>-4.9</v>
      </c>
      <c r="ET7" s="715">
        <v>-4.8</v>
      </c>
      <c r="EU7" s="715">
        <v>-4.7</v>
      </c>
      <c r="EV7" s="715">
        <v>-4.5</v>
      </c>
      <c r="EW7" s="715">
        <v>-4.2</v>
      </c>
      <c r="EX7" s="715">
        <v>-4</v>
      </c>
      <c r="EY7" s="715">
        <v>-9</v>
      </c>
      <c r="EZ7" s="715">
        <v>-8.4</v>
      </c>
      <c r="FA7" s="715">
        <v>-8</v>
      </c>
      <c r="FB7" s="715">
        <v>-7.6</v>
      </c>
      <c r="FC7" s="715">
        <v>-7.3</v>
      </c>
      <c r="FD7" s="715">
        <v>-7</v>
      </c>
      <c r="FE7" s="715">
        <v>-6.7</v>
      </c>
      <c r="FF7" s="715">
        <v>-6.4</v>
      </c>
      <c r="FG7" s="715">
        <v>-6.3</v>
      </c>
      <c r="FH7" s="715">
        <v>-6.2</v>
      </c>
      <c r="FI7" s="715">
        <v>-5.9</v>
      </c>
      <c r="FJ7" s="723">
        <v>-1.79e-5</v>
      </c>
      <c r="FK7" s="723">
        <v>1.92e-8</v>
      </c>
      <c r="FL7" s="723">
        <v>-3.61e-11</v>
      </c>
      <c r="FM7" s="723">
        <v>4.81e-7</v>
      </c>
      <c r="FN7" s="723">
        <v>3.2e-10</v>
      </c>
      <c r="FO7" s="723">
        <v>0.211</v>
      </c>
      <c r="FP7" s="646">
        <v>1</v>
      </c>
      <c r="FQ7" s="646">
        <v>1</v>
      </c>
      <c r="FR7" s="646">
        <v>1</v>
      </c>
      <c r="FS7" s="646">
        <v>2</v>
      </c>
      <c r="FT7" s="646">
        <v>2</v>
      </c>
      <c r="FU7" s="646">
        <v>2</v>
      </c>
      <c r="FV7" s="681">
        <v>1</v>
      </c>
      <c r="FW7" s="646"/>
      <c r="FX7" s="646"/>
      <c r="FY7" s="646"/>
      <c r="FZ7" s="734">
        <v>553</v>
      </c>
      <c r="GA7" s="734">
        <v>576</v>
      </c>
      <c r="GB7" s="681">
        <v>509</v>
      </c>
      <c r="GC7" s="681">
        <v>531</v>
      </c>
      <c r="GD7" s="747">
        <v>0.56</v>
      </c>
      <c r="GE7" s="646"/>
      <c r="GF7" s="738">
        <v>122</v>
      </c>
      <c r="GG7" s="738">
        <v>145</v>
      </c>
      <c r="GH7" s="738">
        <v>112</v>
      </c>
      <c r="GI7" s="738">
        <v>114</v>
      </c>
      <c r="GJ7" s="738">
        <v>115</v>
      </c>
      <c r="GK7" s="738">
        <v>118</v>
      </c>
      <c r="GL7" s="738">
        <v>120</v>
      </c>
      <c r="GM7" s="738">
        <v>120</v>
      </c>
      <c r="GN7" s="738">
        <v>122</v>
      </c>
      <c r="GO7" s="738">
        <v>124</v>
      </c>
      <c r="GP7" s="738">
        <v>124</v>
      </c>
      <c r="GQ7" s="738">
        <v>126</v>
      </c>
      <c r="GR7" s="738">
        <v>126</v>
      </c>
      <c r="GS7" s="738">
        <v>129</v>
      </c>
      <c r="GT7" s="738">
        <v>129</v>
      </c>
      <c r="GU7" s="738">
        <v>130</v>
      </c>
      <c r="GV7" s="738">
        <v>131</v>
      </c>
      <c r="GW7" s="738">
        <v>132</v>
      </c>
      <c r="GX7" s="738">
        <v>135</v>
      </c>
      <c r="GY7" s="738">
        <v>136</v>
      </c>
      <c r="GZ7" s="738">
        <v>138</v>
      </c>
      <c r="HA7" s="738">
        <v>138</v>
      </c>
      <c r="HB7" s="738">
        <v>142</v>
      </c>
      <c r="HC7" s="738"/>
      <c r="HD7" s="738">
        <v>75</v>
      </c>
      <c r="HE7" s="738"/>
      <c r="HF7" s="738">
        <v>385</v>
      </c>
      <c r="HG7" s="738">
        <v>420</v>
      </c>
      <c r="HH7" s="715">
        <v>75.8</v>
      </c>
      <c r="HI7" s="715">
        <v>29.1</v>
      </c>
      <c r="HJ7" s="754">
        <v>0.306</v>
      </c>
      <c r="HK7" s="738">
        <v>66</v>
      </c>
      <c r="HL7" s="685">
        <v>0.43</v>
      </c>
      <c r="HM7" s="685">
        <v>4.13</v>
      </c>
      <c r="HN7" s="646" t="s">
        <v>279</v>
      </c>
      <c r="HO7" s="646" t="s">
        <v>302</v>
      </c>
      <c r="HP7" s="715">
        <v>-0.4</v>
      </c>
      <c r="HQ7" s="754">
        <v>0.979</v>
      </c>
      <c r="HR7" s="754">
        <v>0.984</v>
      </c>
      <c r="HS7" s="754">
        <v>0.991</v>
      </c>
      <c r="HT7" s="758">
        <v>0.995</v>
      </c>
      <c r="HU7" s="754">
        <v>0.998</v>
      </c>
      <c r="HV7" s="754">
        <v>0.999</v>
      </c>
      <c r="HW7" s="753">
        <v>0.999</v>
      </c>
      <c r="HX7" s="753">
        <v>0.999</v>
      </c>
      <c r="HY7" s="754">
        <v>0.999</v>
      </c>
      <c r="HZ7" s="754">
        <v>0.999</v>
      </c>
      <c r="IA7" s="754">
        <v>0.999</v>
      </c>
      <c r="IB7" s="754">
        <v>0.999</v>
      </c>
      <c r="IC7" s="754">
        <v>0.999</v>
      </c>
      <c r="ID7" s="754">
        <v>0.999</v>
      </c>
      <c r="IE7" s="754">
        <v>0.999</v>
      </c>
      <c r="IF7" s="754">
        <v>0.999</v>
      </c>
      <c r="IG7" s="754">
        <v>0.999</v>
      </c>
      <c r="IH7" s="754">
        <v>0.999</v>
      </c>
      <c r="II7" s="754">
        <v>0.999</v>
      </c>
      <c r="IJ7" s="754">
        <v>0.999</v>
      </c>
      <c r="IK7" s="754">
        <v>0.999</v>
      </c>
      <c r="IL7" s="754">
        <v>0.999</v>
      </c>
      <c r="IM7" s="754">
        <v>0.999</v>
      </c>
      <c r="IN7" s="754">
        <v>0.999</v>
      </c>
      <c r="IO7" s="754">
        <v>0.998</v>
      </c>
      <c r="IP7" s="754">
        <v>0.997</v>
      </c>
      <c r="IQ7" s="754">
        <v>0.995</v>
      </c>
      <c r="IR7" s="754">
        <v>0.989</v>
      </c>
      <c r="IS7" s="754">
        <v>0.976</v>
      </c>
      <c r="IT7" s="754">
        <v>0.953</v>
      </c>
      <c r="IU7" s="754">
        <v>0.912</v>
      </c>
      <c r="IV7" s="754">
        <v>0.85</v>
      </c>
      <c r="IW7" s="754">
        <v>0.766</v>
      </c>
      <c r="IX7" s="754">
        <v>0.671</v>
      </c>
      <c r="IY7" s="754">
        <v>0.58</v>
      </c>
      <c r="IZ7" s="754">
        <v>0.503</v>
      </c>
      <c r="JA7" s="754">
        <v>0.958</v>
      </c>
      <c r="JB7" s="754">
        <v>0.968</v>
      </c>
      <c r="JC7" s="754">
        <v>0.982</v>
      </c>
      <c r="JD7" s="754">
        <v>0.989</v>
      </c>
      <c r="JE7" s="754">
        <v>0.996</v>
      </c>
      <c r="JF7" s="754">
        <v>0.998</v>
      </c>
      <c r="JG7" s="754">
        <v>0.998</v>
      </c>
      <c r="JH7" s="754">
        <v>0.998</v>
      </c>
      <c r="JI7" s="754">
        <v>0.998</v>
      </c>
      <c r="JJ7" s="754">
        <v>0.998</v>
      </c>
      <c r="JK7" s="754">
        <v>0.998</v>
      </c>
      <c r="JL7" s="754">
        <v>0.998</v>
      </c>
      <c r="JM7" s="754">
        <v>0.998</v>
      </c>
      <c r="JN7" s="754">
        <v>0.998</v>
      </c>
      <c r="JO7" s="754">
        <v>0.998</v>
      </c>
      <c r="JP7" s="754">
        <v>0.998</v>
      </c>
      <c r="JQ7" s="754">
        <v>0.998</v>
      </c>
      <c r="JR7" s="754">
        <v>0.998</v>
      </c>
      <c r="JS7" s="754">
        <v>0.998</v>
      </c>
      <c r="JT7" s="754">
        <v>0.998</v>
      </c>
      <c r="JU7" s="754">
        <v>0.998</v>
      </c>
      <c r="JV7" s="754">
        <v>0.998</v>
      </c>
      <c r="JW7" s="754">
        <v>0.998</v>
      </c>
      <c r="JX7" s="754">
        <v>0.998</v>
      </c>
      <c r="JY7" s="754">
        <v>0.996</v>
      </c>
      <c r="JZ7" s="754">
        <v>0.994</v>
      </c>
      <c r="KA7" s="754">
        <v>0.99</v>
      </c>
      <c r="KB7" s="754">
        <v>0.978</v>
      </c>
      <c r="KC7" s="754">
        <v>0.952</v>
      </c>
      <c r="KD7" s="754">
        <v>0.908</v>
      </c>
      <c r="KE7" s="754">
        <v>0.832</v>
      </c>
      <c r="KF7" s="754">
        <v>0.723</v>
      </c>
      <c r="KG7" s="754">
        <v>0.587</v>
      </c>
      <c r="KH7" s="754">
        <v>0.45</v>
      </c>
      <c r="KI7" s="754">
        <v>0.336</v>
      </c>
      <c r="KJ7" s="754">
        <v>0.253</v>
      </c>
      <c r="KK7" s="765" t="s">
        <v>281</v>
      </c>
      <c r="KL7" s="738">
        <v>164</v>
      </c>
      <c r="KM7" s="738">
        <v>677</v>
      </c>
      <c r="KN7" s="646" t="s">
        <v>303</v>
      </c>
      <c r="KO7" s="646" t="s">
        <v>301</v>
      </c>
      <c r="KP7" s="646">
        <v>550755</v>
      </c>
      <c r="KQ7" s="766"/>
      <c r="KR7" s="750"/>
      <c r="KS7" s="769" t="s">
        <v>304</v>
      </c>
      <c r="KT7" s="770" t="s">
        <v>305</v>
      </c>
      <c r="KU7" s="766" t="s">
        <v>306</v>
      </c>
      <c r="KV7" s="750">
        <v>550755</v>
      </c>
      <c r="KW7" s="771"/>
      <c r="KX7" s="750"/>
      <c r="KY7" s="769"/>
      <c r="KZ7" s="770"/>
    </row>
    <row r="8" s="628" customFormat="1" customHeight="1" spans="1:312">
      <c r="A8" s="682" t="s">
        <v>277</v>
      </c>
      <c r="B8" s="683">
        <v>4</v>
      </c>
      <c r="C8" s="684" t="s">
        <v>307</v>
      </c>
      <c r="D8" s="679">
        <v>459902</v>
      </c>
      <c r="E8" s="685">
        <v>90.19</v>
      </c>
      <c r="F8" s="685">
        <v>89.77</v>
      </c>
      <c r="G8" s="686">
        <v>0.005085</v>
      </c>
      <c r="H8" s="686">
        <v>0.005122</v>
      </c>
      <c r="I8" s="696">
        <v>1.44358</v>
      </c>
      <c r="J8" s="696">
        <v>1.4463</v>
      </c>
      <c r="K8" s="696">
        <v>1.44928</v>
      </c>
      <c r="L8" s="696">
        <v>1.45191</v>
      </c>
      <c r="M8" s="696">
        <v>1.45238</v>
      </c>
      <c r="N8" s="696">
        <v>1.45277</v>
      </c>
      <c r="O8" s="696">
        <v>1.45425</v>
      </c>
      <c r="P8" s="696">
        <v>1.45524</v>
      </c>
      <c r="Q8" s="697">
        <v>1.45615</v>
      </c>
      <c r="R8" s="697">
        <v>1.45704</v>
      </c>
      <c r="S8" s="697">
        <v>1.45729</v>
      </c>
      <c r="T8" s="701">
        <v>1.45752</v>
      </c>
      <c r="U8" s="697">
        <v>1.45855</v>
      </c>
      <c r="V8" s="697">
        <v>1.4586</v>
      </c>
      <c r="W8" s="697">
        <v>1.45981</v>
      </c>
      <c r="X8" s="697">
        <v>1.46212</v>
      </c>
      <c r="Y8" s="697">
        <v>1.46241</v>
      </c>
      <c r="Z8" s="697">
        <v>1.46486</v>
      </c>
      <c r="AA8" s="697">
        <v>1.4671</v>
      </c>
      <c r="AB8" s="697">
        <v>1.47085</v>
      </c>
      <c r="AC8" s="704">
        <v>2.10866977</v>
      </c>
      <c r="AD8" s="704">
        <v>-0.00481589397</v>
      </c>
      <c r="AE8" s="704">
        <v>0.00702478609</v>
      </c>
      <c r="AF8" s="704">
        <v>-2.48667024e-5</v>
      </c>
      <c r="AG8" s="704">
        <v>1.78185408e-5</v>
      </c>
      <c r="AH8" s="704">
        <v>-1.09874507e-6</v>
      </c>
      <c r="AI8" s="709">
        <v>0.3068</v>
      </c>
      <c r="AJ8" s="709">
        <v>0.238</v>
      </c>
      <c r="AK8" s="709">
        <v>0.5388</v>
      </c>
      <c r="AL8" s="709">
        <v>0.2558</v>
      </c>
      <c r="AM8" s="709">
        <v>0.2362</v>
      </c>
      <c r="AN8" s="709">
        <v>0.4783</v>
      </c>
      <c r="AO8" s="709">
        <v>0.0139</v>
      </c>
      <c r="AP8" s="709">
        <v>0.045</v>
      </c>
      <c r="AQ8" s="709">
        <v>-0.1374</v>
      </c>
      <c r="AR8" s="709">
        <v>-0.0682</v>
      </c>
      <c r="AS8" s="714">
        <v>-7</v>
      </c>
      <c r="AT8" s="714">
        <v>-7.2</v>
      </c>
      <c r="AU8" s="714">
        <v>-7.3</v>
      </c>
      <c r="AV8" s="714">
        <v>-7.3</v>
      </c>
      <c r="AW8" s="714">
        <v>-7.5</v>
      </c>
      <c r="AX8" s="714">
        <v>-7.6</v>
      </c>
      <c r="AY8" s="714">
        <v>-7.9</v>
      </c>
      <c r="AZ8" s="714">
        <v>-8</v>
      </c>
      <c r="BA8" s="714">
        <v>-8.1</v>
      </c>
      <c r="BB8" s="714">
        <v>-8.2</v>
      </c>
      <c r="BC8" s="714">
        <v>-8.4</v>
      </c>
      <c r="BD8" s="714">
        <v>-6.7</v>
      </c>
      <c r="BE8" s="714">
        <v>-6.8</v>
      </c>
      <c r="BF8" s="714">
        <v>-6.9</v>
      </c>
      <c r="BG8" s="714">
        <v>-7</v>
      </c>
      <c r="BH8" s="714">
        <v>-7.1</v>
      </c>
      <c r="BI8" s="714">
        <v>-7.3</v>
      </c>
      <c r="BJ8" s="714">
        <v>-7.6</v>
      </c>
      <c r="BK8" s="714">
        <v>-7.8</v>
      </c>
      <c r="BL8" s="714">
        <v>-8.1</v>
      </c>
      <c r="BM8" s="714">
        <v>-8</v>
      </c>
      <c r="BN8" s="714">
        <v>-8.3</v>
      </c>
      <c r="BO8" s="714">
        <v>-6.5</v>
      </c>
      <c r="BP8" s="714">
        <v>-6.5</v>
      </c>
      <c r="BQ8" s="714">
        <v>-6.7</v>
      </c>
      <c r="BR8" s="714">
        <v>-6.8</v>
      </c>
      <c r="BS8" s="714">
        <v>-7</v>
      </c>
      <c r="BT8" s="714">
        <v>-7.2</v>
      </c>
      <c r="BU8" s="714">
        <v>-7.5</v>
      </c>
      <c r="BV8" s="714">
        <v>-7.7</v>
      </c>
      <c r="BW8" s="714">
        <v>-8</v>
      </c>
      <c r="BX8" s="714">
        <v>-8</v>
      </c>
      <c r="BY8" s="714">
        <v>-8.3</v>
      </c>
      <c r="BZ8" s="714">
        <v>-6.4</v>
      </c>
      <c r="CA8" s="714">
        <v>-6.5</v>
      </c>
      <c r="CB8" s="714">
        <v>-6.7</v>
      </c>
      <c r="CC8" s="714">
        <v>-6.8</v>
      </c>
      <c r="CD8" s="714">
        <v>-6.9</v>
      </c>
      <c r="CE8" s="714">
        <v>-7.2</v>
      </c>
      <c r="CF8" s="714">
        <v>-7.5</v>
      </c>
      <c r="CG8" s="714">
        <v>-7.6</v>
      </c>
      <c r="CH8" s="714">
        <v>-7.9</v>
      </c>
      <c r="CI8" s="714">
        <v>-8</v>
      </c>
      <c r="CJ8" s="714">
        <v>-8.2</v>
      </c>
      <c r="CK8" s="714">
        <v>-6.2</v>
      </c>
      <c r="CL8" s="714">
        <v>-6.4</v>
      </c>
      <c r="CM8" s="714">
        <v>-6.6</v>
      </c>
      <c r="CN8" s="714">
        <v>-6.7</v>
      </c>
      <c r="CO8" s="714">
        <v>-6.8</v>
      </c>
      <c r="CP8" s="714">
        <v>-7.1</v>
      </c>
      <c r="CQ8" s="714">
        <v>-7.4</v>
      </c>
      <c r="CR8" s="714">
        <v>-7.4</v>
      </c>
      <c r="CS8" s="714">
        <v>-7.8</v>
      </c>
      <c r="CT8" s="714">
        <v>-7.9</v>
      </c>
      <c r="CU8" s="714">
        <v>-8.2</v>
      </c>
      <c r="CV8" s="714">
        <v>-6</v>
      </c>
      <c r="CW8" s="714">
        <v>-6.2</v>
      </c>
      <c r="CX8" s="714">
        <v>-6.4</v>
      </c>
      <c r="CY8" s="714">
        <v>-6.5</v>
      </c>
      <c r="CZ8" s="714">
        <v>-6.5</v>
      </c>
      <c r="DA8" s="714">
        <v>-6.7</v>
      </c>
      <c r="DB8" s="714">
        <v>-7</v>
      </c>
      <c r="DC8" s="714">
        <v>-7.2</v>
      </c>
      <c r="DD8" s="714">
        <v>-7.6</v>
      </c>
      <c r="DE8" s="714">
        <v>-7.8</v>
      </c>
      <c r="DF8" s="714">
        <v>-8</v>
      </c>
      <c r="DG8" s="714">
        <v>-5.9</v>
      </c>
      <c r="DH8" s="715">
        <v>-6</v>
      </c>
      <c r="DI8" s="715">
        <v>-6.3</v>
      </c>
      <c r="DJ8" s="715">
        <v>-6.5</v>
      </c>
      <c r="DK8" s="715">
        <v>-6.5</v>
      </c>
      <c r="DL8" s="715">
        <v>-6.6</v>
      </c>
      <c r="DM8" s="715">
        <v>-7</v>
      </c>
      <c r="DN8" s="714">
        <v>-7.1</v>
      </c>
      <c r="DO8" s="714">
        <v>-7.4</v>
      </c>
      <c r="DP8" s="714">
        <v>-7.7</v>
      </c>
      <c r="DQ8" s="714">
        <v>-8</v>
      </c>
      <c r="DR8" s="714">
        <v>-5.6</v>
      </c>
      <c r="DS8" s="715">
        <v>-5.8</v>
      </c>
      <c r="DT8" s="715">
        <v>-6</v>
      </c>
      <c r="DU8" s="715">
        <v>-6.1</v>
      </c>
      <c r="DV8" s="715">
        <v>-6.2</v>
      </c>
      <c r="DW8" s="715">
        <v>-6.5</v>
      </c>
      <c r="DX8" s="715">
        <v>-6.8</v>
      </c>
      <c r="DY8" s="714">
        <v>-6.9</v>
      </c>
      <c r="DZ8" s="714">
        <v>-7.2</v>
      </c>
      <c r="EA8" s="714">
        <v>-7.5</v>
      </c>
      <c r="EB8" s="714">
        <v>-7.9</v>
      </c>
      <c r="EC8" s="714">
        <v>-5.6</v>
      </c>
      <c r="ED8" s="715">
        <v>-5.8</v>
      </c>
      <c r="EE8" s="715">
        <v>-5.9</v>
      </c>
      <c r="EF8" s="715">
        <v>-6.1</v>
      </c>
      <c r="EG8" s="715">
        <v>-6.2</v>
      </c>
      <c r="EH8" s="715">
        <v>-6.5</v>
      </c>
      <c r="EI8" s="715">
        <v>-6.7</v>
      </c>
      <c r="EJ8" s="714">
        <v>-6.8</v>
      </c>
      <c r="EK8" s="714">
        <v>-7.2</v>
      </c>
      <c r="EL8" s="714">
        <v>-7.5</v>
      </c>
      <c r="EM8" s="714">
        <v>-7.8</v>
      </c>
      <c r="EN8" s="714">
        <v>-5.3</v>
      </c>
      <c r="EO8" s="715">
        <v>-5.5</v>
      </c>
      <c r="EP8" s="715">
        <v>-5.7</v>
      </c>
      <c r="EQ8" s="715">
        <v>-6</v>
      </c>
      <c r="ER8" s="715">
        <v>-6.2</v>
      </c>
      <c r="ES8" s="715">
        <v>-6.3</v>
      </c>
      <c r="ET8" s="715">
        <v>-6.6</v>
      </c>
      <c r="EU8" s="714">
        <v>-6.7</v>
      </c>
      <c r="EV8" s="714">
        <v>-7</v>
      </c>
      <c r="EW8" s="714">
        <v>-7.3</v>
      </c>
      <c r="EX8" s="714">
        <v>-7.6</v>
      </c>
      <c r="EY8" s="714">
        <v>-8.5</v>
      </c>
      <c r="EZ8" s="715">
        <v>-8.4</v>
      </c>
      <c r="FA8" s="715">
        <v>-8.3</v>
      </c>
      <c r="FB8" s="715">
        <v>-8.2</v>
      </c>
      <c r="FC8" s="715">
        <v>-8.1</v>
      </c>
      <c r="FD8" s="715">
        <v>-8.2</v>
      </c>
      <c r="FE8" s="715">
        <v>-8.4</v>
      </c>
      <c r="FF8" s="714">
        <v>-8.3</v>
      </c>
      <c r="FG8" s="714">
        <v>-8.6</v>
      </c>
      <c r="FH8" s="714">
        <v>-8.6</v>
      </c>
      <c r="FI8" s="714">
        <v>-8.8</v>
      </c>
      <c r="FJ8" s="723">
        <v>-2.37e-5</v>
      </c>
      <c r="FK8" s="723">
        <v>5.32e-9</v>
      </c>
      <c r="FL8" s="723">
        <v>-4.63e-11</v>
      </c>
      <c r="FM8" s="723">
        <v>9.51e-7</v>
      </c>
      <c r="FN8" s="723">
        <v>-1.08e-9</v>
      </c>
      <c r="FO8" s="723">
        <v>2.02e-8</v>
      </c>
      <c r="FP8" s="729">
        <v>1</v>
      </c>
      <c r="FQ8" s="729">
        <v>2</v>
      </c>
      <c r="FR8" s="729">
        <v>2</v>
      </c>
      <c r="FS8" s="729">
        <v>3</v>
      </c>
      <c r="FT8" s="729">
        <v>4</v>
      </c>
      <c r="FU8" s="729">
        <v>2</v>
      </c>
      <c r="FV8" s="681">
        <v>1</v>
      </c>
      <c r="FW8" s="729"/>
      <c r="FX8" s="729"/>
      <c r="FY8" s="729"/>
      <c r="FZ8" s="734">
        <v>442</v>
      </c>
      <c r="GA8" s="734">
        <v>467</v>
      </c>
      <c r="GB8" s="681">
        <v>423</v>
      </c>
      <c r="GC8" s="681">
        <v>436</v>
      </c>
      <c r="GD8" s="747">
        <v>0.71</v>
      </c>
      <c r="GE8" s="729"/>
      <c r="GF8" s="681">
        <v>134</v>
      </c>
      <c r="GG8" s="681">
        <v>164</v>
      </c>
      <c r="GH8" s="681">
        <v>123</v>
      </c>
      <c r="GI8" s="681">
        <v>126</v>
      </c>
      <c r="GJ8" s="681">
        <v>128</v>
      </c>
      <c r="GK8" s="681">
        <v>130</v>
      </c>
      <c r="GL8" s="681">
        <v>132</v>
      </c>
      <c r="GM8" s="681">
        <v>133</v>
      </c>
      <c r="GN8" s="681">
        <v>135</v>
      </c>
      <c r="GO8" s="681">
        <v>138</v>
      </c>
      <c r="GP8" s="681">
        <v>140</v>
      </c>
      <c r="GQ8" s="681">
        <v>143</v>
      </c>
      <c r="GR8" s="681">
        <v>144</v>
      </c>
      <c r="GS8" s="681">
        <v>145</v>
      </c>
      <c r="GT8" s="681">
        <v>146</v>
      </c>
      <c r="GU8" s="681">
        <v>147</v>
      </c>
      <c r="GV8" s="681">
        <v>149</v>
      </c>
      <c r="GW8" s="681">
        <v>150</v>
      </c>
      <c r="GX8" s="681">
        <v>151</v>
      </c>
      <c r="GY8" s="681">
        <v>153</v>
      </c>
      <c r="GZ8" s="681">
        <v>155</v>
      </c>
      <c r="HA8" s="681">
        <v>157</v>
      </c>
      <c r="HB8" s="681">
        <v>160</v>
      </c>
      <c r="HC8" s="681"/>
      <c r="HD8" s="681">
        <v>48</v>
      </c>
      <c r="HE8" s="681"/>
      <c r="HF8" s="681">
        <v>354</v>
      </c>
      <c r="HG8" s="738">
        <v>459</v>
      </c>
      <c r="HH8" s="714">
        <v>68.9</v>
      </c>
      <c r="HI8" s="714">
        <v>26.2</v>
      </c>
      <c r="HJ8" s="753">
        <v>0.313</v>
      </c>
      <c r="HK8" s="681">
        <v>48</v>
      </c>
      <c r="HL8" s="685">
        <v>0.6</v>
      </c>
      <c r="HM8" s="747">
        <v>3.64</v>
      </c>
      <c r="HN8" s="729" t="s">
        <v>308</v>
      </c>
      <c r="HO8" s="729" t="s">
        <v>309</v>
      </c>
      <c r="HP8" s="714">
        <v>-0.5</v>
      </c>
      <c r="HQ8" s="755">
        <v>0.999</v>
      </c>
      <c r="HR8" s="755">
        <v>0.999</v>
      </c>
      <c r="HS8" s="755">
        <v>0.999</v>
      </c>
      <c r="HT8" s="755">
        <v>0.999</v>
      </c>
      <c r="HU8" s="755">
        <v>0.999</v>
      </c>
      <c r="HV8" s="755">
        <v>0.999</v>
      </c>
      <c r="HW8" s="755">
        <v>0.999</v>
      </c>
      <c r="HX8" s="755">
        <v>0.999</v>
      </c>
      <c r="HY8" s="755">
        <v>0.999</v>
      </c>
      <c r="HZ8" s="755">
        <v>0.999</v>
      </c>
      <c r="IA8" s="755">
        <v>0.999</v>
      </c>
      <c r="IB8" s="755">
        <v>0.999</v>
      </c>
      <c r="IC8" s="755">
        <v>0.999</v>
      </c>
      <c r="ID8" s="755">
        <v>0.999</v>
      </c>
      <c r="IE8" s="755">
        <v>0.999</v>
      </c>
      <c r="IF8" s="755">
        <v>0.999</v>
      </c>
      <c r="IG8" s="755">
        <v>0.999</v>
      </c>
      <c r="IH8" s="755">
        <v>0.999</v>
      </c>
      <c r="II8" s="755">
        <v>0.999</v>
      </c>
      <c r="IJ8" s="755">
        <v>0.999</v>
      </c>
      <c r="IK8" s="755">
        <v>0.999</v>
      </c>
      <c r="IL8" s="755">
        <v>0.999</v>
      </c>
      <c r="IM8" s="755">
        <v>0.999</v>
      </c>
      <c r="IN8" s="755">
        <v>0.999</v>
      </c>
      <c r="IO8" s="755">
        <v>0.999</v>
      </c>
      <c r="IP8" s="755">
        <v>0.999</v>
      </c>
      <c r="IQ8" s="755">
        <v>0.999</v>
      </c>
      <c r="IR8" s="755">
        <v>0.998</v>
      </c>
      <c r="IS8" s="755">
        <v>0.997</v>
      </c>
      <c r="IT8" s="755">
        <v>0.993</v>
      </c>
      <c r="IU8" s="755">
        <v>0.984</v>
      </c>
      <c r="IV8" s="755">
        <v>0.967</v>
      </c>
      <c r="IW8" s="755">
        <v>0.935</v>
      </c>
      <c r="IX8" s="755">
        <v>0.883</v>
      </c>
      <c r="IY8" s="755">
        <v>0.809</v>
      </c>
      <c r="IZ8" s="755">
        <v>0.721</v>
      </c>
      <c r="JA8" s="755">
        <v>0.998</v>
      </c>
      <c r="JB8" s="755">
        <v>0.998</v>
      </c>
      <c r="JC8" s="755">
        <v>0.998</v>
      </c>
      <c r="JD8" s="755">
        <v>0.998</v>
      </c>
      <c r="JE8" s="755">
        <v>0.998</v>
      </c>
      <c r="JF8" s="755">
        <v>0.998</v>
      </c>
      <c r="JG8" s="755">
        <v>0.998</v>
      </c>
      <c r="JH8" s="755">
        <v>0.998</v>
      </c>
      <c r="JI8" s="755">
        <v>0.998</v>
      </c>
      <c r="JJ8" s="755">
        <v>0.998</v>
      </c>
      <c r="JK8" s="755">
        <v>0.998</v>
      </c>
      <c r="JL8" s="755">
        <v>0.998</v>
      </c>
      <c r="JM8" s="755">
        <v>0.998</v>
      </c>
      <c r="JN8" s="755">
        <v>0.998</v>
      </c>
      <c r="JO8" s="755">
        <v>0.998</v>
      </c>
      <c r="JP8" s="755">
        <v>0.998</v>
      </c>
      <c r="JQ8" s="755">
        <v>0.998</v>
      </c>
      <c r="JR8" s="755">
        <v>0.998</v>
      </c>
      <c r="JS8" s="755">
        <v>0.998</v>
      </c>
      <c r="JT8" s="755">
        <v>0.998</v>
      </c>
      <c r="JU8" s="755">
        <v>0.998</v>
      </c>
      <c r="JV8" s="755">
        <v>0.998</v>
      </c>
      <c r="JW8" s="755">
        <v>0.998</v>
      </c>
      <c r="JX8" s="755">
        <v>0.998</v>
      </c>
      <c r="JY8" s="755">
        <v>0.998</v>
      </c>
      <c r="JZ8" s="755">
        <v>0.998</v>
      </c>
      <c r="KA8" s="755">
        <v>0.998</v>
      </c>
      <c r="KB8" s="755">
        <v>0.996</v>
      </c>
      <c r="KC8" s="755">
        <v>0.994</v>
      </c>
      <c r="KD8" s="755">
        <v>0.986</v>
      </c>
      <c r="KE8" s="755">
        <v>0.968</v>
      </c>
      <c r="KF8" s="755">
        <v>0.935</v>
      </c>
      <c r="KG8" s="755">
        <v>0.874</v>
      </c>
      <c r="KH8" s="755">
        <v>0.779</v>
      </c>
      <c r="KI8" s="755">
        <v>0.654</v>
      </c>
      <c r="KJ8" s="755">
        <v>0.52</v>
      </c>
      <c r="KK8" s="765" t="s">
        <v>281</v>
      </c>
      <c r="KL8" s="738">
        <v>110</v>
      </c>
      <c r="KM8" s="738">
        <v>400</v>
      </c>
      <c r="KN8" s="646" t="s">
        <v>282</v>
      </c>
      <c r="KO8" s="646" t="s">
        <v>307</v>
      </c>
      <c r="KP8" s="679">
        <v>459902</v>
      </c>
      <c r="KQ8" s="766"/>
      <c r="KR8" s="750"/>
      <c r="KS8" s="769" t="s">
        <v>310</v>
      </c>
      <c r="KT8" s="770" t="s">
        <v>311</v>
      </c>
      <c r="KU8" s="766" t="s">
        <v>312</v>
      </c>
      <c r="KV8" s="750">
        <v>459902</v>
      </c>
      <c r="KW8" s="771" t="s">
        <v>313</v>
      </c>
      <c r="KX8" s="750" t="s">
        <v>314</v>
      </c>
      <c r="KY8" s="769" t="s">
        <v>315</v>
      </c>
      <c r="KZ8" s="770" t="s">
        <v>316</v>
      </c>
    </row>
    <row r="9" s="628" customFormat="1" customHeight="1" spans="1:312">
      <c r="A9" s="682" t="s">
        <v>277</v>
      </c>
      <c r="B9" s="683">
        <v>5</v>
      </c>
      <c r="C9" s="684" t="s">
        <v>317</v>
      </c>
      <c r="D9" s="679">
        <v>437951</v>
      </c>
      <c r="E9" s="685">
        <v>95.1</v>
      </c>
      <c r="F9" s="685">
        <v>94.66</v>
      </c>
      <c r="G9" s="686">
        <v>0.004595</v>
      </c>
      <c r="H9" s="686">
        <v>0.004628</v>
      </c>
      <c r="I9" s="696">
        <v>1.4231</v>
      </c>
      <c r="J9" s="696">
        <v>1.42566</v>
      </c>
      <c r="K9" s="696">
        <v>1.42846</v>
      </c>
      <c r="L9" s="696">
        <v>1.43091</v>
      </c>
      <c r="M9" s="696">
        <v>1.43134</v>
      </c>
      <c r="N9" s="696">
        <v>1.4317</v>
      </c>
      <c r="O9" s="696">
        <v>1.43306</v>
      </c>
      <c r="P9" s="696">
        <v>1.43396</v>
      </c>
      <c r="Q9" s="697">
        <v>1.43478</v>
      </c>
      <c r="R9" s="697">
        <v>1.43559</v>
      </c>
      <c r="S9" s="697">
        <v>1.43582</v>
      </c>
      <c r="T9" s="701">
        <v>1.43603</v>
      </c>
      <c r="U9" s="697">
        <v>1.43696</v>
      </c>
      <c r="V9" s="697">
        <v>1.437</v>
      </c>
      <c r="W9" s="697">
        <v>1.4381</v>
      </c>
      <c r="X9" s="697">
        <v>1.44019</v>
      </c>
      <c r="Y9" s="697">
        <v>1.44044</v>
      </c>
      <c r="Z9" s="697">
        <v>1.44264</v>
      </c>
      <c r="AA9" s="697">
        <v>1.44466</v>
      </c>
      <c r="AB9" s="697">
        <v>1.44803</v>
      </c>
      <c r="AC9" s="704">
        <v>2.04831817</v>
      </c>
      <c r="AD9" s="704">
        <v>-0.00448612591</v>
      </c>
      <c r="AE9" s="704">
        <v>0.00622248873</v>
      </c>
      <c r="AF9" s="704">
        <v>-7.9858103e-6</v>
      </c>
      <c r="AG9" s="704">
        <v>1.22118495e-5</v>
      </c>
      <c r="AH9" s="704">
        <v>-7.39464344e-7</v>
      </c>
      <c r="AI9" s="709">
        <v>0.3069</v>
      </c>
      <c r="AJ9" s="709">
        <v>0.2394</v>
      </c>
      <c r="AK9" s="709">
        <v>0.5332</v>
      </c>
      <c r="AL9" s="709">
        <v>0.255</v>
      </c>
      <c r="AM9" s="709">
        <v>0.2377</v>
      </c>
      <c r="AN9" s="709">
        <v>0.4754</v>
      </c>
      <c r="AO9" s="709">
        <v>0.0171</v>
      </c>
      <c r="AP9" s="709">
        <v>0.0475</v>
      </c>
      <c r="AQ9" s="709">
        <v>-0.1544</v>
      </c>
      <c r="AR9" s="709">
        <v>-0.078</v>
      </c>
      <c r="AS9" s="714">
        <v>-5.5</v>
      </c>
      <c r="AT9" s="714">
        <v>-6</v>
      </c>
      <c r="AU9" s="714">
        <v>-6.4</v>
      </c>
      <c r="AV9" s="714">
        <v>-6.7</v>
      </c>
      <c r="AW9" s="714">
        <v>-7</v>
      </c>
      <c r="AX9" s="714">
        <v>-7.2</v>
      </c>
      <c r="AY9" s="714">
        <v>-7.3</v>
      </c>
      <c r="AZ9" s="714">
        <v>-7.3</v>
      </c>
      <c r="BA9" s="714">
        <v>-7.3</v>
      </c>
      <c r="BB9" s="714">
        <v>-7.4</v>
      </c>
      <c r="BC9" s="714">
        <v>-7.5</v>
      </c>
      <c r="BD9" s="714">
        <v>-5.3</v>
      </c>
      <c r="BE9" s="714">
        <v>-5.8</v>
      </c>
      <c r="BF9" s="714">
        <v>-6.2</v>
      </c>
      <c r="BG9" s="714">
        <v>-6.5</v>
      </c>
      <c r="BH9" s="714">
        <v>-6.8</v>
      </c>
      <c r="BI9" s="714">
        <v>-7</v>
      </c>
      <c r="BJ9" s="714">
        <v>-7.2</v>
      </c>
      <c r="BK9" s="714">
        <v>-7.2</v>
      </c>
      <c r="BL9" s="714">
        <v>-7.2</v>
      </c>
      <c r="BM9" s="714">
        <v>-7.3</v>
      </c>
      <c r="BN9" s="714">
        <v>-7.4</v>
      </c>
      <c r="BO9" s="714">
        <v>-5.2</v>
      </c>
      <c r="BP9" s="714">
        <v>-5.7</v>
      </c>
      <c r="BQ9" s="714">
        <v>-6</v>
      </c>
      <c r="BR9" s="714">
        <v>-6.4</v>
      </c>
      <c r="BS9" s="714">
        <v>-6.7</v>
      </c>
      <c r="BT9" s="714">
        <v>-6.9</v>
      </c>
      <c r="BU9" s="714">
        <v>-7.1</v>
      </c>
      <c r="BV9" s="714">
        <v>-7.1</v>
      </c>
      <c r="BW9" s="714">
        <v>-7.1</v>
      </c>
      <c r="BX9" s="714">
        <v>-7.2</v>
      </c>
      <c r="BY9" s="714">
        <v>-7.2</v>
      </c>
      <c r="BZ9" s="714">
        <v>-5.2</v>
      </c>
      <c r="CA9" s="714">
        <v>-5.7</v>
      </c>
      <c r="CB9" s="714">
        <v>-6</v>
      </c>
      <c r="CC9" s="714">
        <v>-6.4</v>
      </c>
      <c r="CD9" s="714">
        <v>-6.7</v>
      </c>
      <c r="CE9" s="714">
        <v>-6.9</v>
      </c>
      <c r="CF9" s="714">
        <v>-7.1</v>
      </c>
      <c r="CG9" s="714">
        <v>-7.1</v>
      </c>
      <c r="CH9" s="714">
        <v>-7.1</v>
      </c>
      <c r="CI9" s="714">
        <v>-7.1</v>
      </c>
      <c r="CJ9" s="714">
        <v>-7.2</v>
      </c>
      <c r="CK9" s="714">
        <v>-5.1</v>
      </c>
      <c r="CL9" s="714">
        <v>-5.6</v>
      </c>
      <c r="CM9" s="714">
        <v>-5.9</v>
      </c>
      <c r="CN9" s="714">
        <v>-6.3</v>
      </c>
      <c r="CO9" s="714">
        <v>-6.6</v>
      </c>
      <c r="CP9" s="714">
        <v>-6.8</v>
      </c>
      <c r="CQ9" s="714">
        <v>-7</v>
      </c>
      <c r="CR9" s="714">
        <v>-7</v>
      </c>
      <c r="CS9" s="714">
        <v>-7.1</v>
      </c>
      <c r="CT9" s="714">
        <v>-7.1</v>
      </c>
      <c r="CU9" s="714">
        <v>-7.1</v>
      </c>
      <c r="CV9" s="714">
        <v>-5</v>
      </c>
      <c r="CW9" s="714">
        <v>-5.5</v>
      </c>
      <c r="CX9" s="714">
        <v>-5.8</v>
      </c>
      <c r="CY9" s="714">
        <v>-6.2</v>
      </c>
      <c r="CZ9" s="714">
        <v>-6.4</v>
      </c>
      <c r="DA9" s="714">
        <v>-6.7</v>
      </c>
      <c r="DB9" s="714">
        <v>-6.9</v>
      </c>
      <c r="DC9" s="714">
        <v>-6.9</v>
      </c>
      <c r="DD9" s="714">
        <v>-7</v>
      </c>
      <c r="DE9" s="714">
        <v>-7</v>
      </c>
      <c r="DF9" s="714">
        <v>-7</v>
      </c>
      <c r="DG9" s="714">
        <v>-4.9</v>
      </c>
      <c r="DH9" s="715">
        <v>-5.3</v>
      </c>
      <c r="DI9" s="715">
        <v>-5.7</v>
      </c>
      <c r="DJ9" s="715">
        <v>-6.1</v>
      </c>
      <c r="DK9" s="715">
        <v>-6.4</v>
      </c>
      <c r="DL9" s="715">
        <v>-6.6</v>
      </c>
      <c r="DM9" s="715">
        <v>-6.8</v>
      </c>
      <c r="DN9" s="714">
        <v>-6.8</v>
      </c>
      <c r="DO9" s="714">
        <v>-6.9</v>
      </c>
      <c r="DP9" s="714">
        <v>-6.8</v>
      </c>
      <c r="DQ9" s="714">
        <v>-6.9</v>
      </c>
      <c r="DR9" s="714">
        <v>-4.8</v>
      </c>
      <c r="DS9" s="715">
        <v>-5.1</v>
      </c>
      <c r="DT9" s="715">
        <v>-5.5</v>
      </c>
      <c r="DU9" s="715">
        <v>-5.8</v>
      </c>
      <c r="DV9" s="715">
        <v>-6.2</v>
      </c>
      <c r="DW9" s="715">
        <v>-6.5</v>
      </c>
      <c r="DX9" s="715">
        <v>-6.7</v>
      </c>
      <c r="DY9" s="714">
        <v>-6.7</v>
      </c>
      <c r="DZ9" s="714">
        <v>-6.7</v>
      </c>
      <c r="EA9" s="714">
        <v>-6.7</v>
      </c>
      <c r="EB9" s="714">
        <v>-6.8</v>
      </c>
      <c r="EC9" s="714">
        <v>-4.8</v>
      </c>
      <c r="ED9" s="715">
        <v>-5.1</v>
      </c>
      <c r="EE9" s="715">
        <v>-5.5</v>
      </c>
      <c r="EF9" s="715">
        <v>-5.8</v>
      </c>
      <c r="EG9" s="715">
        <v>-6.1</v>
      </c>
      <c r="EH9" s="715">
        <v>-6.4</v>
      </c>
      <c r="EI9" s="715">
        <v>-6.6</v>
      </c>
      <c r="EJ9" s="714">
        <v>-6.7</v>
      </c>
      <c r="EK9" s="714">
        <v>-6.7</v>
      </c>
      <c r="EL9" s="714">
        <v>-6.7</v>
      </c>
      <c r="EM9" s="714">
        <v>-6.7</v>
      </c>
      <c r="EN9" s="714">
        <v>-4.5</v>
      </c>
      <c r="EO9" s="715">
        <v>-4.9</v>
      </c>
      <c r="EP9" s="715">
        <v>-5.3</v>
      </c>
      <c r="EQ9" s="715">
        <v>-5.6</v>
      </c>
      <c r="ER9" s="715">
        <v>-5.9</v>
      </c>
      <c r="ES9" s="715">
        <v>-6.2</v>
      </c>
      <c r="ET9" s="715">
        <v>-6.4</v>
      </c>
      <c r="EU9" s="714">
        <v>-6.5</v>
      </c>
      <c r="EV9" s="714">
        <v>-6.6</v>
      </c>
      <c r="EW9" s="714">
        <v>-6.6</v>
      </c>
      <c r="EX9" s="714">
        <v>-6.5</v>
      </c>
      <c r="EY9" s="714">
        <v>-7.4</v>
      </c>
      <c r="EZ9" s="715">
        <v>-7.5</v>
      </c>
      <c r="FA9" s="715">
        <v>-7.6</v>
      </c>
      <c r="FB9" s="715">
        <v>-7.7</v>
      </c>
      <c r="FC9" s="715">
        <v>-7.8</v>
      </c>
      <c r="FD9" s="715">
        <v>-7.9</v>
      </c>
      <c r="FE9" s="715">
        <v>-8</v>
      </c>
      <c r="FF9" s="714">
        <v>-7.9</v>
      </c>
      <c r="FG9" s="714">
        <v>-7.9</v>
      </c>
      <c r="FH9" s="714">
        <v>-7.8</v>
      </c>
      <c r="FI9" s="714">
        <v>-7.7</v>
      </c>
      <c r="FJ9" s="723">
        <v>-2.28e-5</v>
      </c>
      <c r="FK9" s="723">
        <v>-4.73e-9</v>
      </c>
      <c r="FL9" s="723">
        <v>3.04e-11</v>
      </c>
      <c r="FM9" s="723">
        <v>6.79e-7</v>
      </c>
      <c r="FN9" s="723">
        <v>-1.59e-10</v>
      </c>
      <c r="FO9" s="723">
        <v>1.98e-7</v>
      </c>
      <c r="FP9" s="729">
        <v>1</v>
      </c>
      <c r="FQ9" s="729">
        <v>3</v>
      </c>
      <c r="FR9" s="729">
        <v>2</v>
      </c>
      <c r="FS9" s="729">
        <v>3</v>
      </c>
      <c r="FT9" s="729">
        <v>4</v>
      </c>
      <c r="FU9" s="729">
        <v>3</v>
      </c>
      <c r="FV9" s="681">
        <v>1</v>
      </c>
      <c r="FW9" s="729"/>
      <c r="FX9" s="729"/>
      <c r="FY9" s="729"/>
      <c r="FZ9" s="734">
        <v>409</v>
      </c>
      <c r="GA9" s="734">
        <v>443</v>
      </c>
      <c r="GB9" s="681">
        <v>377</v>
      </c>
      <c r="GC9" s="681">
        <v>390</v>
      </c>
      <c r="GD9" s="747">
        <v>0.97</v>
      </c>
      <c r="GE9" s="729"/>
      <c r="GF9" s="681">
        <v>139</v>
      </c>
      <c r="GG9" s="681">
        <v>170</v>
      </c>
      <c r="GH9" s="681">
        <v>129</v>
      </c>
      <c r="GI9" s="681">
        <v>131</v>
      </c>
      <c r="GJ9" s="681">
        <v>132</v>
      </c>
      <c r="GK9" s="681">
        <v>134</v>
      </c>
      <c r="GL9" s="681">
        <v>134</v>
      </c>
      <c r="GM9" s="681">
        <v>137</v>
      </c>
      <c r="GN9" s="681">
        <v>140</v>
      </c>
      <c r="GO9" s="681">
        <v>140</v>
      </c>
      <c r="GP9" s="681">
        <v>143</v>
      </c>
      <c r="GQ9" s="681">
        <v>145</v>
      </c>
      <c r="GR9" s="681">
        <v>145</v>
      </c>
      <c r="GS9" s="681">
        <v>147</v>
      </c>
      <c r="GT9" s="681">
        <v>149</v>
      </c>
      <c r="GU9" s="681">
        <v>150</v>
      </c>
      <c r="GV9" s="681">
        <v>152</v>
      </c>
      <c r="GW9" s="681">
        <v>154</v>
      </c>
      <c r="GX9" s="681">
        <v>156</v>
      </c>
      <c r="GY9" s="681">
        <v>159</v>
      </c>
      <c r="GZ9" s="681">
        <v>160</v>
      </c>
      <c r="HA9" s="681">
        <v>164</v>
      </c>
      <c r="HB9" s="681">
        <v>168</v>
      </c>
      <c r="HC9" s="681"/>
      <c r="HD9" s="681">
        <v>45</v>
      </c>
      <c r="HE9" s="681"/>
      <c r="HF9" s="681">
        <v>358</v>
      </c>
      <c r="HG9" s="738">
        <v>449</v>
      </c>
      <c r="HH9" s="714">
        <v>71.4</v>
      </c>
      <c r="HI9" s="714">
        <v>26.8</v>
      </c>
      <c r="HJ9" s="753">
        <v>0.333</v>
      </c>
      <c r="HK9" s="681">
        <v>32</v>
      </c>
      <c r="HL9" s="685">
        <v>0.59</v>
      </c>
      <c r="HM9" s="747">
        <v>3.56</v>
      </c>
      <c r="HN9" s="729" t="s">
        <v>318</v>
      </c>
      <c r="HO9" s="729" t="s">
        <v>319</v>
      </c>
      <c r="HP9" s="714">
        <v>-3.2</v>
      </c>
      <c r="HQ9" s="755">
        <v>0.999</v>
      </c>
      <c r="HR9" s="755">
        <v>0.999</v>
      </c>
      <c r="HS9" s="755">
        <v>0.999</v>
      </c>
      <c r="HT9" s="755">
        <v>0.999</v>
      </c>
      <c r="HU9" s="755">
        <v>0.999</v>
      </c>
      <c r="HV9" s="755">
        <v>0.999</v>
      </c>
      <c r="HW9" s="755">
        <v>0.999</v>
      </c>
      <c r="HX9" s="755">
        <v>0.999</v>
      </c>
      <c r="HY9" s="755">
        <v>0.999</v>
      </c>
      <c r="HZ9" s="755">
        <v>0.999</v>
      </c>
      <c r="IA9" s="755">
        <v>0.999</v>
      </c>
      <c r="IB9" s="755">
        <v>0.999</v>
      </c>
      <c r="IC9" s="755">
        <v>0.999</v>
      </c>
      <c r="ID9" s="755">
        <v>0.999</v>
      </c>
      <c r="IE9" s="755">
        <v>0.999</v>
      </c>
      <c r="IF9" s="755">
        <v>0.999</v>
      </c>
      <c r="IG9" s="755">
        <v>0.999</v>
      </c>
      <c r="IH9" s="755">
        <v>0.999</v>
      </c>
      <c r="II9" s="755">
        <v>0.999</v>
      </c>
      <c r="IJ9" s="755">
        <v>0.999</v>
      </c>
      <c r="IK9" s="755">
        <v>0.998</v>
      </c>
      <c r="IL9" s="755">
        <v>0.998</v>
      </c>
      <c r="IM9" s="755">
        <v>0.998</v>
      </c>
      <c r="IN9" s="755">
        <v>0.998</v>
      </c>
      <c r="IO9" s="755">
        <v>0.998</v>
      </c>
      <c r="IP9" s="755">
        <v>0.998</v>
      </c>
      <c r="IQ9" s="755">
        <v>0.997</v>
      </c>
      <c r="IR9" s="755">
        <v>0.994</v>
      </c>
      <c r="IS9" s="755">
        <v>0.986</v>
      </c>
      <c r="IT9" s="755">
        <v>0.965</v>
      </c>
      <c r="IU9" s="755">
        <v>0.925</v>
      </c>
      <c r="IV9" s="755">
        <v>0.845</v>
      </c>
      <c r="IW9" s="755">
        <v>0.716</v>
      </c>
      <c r="IX9" s="755">
        <v>0.535</v>
      </c>
      <c r="IY9" s="755">
        <v>0.367</v>
      </c>
      <c r="IZ9" s="755">
        <v>0.205</v>
      </c>
      <c r="JA9" s="755">
        <v>0.998</v>
      </c>
      <c r="JB9" s="755">
        <v>0.998</v>
      </c>
      <c r="JC9" s="755">
        <v>0.998</v>
      </c>
      <c r="JD9" s="755">
        <v>0.998</v>
      </c>
      <c r="JE9" s="755">
        <v>0.998</v>
      </c>
      <c r="JF9" s="755">
        <v>0.998</v>
      </c>
      <c r="JG9" s="755">
        <v>0.998</v>
      </c>
      <c r="JH9" s="755">
        <v>0.998</v>
      </c>
      <c r="JI9" s="755">
        <v>0.998</v>
      </c>
      <c r="JJ9" s="755">
        <v>0.998</v>
      </c>
      <c r="JK9" s="755">
        <v>0.998</v>
      </c>
      <c r="JL9" s="755">
        <v>0.998</v>
      </c>
      <c r="JM9" s="755">
        <v>0.998</v>
      </c>
      <c r="JN9" s="755">
        <v>0.998</v>
      </c>
      <c r="JO9" s="755">
        <v>0.998</v>
      </c>
      <c r="JP9" s="755">
        <v>0.998</v>
      </c>
      <c r="JQ9" s="755">
        <v>0.998</v>
      </c>
      <c r="JR9" s="755">
        <v>0.998</v>
      </c>
      <c r="JS9" s="755">
        <v>0.998</v>
      </c>
      <c r="JT9" s="755">
        <v>0.998</v>
      </c>
      <c r="JU9" s="755">
        <v>0.997</v>
      </c>
      <c r="JV9" s="755">
        <v>0.997</v>
      </c>
      <c r="JW9" s="755">
        <v>0.997</v>
      </c>
      <c r="JX9" s="755">
        <v>0.997</v>
      </c>
      <c r="JY9" s="755">
        <v>0.997</v>
      </c>
      <c r="JZ9" s="755">
        <v>0.997</v>
      </c>
      <c r="KA9" s="755">
        <v>0.995</v>
      </c>
      <c r="KB9" s="755">
        <v>0.988</v>
      </c>
      <c r="KC9" s="755">
        <v>0.973</v>
      </c>
      <c r="KD9" s="755">
        <v>0.932</v>
      </c>
      <c r="KE9" s="755">
        <v>0.856</v>
      </c>
      <c r="KF9" s="755">
        <v>0.714</v>
      </c>
      <c r="KG9" s="755">
        <v>0.513</v>
      </c>
      <c r="KH9" s="755">
        <v>0.286</v>
      </c>
      <c r="KI9" s="755">
        <v>0.135</v>
      </c>
      <c r="KJ9" s="755">
        <v>0.042</v>
      </c>
      <c r="KK9" s="765" t="s">
        <v>281</v>
      </c>
      <c r="KL9" s="738">
        <v>114</v>
      </c>
      <c r="KM9" s="738">
        <v>406</v>
      </c>
      <c r="KN9" s="646" t="s">
        <v>282</v>
      </c>
      <c r="KO9" s="646" t="s">
        <v>317</v>
      </c>
      <c r="KP9" s="679">
        <v>437951</v>
      </c>
      <c r="KQ9" s="766" t="s">
        <v>320</v>
      </c>
      <c r="KR9" s="750" t="s">
        <v>321</v>
      </c>
      <c r="KS9" s="769" t="s">
        <v>322</v>
      </c>
      <c r="KT9" s="770" t="s">
        <v>323</v>
      </c>
      <c r="KU9" s="766" t="s">
        <v>324</v>
      </c>
      <c r="KV9" s="750">
        <v>437951</v>
      </c>
      <c r="KW9" s="771" t="s">
        <v>325</v>
      </c>
      <c r="KX9" s="750" t="s">
        <v>326</v>
      </c>
      <c r="KY9" s="769"/>
      <c r="KZ9" s="770"/>
    </row>
    <row r="10" s="628" customFormat="1" customHeight="1" spans="1:312">
      <c r="A10" s="682" t="s">
        <v>300</v>
      </c>
      <c r="B10" s="683">
        <v>6</v>
      </c>
      <c r="C10" s="684" t="s">
        <v>327</v>
      </c>
      <c r="D10" s="679">
        <v>487704</v>
      </c>
      <c r="E10" s="685">
        <v>70.44</v>
      </c>
      <c r="F10" s="685">
        <v>70.24</v>
      </c>
      <c r="G10" s="686">
        <v>0.006921</v>
      </c>
      <c r="H10" s="686">
        <v>0.006964</v>
      </c>
      <c r="I10" s="696">
        <v>1.46249</v>
      </c>
      <c r="J10" s="696">
        <v>1.46773</v>
      </c>
      <c r="K10" s="696">
        <v>1.47329</v>
      </c>
      <c r="L10" s="696">
        <v>1.47783</v>
      </c>
      <c r="M10" s="696">
        <v>1.47859</v>
      </c>
      <c r="N10" s="696">
        <v>1.47919</v>
      </c>
      <c r="O10" s="696">
        <v>1.48141</v>
      </c>
      <c r="P10" s="696">
        <v>1.48284</v>
      </c>
      <c r="Q10" s="697">
        <v>1.48411</v>
      </c>
      <c r="R10" s="697">
        <v>1.48535</v>
      </c>
      <c r="S10" s="697">
        <v>1.48569</v>
      </c>
      <c r="T10" s="701">
        <v>1.48601</v>
      </c>
      <c r="U10" s="697">
        <v>1.48743</v>
      </c>
      <c r="V10" s="697">
        <v>1.48749</v>
      </c>
      <c r="W10" s="697">
        <v>1.48914</v>
      </c>
      <c r="X10" s="697">
        <v>1.49227</v>
      </c>
      <c r="Y10" s="697">
        <v>1.49266</v>
      </c>
      <c r="Z10" s="697">
        <v>1.49594</v>
      </c>
      <c r="AA10" s="697">
        <v>1.49896</v>
      </c>
      <c r="AB10" s="697">
        <v>1.50405</v>
      </c>
      <c r="AC10" s="706">
        <v>2.18954799</v>
      </c>
      <c r="AD10" s="706">
        <v>-0.00965634602</v>
      </c>
      <c r="AE10" s="706">
        <v>0.00830751905</v>
      </c>
      <c r="AF10" s="706">
        <v>0.000365672497</v>
      </c>
      <c r="AG10" s="706">
        <v>-3.5472293e-5</v>
      </c>
      <c r="AH10" s="706">
        <v>1.87564584e-6</v>
      </c>
      <c r="AI10" s="709">
        <v>0.3092</v>
      </c>
      <c r="AJ10" s="709">
        <v>0.2384</v>
      </c>
      <c r="AK10" s="709">
        <v>0.5303</v>
      </c>
      <c r="AL10" s="709">
        <v>0.2585</v>
      </c>
      <c r="AM10" s="709">
        <v>0.2369</v>
      </c>
      <c r="AN10" s="709">
        <v>0.471</v>
      </c>
      <c r="AO10" s="709">
        <v>0.0009</v>
      </c>
      <c r="AP10" s="709">
        <v>0.0037</v>
      </c>
      <c r="AQ10" s="709">
        <v>0.0086</v>
      </c>
      <c r="AR10" s="709">
        <v>-0.0002</v>
      </c>
      <c r="AS10" s="714">
        <v>-1.9</v>
      </c>
      <c r="AT10" s="714">
        <v>-1.9</v>
      </c>
      <c r="AU10" s="714">
        <v>-1.9</v>
      </c>
      <c r="AV10" s="714">
        <v>-1.8</v>
      </c>
      <c r="AW10" s="714">
        <v>-1.8</v>
      </c>
      <c r="AX10" s="714">
        <v>-1.7</v>
      </c>
      <c r="AY10" s="714">
        <v>-1.6</v>
      </c>
      <c r="AZ10" s="714">
        <v>-1.4</v>
      </c>
      <c r="BA10" s="714">
        <v>-1.4</v>
      </c>
      <c r="BB10" s="714">
        <v>-1.2</v>
      </c>
      <c r="BC10" s="714">
        <v>-1.2</v>
      </c>
      <c r="BD10" s="714">
        <v>-1.8</v>
      </c>
      <c r="BE10" s="714">
        <v>-1.8</v>
      </c>
      <c r="BF10" s="714">
        <v>-1.8</v>
      </c>
      <c r="BG10" s="714">
        <v>-1.8</v>
      </c>
      <c r="BH10" s="714">
        <v>-1.7</v>
      </c>
      <c r="BI10" s="714">
        <v>-1.6</v>
      </c>
      <c r="BJ10" s="714">
        <v>-1.5</v>
      </c>
      <c r="BK10" s="714">
        <v>-1.3</v>
      </c>
      <c r="BL10" s="714">
        <v>-1.1</v>
      </c>
      <c r="BM10" s="714">
        <v>-1</v>
      </c>
      <c r="BN10" s="714">
        <v>-0.9</v>
      </c>
      <c r="BO10" s="714">
        <v>-1.8</v>
      </c>
      <c r="BP10" s="714">
        <v>-1.7</v>
      </c>
      <c r="BQ10" s="714">
        <v>-1.7</v>
      </c>
      <c r="BR10" s="714">
        <v>-1.7</v>
      </c>
      <c r="BS10" s="714">
        <v>-1.7</v>
      </c>
      <c r="BT10" s="714">
        <v>-1.6</v>
      </c>
      <c r="BU10" s="714">
        <v>-1.4</v>
      </c>
      <c r="BV10" s="714">
        <v>-1.2</v>
      </c>
      <c r="BW10" s="714">
        <v>-1</v>
      </c>
      <c r="BX10" s="714">
        <v>-0.9</v>
      </c>
      <c r="BY10" s="714">
        <v>-0.9</v>
      </c>
      <c r="BZ10" s="714">
        <v>-1.8</v>
      </c>
      <c r="CA10" s="714">
        <v>-1.7</v>
      </c>
      <c r="CB10" s="714">
        <v>-1.7</v>
      </c>
      <c r="CC10" s="714">
        <v>-1.7</v>
      </c>
      <c r="CD10" s="714">
        <v>-1.6</v>
      </c>
      <c r="CE10" s="714">
        <v>-1.5</v>
      </c>
      <c r="CF10" s="714">
        <v>-1.4</v>
      </c>
      <c r="CG10" s="714">
        <v>-1.2</v>
      </c>
      <c r="CH10" s="714">
        <v>-1</v>
      </c>
      <c r="CI10" s="714">
        <v>-0.9</v>
      </c>
      <c r="CJ10" s="714">
        <v>-0.8</v>
      </c>
      <c r="CK10" s="714">
        <v>-1.8</v>
      </c>
      <c r="CL10" s="715">
        <v>-1.7</v>
      </c>
      <c r="CM10" s="715">
        <v>-1.7</v>
      </c>
      <c r="CN10" s="715">
        <v>-1.6</v>
      </c>
      <c r="CO10" s="715">
        <v>-1.6</v>
      </c>
      <c r="CP10" s="715">
        <v>-1.5</v>
      </c>
      <c r="CQ10" s="715">
        <v>-1.4</v>
      </c>
      <c r="CR10" s="714">
        <v>-1.2</v>
      </c>
      <c r="CS10" s="714">
        <v>-1</v>
      </c>
      <c r="CT10" s="714">
        <v>-0.9</v>
      </c>
      <c r="CU10" s="714">
        <v>-0.8</v>
      </c>
      <c r="CV10" s="714">
        <v>-1.7</v>
      </c>
      <c r="CW10" s="715">
        <v>-1.6</v>
      </c>
      <c r="CX10" s="715">
        <v>-1.6</v>
      </c>
      <c r="CY10" s="715">
        <v>-1.6</v>
      </c>
      <c r="CZ10" s="715">
        <v>-1.5</v>
      </c>
      <c r="DA10" s="715">
        <v>-1.5</v>
      </c>
      <c r="DB10" s="715">
        <v>-1.3</v>
      </c>
      <c r="DC10" s="714">
        <v>-1.1</v>
      </c>
      <c r="DD10" s="714">
        <v>-0.9</v>
      </c>
      <c r="DE10" s="714">
        <v>-0.8</v>
      </c>
      <c r="DF10" s="714">
        <v>-0.7</v>
      </c>
      <c r="DG10" s="714">
        <v>-1.6</v>
      </c>
      <c r="DH10" s="715">
        <v>-1.5</v>
      </c>
      <c r="DI10" s="715">
        <v>-1.5</v>
      </c>
      <c r="DJ10" s="715">
        <v>-1.5</v>
      </c>
      <c r="DK10" s="715">
        <v>-1.4</v>
      </c>
      <c r="DL10" s="715">
        <v>-1.3</v>
      </c>
      <c r="DM10" s="715">
        <v>-1.2</v>
      </c>
      <c r="DN10" s="714">
        <v>-1</v>
      </c>
      <c r="DO10" s="714">
        <v>-0.8</v>
      </c>
      <c r="DP10" s="714">
        <v>-0.6</v>
      </c>
      <c r="DQ10" s="714">
        <v>-0.5</v>
      </c>
      <c r="DR10" s="714">
        <v>-1.3</v>
      </c>
      <c r="DS10" s="715">
        <v>-1.3</v>
      </c>
      <c r="DT10" s="715">
        <v>-1.3</v>
      </c>
      <c r="DU10" s="715">
        <v>-1.3</v>
      </c>
      <c r="DV10" s="715">
        <v>-1.2</v>
      </c>
      <c r="DW10" s="715">
        <v>-1</v>
      </c>
      <c r="DX10" s="715">
        <v>-0.9</v>
      </c>
      <c r="DY10" s="714">
        <v>-0.8</v>
      </c>
      <c r="DZ10" s="714">
        <v>-0.7</v>
      </c>
      <c r="EA10" s="714">
        <v>-0.7</v>
      </c>
      <c r="EB10" s="714">
        <v>-0.5</v>
      </c>
      <c r="EC10" s="714">
        <v>-1.3</v>
      </c>
      <c r="ED10" s="715">
        <v>-1.3</v>
      </c>
      <c r="EE10" s="715">
        <v>-1.3</v>
      </c>
      <c r="EF10" s="715">
        <v>-1.2</v>
      </c>
      <c r="EG10" s="715">
        <v>-1.2</v>
      </c>
      <c r="EH10" s="715">
        <v>-1</v>
      </c>
      <c r="EI10" s="715">
        <v>-0.9</v>
      </c>
      <c r="EJ10" s="714">
        <v>-0.8</v>
      </c>
      <c r="EK10" s="714">
        <v>-0.7</v>
      </c>
      <c r="EL10" s="714">
        <v>-0.6</v>
      </c>
      <c r="EM10" s="714">
        <v>-0.5</v>
      </c>
      <c r="EN10" s="714">
        <v>-1.2</v>
      </c>
      <c r="EO10" s="715">
        <v>-1.2</v>
      </c>
      <c r="EP10" s="715">
        <v>-1.2</v>
      </c>
      <c r="EQ10" s="715">
        <v>-1.1</v>
      </c>
      <c r="ER10" s="715">
        <v>-1</v>
      </c>
      <c r="ES10" s="715">
        <v>-0.9</v>
      </c>
      <c r="ET10" s="715">
        <v>-0.8</v>
      </c>
      <c r="EU10" s="714">
        <v>-0.7</v>
      </c>
      <c r="EV10" s="714">
        <v>-0.5</v>
      </c>
      <c r="EW10" s="714">
        <v>-0.4</v>
      </c>
      <c r="EX10" s="714">
        <v>-0.3</v>
      </c>
      <c r="EY10" s="714">
        <v>-4.2</v>
      </c>
      <c r="EZ10" s="715">
        <v>-3.7</v>
      </c>
      <c r="FA10" s="715">
        <v>-3.4</v>
      </c>
      <c r="FB10" s="715">
        <v>-3.1</v>
      </c>
      <c r="FC10" s="715">
        <v>-2.9</v>
      </c>
      <c r="FD10" s="715">
        <v>-2.6</v>
      </c>
      <c r="FE10" s="715">
        <v>-2.4</v>
      </c>
      <c r="FF10" s="714">
        <v>-2.1</v>
      </c>
      <c r="FG10" s="714">
        <v>-1.8</v>
      </c>
      <c r="FH10" s="714">
        <v>-1.6</v>
      </c>
      <c r="FI10" s="714">
        <v>-1.5</v>
      </c>
      <c r="FJ10" s="723">
        <v>-8.43e-6</v>
      </c>
      <c r="FK10" s="723">
        <v>1.76e-8</v>
      </c>
      <c r="FL10" s="723">
        <v>-1.61e-11</v>
      </c>
      <c r="FM10" s="723">
        <v>4.36e-7</v>
      </c>
      <c r="FN10" s="723">
        <v>-4.66e-11</v>
      </c>
      <c r="FO10" s="723">
        <v>0.12</v>
      </c>
      <c r="FP10" s="729">
        <v>1</v>
      </c>
      <c r="FQ10" s="729">
        <v>3</v>
      </c>
      <c r="FR10" s="729">
        <v>4</v>
      </c>
      <c r="FS10" s="729">
        <v>4</v>
      </c>
      <c r="FT10" s="729">
        <v>1</v>
      </c>
      <c r="FU10" s="729">
        <v>1</v>
      </c>
      <c r="FV10" s="681">
        <v>1</v>
      </c>
      <c r="FW10" s="729"/>
      <c r="FX10" s="729"/>
      <c r="FY10" s="729"/>
      <c r="FZ10" s="734">
        <v>500</v>
      </c>
      <c r="GA10" s="734">
        <v>580</v>
      </c>
      <c r="GB10" s="681">
        <v>424</v>
      </c>
      <c r="GC10" s="681">
        <v>463</v>
      </c>
      <c r="GD10" s="747">
        <v>1.11</v>
      </c>
      <c r="GE10" s="729"/>
      <c r="GF10" s="681">
        <v>88</v>
      </c>
      <c r="GG10" s="681">
        <v>98</v>
      </c>
      <c r="GH10" s="681">
        <v>87</v>
      </c>
      <c r="GI10" s="681">
        <v>88</v>
      </c>
      <c r="GJ10" s="681">
        <v>89</v>
      </c>
      <c r="GK10" s="681">
        <v>90</v>
      </c>
      <c r="GL10" s="681">
        <v>91</v>
      </c>
      <c r="GM10" s="681">
        <v>92</v>
      </c>
      <c r="GN10" s="681">
        <v>92</v>
      </c>
      <c r="GO10" s="681">
        <v>93</v>
      </c>
      <c r="GP10" s="681">
        <v>93</v>
      </c>
      <c r="GQ10" s="681">
        <v>94</v>
      </c>
      <c r="GR10" s="681">
        <v>94</v>
      </c>
      <c r="GS10" s="681">
        <v>95</v>
      </c>
      <c r="GT10" s="681">
        <v>96</v>
      </c>
      <c r="GU10" s="681">
        <v>96</v>
      </c>
      <c r="GV10" s="681">
        <v>97</v>
      </c>
      <c r="GW10" s="681">
        <v>97</v>
      </c>
      <c r="GX10" s="681">
        <v>98</v>
      </c>
      <c r="GY10" s="681">
        <v>99</v>
      </c>
      <c r="GZ10" s="681">
        <v>100</v>
      </c>
      <c r="HA10" s="681">
        <v>101</v>
      </c>
      <c r="HB10" s="681">
        <v>102</v>
      </c>
      <c r="HC10" s="681"/>
      <c r="HD10" s="681">
        <v>90</v>
      </c>
      <c r="HE10" s="681"/>
      <c r="HF10" s="681">
        <v>457</v>
      </c>
      <c r="HG10" s="738">
        <v>109</v>
      </c>
      <c r="HH10" s="714">
        <v>61.9</v>
      </c>
      <c r="HI10" s="714">
        <v>25.3</v>
      </c>
      <c r="HJ10" s="753">
        <v>0.225</v>
      </c>
      <c r="HK10" s="681">
        <v>50</v>
      </c>
      <c r="HL10" s="685">
        <v>2.71</v>
      </c>
      <c r="HM10" s="747">
        <v>2.48</v>
      </c>
      <c r="HN10" s="729" t="s">
        <v>328</v>
      </c>
      <c r="HO10" s="729" t="s">
        <v>329</v>
      </c>
      <c r="HP10" s="714">
        <v>-10.9</v>
      </c>
      <c r="HQ10" s="753">
        <v>0.925</v>
      </c>
      <c r="HR10" s="753">
        <v>0.943</v>
      </c>
      <c r="HS10" s="753">
        <v>0.986</v>
      </c>
      <c r="HT10" s="753">
        <v>0.995</v>
      </c>
      <c r="HU10" s="753">
        <v>0.999</v>
      </c>
      <c r="HV10" s="753">
        <v>0.999</v>
      </c>
      <c r="HW10" s="753">
        <v>0.999</v>
      </c>
      <c r="HX10" s="753">
        <v>0.999</v>
      </c>
      <c r="HY10" s="753">
        <v>0.999</v>
      </c>
      <c r="HZ10" s="753">
        <v>0.999</v>
      </c>
      <c r="IA10" s="753">
        <v>0.999</v>
      </c>
      <c r="IB10" s="753">
        <v>0.999</v>
      </c>
      <c r="IC10" s="753">
        <v>0.999</v>
      </c>
      <c r="ID10" s="753">
        <v>0.999</v>
      </c>
      <c r="IE10" s="753">
        <v>0.999</v>
      </c>
      <c r="IF10" s="753">
        <v>0.999</v>
      </c>
      <c r="IG10" s="753">
        <v>0.999</v>
      </c>
      <c r="IH10" s="753">
        <v>0.999</v>
      </c>
      <c r="II10" s="753">
        <v>0.999</v>
      </c>
      <c r="IJ10" s="753">
        <v>0.999</v>
      </c>
      <c r="IK10" s="753">
        <v>0.999</v>
      </c>
      <c r="IL10" s="753">
        <v>0.999</v>
      </c>
      <c r="IM10" s="753">
        <v>0.999</v>
      </c>
      <c r="IN10" s="753">
        <v>0.999</v>
      </c>
      <c r="IO10" s="753">
        <v>0.999</v>
      </c>
      <c r="IP10" s="753">
        <v>0.999</v>
      </c>
      <c r="IQ10" s="753">
        <v>0.999</v>
      </c>
      <c r="IR10" s="753">
        <v>0.999</v>
      </c>
      <c r="IS10" s="753">
        <v>0.998</v>
      </c>
      <c r="IT10" s="753">
        <v>0.996</v>
      </c>
      <c r="IU10" s="753">
        <v>0.989</v>
      </c>
      <c r="IV10" s="753">
        <v>0.987</v>
      </c>
      <c r="IW10" s="753">
        <v>0.965</v>
      </c>
      <c r="IX10" s="753">
        <v>0.92</v>
      </c>
      <c r="IY10" s="753">
        <v>0.813</v>
      </c>
      <c r="IZ10" s="753">
        <v>0.62</v>
      </c>
      <c r="JA10" s="753">
        <v>0.856</v>
      </c>
      <c r="JB10" s="753">
        <v>0.889</v>
      </c>
      <c r="JC10" s="753">
        <v>0.972</v>
      </c>
      <c r="JD10" s="753">
        <v>0.99</v>
      </c>
      <c r="JE10" s="753">
        <v>0.998</v>
      </c>
      <c r="JF10" s="753">
        <v>0.998</v>
      </c>
      <c r="JG10" s="753">
        <v>0.998</v>
      </c>
      <c r="JH10" s="753">
        <v>0.998</v>
      </c>
      <c r="JI10" s="753">
        <v>0.998</v>
      </c>
      <c r="JJ10" s="753">
        <v>0.998</v>
      </c>
      <c r="JK10" s="753">
        <v>0.998</v>
      </c>
      <c r="JL10" s="753">
        <v>0.998</v>
      </c>
      <c r="JM10" s="753">
        <v>0.998</v>
      </c>
      <c r="JN10" s="753">
        <v>0.998</v>
      </c>
      <c r="JO10" s="753">
        <v>0.998</v>
      </c>
      <c r="JP10" s="753">
        <v>0.998</v>
      </c>
      <c r="JQ10" s="753">
        <v>0.998</v>
      </c>
      <c r="JR10" s="753">
        <v>0.998</v>
      </c>
      <c r="JS10" s="753">
        <v>0.998</v>
      </c>
      <c r="JT10" s="753">
        <v>0.998</v>
      </c>
      <c r="JU10" s="753">
        <v>0.998</v>
      </c>
      <c r="JV10" s="753">
        <v>0.998</v>
      </c>
      <c r="JW10" s="753">
        <v>0.998</v>
      </c>
      <c r="JX10" s="753">
        <v>0.998</v>
      </c>
      <c r="JY10" s="753">
        <v>0.998</v>
      </c>
      <c r="JZ10" s="753">
        <v>0.998</v>
      </c>
      <c r="KA10" s="753">
        <v>0.998</v>
      </c>
      <c r="KB10" s="753">
        <v>0.998</v>
      </c>
      <c r="KC10" s="753">
        <v>0.996</v>
      </c>
      <c r="KD10" s="753">
        <v>0.992</v>
      </c>
      <c r="KE10" s="753">
        <v>0.979</v>
      </c>
      <c r="KF10" s="753">
        <v>0.975</v>
      </c>
      <c r="KG10" s="753">
        <v>0.932</v>
      </c>
      <c r="KH10" s="753">
        <v>0.846</v>
      </c>
      <c r="KI10" s="753">
        <v>0.661</v>
      </c>
      <c r="KJ10" s="753">
        <v>0.384</v>
      </c>
      <c r="KK10" s="765" t="s">
        <v>281</v>
      </c>
      <c r="KL10" s="738">
        <v>20</v>
      </c>
      <c r="KM10" s="738">
        <v>50</v>
      </c>
      <c r="KN10" s="646" t="s">
        <v>282</v>
      </c>
      <c r="KO10" s="646" t="s">
        <v>327</v>
      </c>
      <c r="KP10" s="679">
        <v>487704</v>
      </c>
      <c r="KQ10" s="766" t="s">
        <v>330</v>
      </c>
      <c r="KR10" s="750" t="s">
        <v>331</v>
      </c>
      <c r="KS10" s="769" t="s">
        <v>327</v>
      </c>
      <c r="KT10" s="770" t="s">
        <v>332</v>
      </c>
      <c r="KU10" s="766" t="s">
        <v>333</v>
      </c>
      <c r="KV10" s="750">
        <v>487704</v>
      </c>
      <c r="KW10" s="771" t="s">
        <v>334</v>
      </c>
      <c r="KX10" s="750" t="s">
        <v>332</v>
      </c>
      <c r="KY10" s="769" t="s">
        <v>335</v>
      </c>
      <c r="KZ10" s="770" t="s">
        <v>332</v>
      </c>
    </row>
    <row r="11" s="628" customFormat="1" customHeight="1" spans="1:312">
      <c r="A11" s="682" t="s">
        <v>300</v>
      </c>
      <c r="B11" s="683">
        <v>7</v>
      </c>
      <c r="C11" s="684" t="s">
        <v>336</v>
      </c>
      <c r="D11" s="687">
        <v>593670</v>
      </c>
      <c r="E11" s="685">
        <v>67</v>
      </c>
      <c r="F11" s="685">
        <v>66.74</v>
      </c>
      <c r="G11" s="688">
        <v>0.008858</v>
      </c>
      <c r="H11" s="686">
        <v>0.008924</v>
      </c>
      <c r="I11" s="696">
        <v>1.56575</v>
      </c>
      <c r="J11" s="696">
        <v>1.57107</v>
      </c>
      <c r="K11" s="696">
        <v>1.57682</v>
      </c>
      <c r="L11" s="696">
        <v>1.58173</v>
      </c>
      <c r="M11" s="696">
        <v>1.58259</v>
      </c>
      <c r="N11" s="696">
        <v>1.58329</v>
      </c>
      <c r="O11" s="696">
        <v>1.58591</v>
      </c>
      <c r="P11" s="696">
        <v>1.58765</v>
      </c>
      <c r="Q11" s="697">
        <v>1.58923</v>
      </c>
      <c r="R11" s="697">
        <v>1.59078</v>
      </c>
      <c r="S11" s="697">
        <v>1.59121</v>
      </c>
      <c r="T11" s="701">
        <v>1.59162</v>
      </c>
      <c r="U11" s="697">
        <v>1.59341</v>
      </c>
      <c r="V11" s="697">
        <v>1.59349</v>
      </c>
      <c r="W11" s="697">
        <v>1.59561</v>
      </c>
      <c r="X11" s="697">
        <v>1.59964</v>
      </c>
      <c r="Y11" s="697">
        <v>1.60014</v>
      </c>
      <c r="Z11" s="697">
        <v>1.60439</v>
      </c>
      <c r="AA11" s="697">
        <v>1.60831</v>
      </c>
      <c r="AB11" s="697">
        <v>1.61494</v>
      </c>
      <c r="AC11" s="704">
        <v>2.5054091</v>
      </c>
      <c r="AD11" s="705">
        <v>-0.0103738928</v>
      </c>
      <c r="AE11" s="705">
        <v>0.0120696135</v>
      </c>
      <c r="AF11" s="705">
        <v>0.000348394725</v>
      </c>
      <c r="AG11" s="705">
        <v>-2.40306361e-5</v>
      </c>
      <c r="AH11" s="705">
        <v>1.23924095e-6</v>
      </c>
      <c r="AI11" s="709">
        <v>0.3059</v>
      </c>
      <c r="AJ11" s="709">
        <v>0.2393</v>
      </c>
      <c r="AK11" s="709">
        <v>0.5362</v>
      </c>
      <c r="AL11" s="709">
        <v>0.2555</v>
      </c>
      <c r="AM11" s="709">
        <v>0.2376</v>
      </c>
      <c r="AN11" s="709">
        <v>0.4762</v>
      </c>
      <c r="AO11" s="709">
        <v>0.0017</v>
      </c>
      <c r="AP11" s="709">
        <v>0.0039</v>
      </c>
      <c r="AQ11" s="709">
        <v>-0.0192</v>
      </c>
      <c r="AR11" s="709">
        <v>-0.0114</v>
      </c>
      <c r="AS11" s="714">
        <v>-1.8</v>
      </c>
      <c r="AT11" s="715">
        <v>-1.9</v>
      </c>
      <c r="AU11" s="715">
        <v>-2</v>
      </c>
      <c r="AV11" s="715">
        <v>-2.1</v>
      </c>
      <c r="AW11" s="715">
        <v>-2.1</v>
      </c>
      <c r="AX11" s="715">
        <v>-2.1</v>
      </c>
      <c r="AY11" s="715">
        <v>-2.1</v>
      </c>
      <c r="AZ11" s="715">
        <v>-2.2</v>
      </c>
      <c r="BA11" s="715">
        <v>-2.1</v>
      </c>
      <c r="BB11" s="715">
        <v>-2.1</v>
      </c>
      <c r="BC11" s="715">
        <v>-2.1</v>
      </c>
      <c r="BD11" s="715">
        <v>-1.7</v>
      </c>
      <c r="BE11" s="715">
        <v>-1.8</v>
      </c>
      <c r="BF11" s="715">
        <v>-1.9</v>
      </c>
      <c r="BG11" s="715">
        <v>-1.9</v>
      </c>
      <c r="BH11" s="715">
        <v>-2</v>
      </c>
      <c r="BI11" s="715">
        <v>-2</v>
      </c>
      <c r="BJ11" s="715">
        <v>-2</v>
      </c>
      <c r="BK11" s="715">
        <v>-2</v>
      </c>
      <c r="BL11" s="715">
        <v>-2</v>
      </c>
      <c r="BM11" s="715">
        <v>-2</v>
      </c>
      <c r="BN11" s="715">
        <v>-2</v>
      </c>
      <c r="BO11" s="715">
        <v>-1.5</v>
      </c>
      <c r="BP11" s="715">
        <v>-1.6</v>
      </c>
      <c r="BQ11" s="715">
        <v>-1.8</v>
      </c>
      <c r="BR11" s="715">
        <v>-1.8</v>
      </c>
      <c r="BS11" s="715">
        <v>-1.9</v>
      </c>
      <c r="BT11" s="715">
        <v>-1.9</v>
      </c>
      <c r="BU11" s="715">
        <v>-1.9</v>
      </c>
      <c r="BV11" s="715">
        <v>-2</v>
      </c>
      <c r="BW11" s="715">
        <v>-1.9</v>
      </c>
      <c r="BX11" s="715">
        <v>-1.9</v>
      </c>
      <c r="BY11" s="715">
        <v>-1.9</v>
      </c>
      <c r="BZ11" s="715">
        <v>-1.5</v>
      </c>
      <c r="CA11" s="715">
        <v>-1.6</v>
      </c>
      <c r="CB11" s="715">
        <v>-1.7</v>
      </c>
      <c r="CC11" s="715">
        <v>-1.8</v>
      </c>
      <c r="CD11" s="715">
        <v>-1.9</v>
      </c>
      <c r="CE11" s="715">
        <v>-1.9</v>
      </c>
      <c r="CF11" s="715">
        <v>-1.9</v>
      </c>
      <c r="CG11" s="715">
        <v>-2</v>
      </c>
      <c r="CH11" s="715">
        <v>-1.9</v>
      </c>
      <c r="CI11" s="715">
        <v>-1.9</v>
      </c>
      <c r="CJ11" s="715">
        <v>-1.9</v>
      </c>
      <c r="CK11" s="715">
        <v>-1.5</v>
      </c>
      <c r="CL11" s="715">
        <v>-1.6</v>
      </c>
      <c r="CM11" s="715">
        <v>-1.7</v>
      </c>
      <c r="CN11" s="715">
        <v>-1.8</v>
      </c>
      <c r="CO11" s="715">
        <v>-1.9</v>
      </c>
      <c r="CP11" s="715">
        <v>-1.9</v>
      </c>
      <c r="CQ11" s="715">
        <v>-1.9</v>
      </c>
      <c r="CR11" s="715">
        <v>-2</v>
      </c>
      <c r="CS11" s="715">
        <v>-1.9</v>
      </c>
      <c r="CT11" s="715">
        <v>-1.9</v>
      </c>
      <c r="CU11" s="715">
        <v>-1.9</v>
      </c>
      <c r="CV11" s="715">
        <v>-1.4</v>
      </c>
      <c r="CW11" s="715">
        <v>-1.5</v>
      </c>
      <c r="CX11" s="715">
        <v>-1.6</v>
      </c>
      <c r="CY11" s="715">
        <v>-1.7</v>
      </c>
      <c r="CZ11" s="715">
        <v>-1.8</v>
      </c>
      <c r="DA11" s="715">
        <v>-1.8</v>
      </c>
      <c r="DB11" s="715">
        <v>-1.8</v>
      </c>
      <c r="DC11" s="715">
        <v>-1.9</v>
      </c>
      <c r="DD11" s="715">
        <v>-1.8</v>
      </c>
      <c r="DE11" s="715">
        <v>-1.9</v>
      </c>
      <c r="DF11" s="715">
        <v>-1.9</v>
      </c>
      <c r="DG11" s="715">
        <v>-1.3</v>
      </c>
      <c r="DH11" s="715">
        <v>-1.4</v>
      </c>
      <c r="DI11" s="715">
        <v>-1.4</v>
      </c>
      <c r="DJ11" s="715">
        <v>-1.6</v>
      </c>
      <c r="DK11" s="715">
        <v>-1.7</v>
      </c>
      <c r="DL11" s="715">
        <v>-1.6</v>
      </c>
      <c r="DM11" s="715">
        <v>-1.6</v>
      </c>
      <c r="DN11" s="715">
        <v>-1.7</v>
      </c>
      <c r="DO11" s="715">
        <v>-1.8</v>
      </c>
      <c r="DP11" s="715">
        <v>-1.9</v>
      </c>
      <c r="DQ11" s="715">
        <v>-1.9</v>
      </c>
      <c r="DR11" s="715">
        <v>-1.1</v>
      </c>
      <c r="DS11" s="715">
        <v>-1.2</v>
      </c>
      <c r="DT11" s="715">
        <v>-1.3</v>
      </c>
      <c r="DU11" s="715">
        <v>-1.4</v>
      </c>
      <c r="DV11" s="715">
        <v>-1.4</v>
      </c>
      <c r="DW11" s="715">
        <v>-1.4</v>
      </c>
      <c r="DX11" s="715">
        <v>-1.4</v>
      </c>
      <c r="DY11" s="715">
        <v>-1.5</v>
      </c>
      <c r="DZ11" s="715">
        <v>-1.4</v>
      </c>
      <c r="EA11" s="715">
        <v>-1.4</v>
      </c>
      <c r="EB11" s="715">
        <v>-1.4</v>
      </c>
      <c r="EC11" s="715">
        <v>-1.1</v>
      </c>
      <c r="ED11" s="715">
        <v>-1.2</v>
      </c>
      <c r="EE11" s="715">
        <v>-1.3</v>
      </c>
      <c r="EF11" s="715">
        <v>-1.4</v>
      </c>
      <c r="EG11" s="715">
        <v>-1.4</v>
      </c>
      <c r="EH11" s="715">
        <v>-1.4</v>
      </c>
      <c r="EI11" s="715">
        <v>-1.4</v>
      </c>
      <c r="EJ11" s="715">
        <v>-1.5</v>
      </c>
      <c r="EK11" s="715">
        <v>-1.4</v>
      </c>
      <c r="EL11" s="715">
        <v>-1.4</v>
      </c>
      <c r="EM11" s="715">
        <v>-1.4</v>
      </c>
      <c r="EN11" s="715">
        <v>-0.9</v>
      </c>
      <c r="EO11" s="715">
        <v>-1</v>
      </c>
      <c r="EP11" s="715">
        <v>-1.1</v>
      </c>
      <c r="EQ11" s="715">
        <v>-1.1</v>
      </c>
      <c r="ER11" s="715">
        <v>-1.2</v>
      </c>
      <c r="ES11" s="715">
        <v>-1.2</v>
      </c>
      <c r="ET11" s="715">
        <v>-1.1</v>
      </c>
      <c r="EU11" s="715">
        <v>-1.2</v>
      </c>
      <c r="EV11" s="715">
        <v>-1.1</v>
      </c>
      <c r="EW11" s="715">
        <v>-1.1</v>
      </c>
      <c r="EX11" s="715">
        <v>-1.2</v>
      </c>
      <c r="EY11" s="715">
        <v>-4.1</v>
      </c>
      <c r="EZ11" s="715">
        <v>-3.8</v>
      </c>
      <c r="FA11" s="715">
        <v>-3.5</v>
      </c>
      <c r="FB11" s="715">
        <v>-3.4</v>
      </c>
      <c r="FC11" s="715">
        <v>-3.3</v>
      </c>
      <c r="FD11" s="715">
        <v>-3.1</v>
      </c>
      <c r="FE11" s="715">
        <v>-3</v>
      </c>
      <c r="FF11" s="715">
        <v>-3</v>
      </c>
      <c r="FG11" s="715">
        <v>-2.8</v>
      </c>
      <c r="FH11" s="715">
        <v>-2.7</v>
      </c>
      <c r="FI11" s="715">
        <v>-2.6</v>
      </c>
      <c r="FJ11" s="723">
        <v>-7.7e-6</v>
      </c>
      <c r="FK11" s="723">
        <v>8.43e-9</v>
      </c>
      <c r="FL11" s="723">
        <v>-1.72e-11</v>
      </c>
      <c r="FM11" s="723">
        <v>2.66e-7</v>
      </c>
      <c r="FN11" s="723">
        <v>1.07e-10</v>
      </c>
      <c r="FO11" s="723">
        <v>0.275</v>
      </c>
      <c r="FP11" s="730">
        <v>1</v>
      </c>
      <c r="FQ11" s="730">
        <v>1</v>
      </c>
      <c r="FR11" s="730">
        <v>1</v>
      </c>
      <c r="FS11" s="730">
        <v>4</v>
      </c>
      <c r="FT11" s="730">
        <v>1</v>
      </c>
      <c r="FU11" s="730">
        <v>2</v>
      </c>
      <c r="FV11" s="681">
        <v>2</v>
      </c>
      <c r="FW11" s="730"/>
      <c r="FX11" s="730"/>
      <c r="FY11" s="730"/>
      <c r="FZ11" s="735">
        <v>509</v>
      </c>
      <c r="GA11" s="735">
        <v>538</v>
      </c>
      <c r="GB11" s="736">
        <v>481</v>
      </c>
      <c r="GC11" s="736">
        <v>502</v>
      </c>
      <c r="GD11" s="748">
        <v>0.86</v>
      </c>
      <c r="GE11" s="730"/>
      <c r="GF11" s="736">
        <v>87</v>
      </c>
      <c r="GG11" s="736">
        <v>113</v>
      </c>
      <c r="GH11" s="736">
        <v>79</v>
      </c>
      <c r="GI11" s="736">
        <v>81</v>
      </c>
      <c r="GJ11" s="736">
        <v>85</v>
      </c>
      <c r="GK11" s="736">
        <v>87</v>
      </c>
      <c r="GL11" s="736">
        <v>89</v>
      </c>
      <c r="GM11" s="736">
        <v>90</v>
      </c>
      <c r="GN11" s="736">
        <v>91</v>
      </c>
      <c r="GO11" s="736">
        <v>93</v>
      </c>
      <c r="GP11" s="736">
        <v>93</v>
      </c>
      <c r="GQ11" s="736">
        <v>95</v>
      </c>
      <c r="GR11" s="736">
        <v>96</v>
      </c>
      <c r="GS11" s="736">
        <v>96</v>
      </c>
      <c r="GT11" s="736">
        <v>98</v>
      </c>
      <c r="GU11" s="736">
        <v>100</v>
      </c>
      <c r="GV11" s="736">
        <v>102</v>
      </c>
      <c r="GW11" s="736">
        <v>102</v>
      </c>
      <c r="GX11" s="736">
        <v>103</v>
      </c>
      <c r="GY11" s="736">
        <v>104</v>
      </c>
      <c r="GZ11" s="736">
        <v>106</v>
      </c>
      <c r="HA11" s="736">
        <v>106</v>
      </c>
      <c r="HB11" s="736">
        <v>108</v>
      </c>
      <c r="HC11" s="736"/>
      <c r="HD11" s="750">
        <v>115</v>
      </c>
      <c r="HE11" s="736"/>
      <c r="HF11" s="736">
        <v>426</v>
      </c>
      <c r="HG11" s="736">
        <v>299</v>
      </c>
      <c r="HH11" s="714">
        <v>80.4</v>
      </c>
      <c r="HI11" s="714">
        <v>31</v>
      </c>
      <c r="HJ11" s="755">
        <v>0.297</v>
      </c>
      <c r="HK11" s="736">
        <v>57</v>
      </c>
      <c r="HL11" s="685">
        <v>1.3</v>
      </c>
      <c r="HM11" s="748">
        <v>3.27</v>
      </c>
      <c r="HN11" s="730" t="s">
        <v>337</v>
      </c>
      <c r="HO11" s="730" t="s">
        <v>338</v>
      </c>
      <c r="HP11" s="716">
        <v>-1.8</v>
      </c>
      <c r="HQ11" s="755">
        <v>0.915</v>
      </c>
      <c r="HR11" s="755">
        <v>0.947</v>
      </c>
      <c r="HS11" s="755">
        <v>0.977</v>
      </c>
      <c r="HT11" s="755">
        <v>0.99</v>
      </c>
      <c r="HU11" s="755">
        <v>0.999</v>
      </c>
      <c r="HV11" s="755">
        <v>0.999</v>
      </c>
      <c r="HW11" s="755">
        <v>0.999</v>
      </c>
      <c r="HX11" s="755">
        <v>0.999</v>
      </c>
      <c r="HY11" s="755">
        <v>0.999</v>
      </c>
      <c r="HZ11" s="755">
        <v>0.999</v>
      </c>
      <c r="IA11" s="755">
        <v>0.999</v>
      </c>
      <c r="IB11" s="755">
        <v>0.999</v>
      </c>
      <c r="IC11" s="755">
        <v>0.999</v>
      </c>
      <c r="ID11" s="755">
        <v>0.999</v>
      </c>
      <c r="IE11" s="755">
        <v>0.999</v>
      </c>
      <c r="IF11" s="755">
        <v>0.999</v>
      </c>
      <c r="IG11" s="755">
        <v>0.999</v>
      </c>
      <c r="IH11" s="755">
        <v>0.999</v>
      </c>
      <c r="II11" s="755">
        <v>0.999</v>
      </c>
      <c r="IJ11" s="755">
        <v>0.999</v>
      </c>
      <c r="IK11" s="755">
        <v>0.999</v>
      </c>
      <c r="IL11" s="755">
        <v>0.998</v>
      </c>
      <c r="IM11" s="755">
        <v>0.996</v>
      </c>
      <c r="IN11" s="755">
        <v>0.994</v>
      </c>
      <c r="IO11" s="755">
        <v>0.992</v>
      </c>
      <c r="IP11" s="755">
        <v>0.99</v>
      </c>
      <c r="IQ11" s="755">
        <v>0.985</v>
      </c>
      <c r="IR11" s="755">
        <v>0.978</v>
      </c>
      <c r="IS11" s="755">
        <v>0.967</v>
      </c>
      <c r="IT11" s="755">
        <v>0.945</v>
      </c>
      <c r="IU11" s="755">
        <v>0.908</v>
      </c>
      <c r="IV11" s="755">
        <v>0.848</v>
      </c>
      <c r="IW11" s="755">
        <v>0.762</v>
      </c>
      <c r="IX11" s="755">
        <v>0.657</v>
      </c>
      <c r="IY11" s="755">
        <v>0.542</v>
      </c>
      <c r="IZ11" s="755">
        <v>0.422</v>
      </c>
      <c r="JA11" s="755">
        <v>0.837</v>
      </c>
      <c r="JB11" s="755">
        <v>0.897</v>
      </c>
      <c r="JC11" s="755">
        <v>0.955</v>
      </c>
      <c r="JD11" s="755">
        <v>0.98</v>
      </c>
      <c r="JE11" s="755">
        <v>0.998</v>
      </c>
      <c r="JF11" s="755">
        <v>0.998</v>
      </c>
      <c r="JG11" s="755">
        <v>0.998</v>
      </c>
      <c r="JH11" s="755">
        <v>0.998</v>
      </c>
      <c r="JI11" s="755">
        <v>0.998</v>
      </c>
      <c r="JJ11" s="755">
        <v>0.998</v>
      </c>
      <c r="JK11" s="755">
        <v>0.998</v>
      </c>
      <c r="JL11" s="755">
        <v>0.998</v>
      </c>
      <c r="JM11" s="755">
        <v>0.998</v>
      </c>
      <c r="JN11" s="755">
        <v>0.998</v>
      </c>
      <c r="JO11" s="755">
        <v>0.998</v>
      </c>
      <c r="JP11" s="755">
        <v>0.998</v>
      </c>
      <c r="JQ11" s="755">
        <v>0.998</v>
      </c>
      <c r="JR11" s="755">
        <v>0.998</v>
      </c>
      <c r="JS11" s="755">
        <v>0.998</v>
      </c>
      <c r="JT11" s="755">
        <v>0.998</v>
      </c>
      <c r="JU11" s="755">
        <v>0.998</v>
      </c>
      <c r="JV11" s="755">
        <v>0.995</v>
      </c>
      <c r="JW11" s="755">
        <v>0.992</v>
      </c>
      <c r="JX11" s="755">
        <v>0.988</v>
      </c>
      <c r="JY11" s="755">
        <v>0.984</v>
      </c>
      <c r="JZ11" s="755">
        <v>0.98</v>
      </c>
      <c r="KA11" s="755">
        <v>0.972</v>
      </c>
      <c r="KB11" s="755">
        <v>0.952</v>
      </c>
      <c r="KC11" s="755">
        <v>0.93</v>
      </c>
      <c r="KD11" s="755">
        <v>0.889</v>
      </c>
      <c r="KE11" s="755">
        <v>0.821</v>
      </c>
      <c r="KF11" s="755">
        <v>0.716</v>
      </c>
      <c r="KG11" s="755">
        <v>0.579</v>
      </c>
      <c r="KH11" s="755">
        <v>0.433</v>
      </c>
      <c r="KI11" s="755">
        <v>0.297</v>
      </c>
      <c r="KJ11" s="755">
        <v>0.182</v>
      </c>
      <c r="KK11" s="765" t="s">
        <v>281</v>
      </c>
      <c r="KL11" s="738">
        <v>125</v>
      </c>
      <c r="KM11" s="738">
        <v>409</v>
      </c>
      <c r="KN11" s="646" t="s">
        <v>339</v>
      </c>
      <c r="KO11" s="646" t="s">
        <v>336</v>
      </c>
      <c r="KP11" s="687">
        <v>593670</v>
      </c>
      <c r="KQ11" s="766" t="s">
        <v>293</v>
      </c>
      <c r="KR11" s="750" t="s">
        <v>294</v>
      </c>
      <c r="KS11" s="769" t="s">
        <v>340</v>
      </c>
      <c r="KT11" s="770" t="s">
        <v>341</v>
      </c>
      <c r="KU11" s="766" t="s">
        <v>342</v>
      </c>
      <c r="KV11" s="750">
        <v>593670</v>
      </c>
      <c r="KW11" s="771" t="s">
        <v>343</v>
      </c>
      <c r="KX11" s="750" t="s">
        <v>344</v>
      </c>
      <c r="KY11" s="769"/>
      <c r="KZ11" s="770"/>
    </row>
    <row r="12" s="628" customFormat="1" customHeight="1" spans="1:312">
      <c r="A12" s="682" t="s">
        <v>345</v>
      </c>
      <c r="B12" s="683">
        <v>8</v>
      </c>
      <c r="C12" s="684" t="s">
        <v>346</v>
      </c>
      <c r="D12" s="687">
        <v>593670</v>
      </c>
      <c r="E12" s="685">
        <v>67</v>
      </c>
      <c r="F12" s="685">
        <v>66.74</v>
      </c>
      <c r="G12" s="688">
        <v>0.008858</v>
      </c>
      <c r="H12" s="686">
        <v>0.008924</v>
      </c>
      <c r="I12" s="696"/>
      <c r="J12" s="696"/>
      <c r="K12" s="696"/>
      <c r="L12" s="696">
        <v>1.58173</v>
      </c>
      <c r="M12" s="696">
        <v>1.58257</v>
      </c>
      <c r="N12" s="696">
        <v>1.58326</v>
      </c>
      <c r="O12" s="696">
        <v>1.58588</v>
      </c>
      <c r="P12" s="696">
        <v>1.58763</v>
      </c>
      <c r="Q12" s="697">
        <v>1.58921</v>
      </c>
      <c r="R12" s="697">
        <v>1.59078</v>
      </c>
      <c r="S12" s="697">
        <v>1.59121</v>
      </c>
      <c r="T12" s="701">
        <v>1.59162</v>
      </c>
      <c r="U12" s="697">
        <v>1.59341</v>
      </c>
      <c r="V12" s="697">
        <v>1.59349</v>
      </c>
      <c r="W12" s="697">
        <v>1.59561</v>
      </c>
      <c r="X12" s="697">
        <v>1.59964</v>
      </c>
      <c r="Y12" s="697">
        <v>1.60014</v>
      </c>
      <c r="Z12" s="697">
        <v>1.6044</v>
      </c>
      <c r="AA12" s="697">
        <v>1.60833</v>
      </c>
      <c r="AB12" s="697">
        <v>1.61496</v>
      </c>
      <c r="AC12" s="704">
        <v>2.5031675</v>
      </c>
      <c r="AD12" s="705">
        <v>-0.00941524451</v>
      </c>
      <c r="AE12" s="705">
        <v>0.0137151213</v>
      </c>
      <c r="AF12" s="705">
        <v>-0.000171470005</v>
      </c>
      <c r="AG12" s="705">
        <v>4.91628159e-5</v>
      </c>
      <c r="AH12" s="705">
        <v>-2.48523874e-6</v>
      </c>
      <c r="AI12" s="709">
        <v>0.3059</v>
      </c>
      <c r="AJ12" s="709">
        <v>0.2393</v>
      </c>
      <c r="AK12" s="709">
        <v>0.5374</v>
      </c>
      <c r="AL12" s="709">
        <v>0.2555</v>
      </c>
      <c r="AM12" s="709">
        <v>0.2376</v>
      </c>
      <c r="AN12" s="709">
        <v>0.4774</v>
      </c>
      <c r="AO12" s="709">
        <v>0.0017</v>
      </c>
      <c r="AP12" s="709">
        <v>0.0051</v>
      </c>
      <c r="AQ12" s="709">
        <v>-0.0158</v>
      </c>
      <c r="AR12" s="709">
        <v>-0.008</v>
      </c>
      <c r="AS12" s="714">
        <v>-2.8</v>
      </c>
      <c r="AT12" s="715">
        <v>-2.5</v>
      </c>
      <c r="AU12" s="715">
        <v>-2.4</v>
      </c>
      <c r="AV12" s="715">
        <v>-2.2</v>
      </c>
      <c r="AW12" s="715">
        <v>-2.2</v>
      </c>
      <c r="AX12" s="715">
        <v>-2</v>
      </c>
      <c r="AY12" s="715">
        <v>-1.9</v>
      </c>
      <c r="AZ12" s="715">
        <v>-1.8</v>
      </c>
      <c r="BA12" s="715">
        <v>-1.8</v>
      </c>
      <c r="BB12" s="715">
        <v>-1.7</v>
      </c>
      <c r="BC12" s="715">
        <v>-1.6</v>
      </c>
      <c r="BD12" s="715">
        <v>-2.6</v>
      </c>
      <c r="BE12" s="715">
        <v>-2.4</v>
      </c>
      <c r="BF12" s="715">
        <v>-2.4</v>
      </c>
      <c r="BG12" s="715">
        <v>-2.2</v>
      </c>
      <c r="BH12" s="715">
        <v>-2.1</v>
      </c>
      <c r="BI12" s="715">
        <v>-1.9</v>
      </c>
      <c r="BJ12" s="715">
        <v>-1.8</v>
      </c>
      <c r="BK12" s="715">
        <v>-1.7</v>
      </c>
      <c r="BL12" s="715">
        <v>-1.6</v>
      </c>
      <c r="BM12" s="715">
        <v>-1.5</v>
      </c>
      <c r="BN12" s="715">
        <v>-1.5</v>
      </c>
      <c r="BO12" s="715">
        <v>-2.4</v>
      </c>
      <c r="BP12" s="715">
        <v>-2.2</v>
      </c>
      <c r="BQ12" s="715">
        <v>-2.1</v>
      </c>
      <c r="BR12" s="715">
        <v>-2</v>
      </c>
      <c r="BS12" s="715">
        <v>-1.9</v>
      </c>
      <c r="BT12" s="715">
        <v>-1.7</v>
      </c>
      <c r="BU12" s="715">
        <v>-1.6</v>
      </c>
      <c r="BV12" s="715">
        <v>-1.5</v>
      </c>
      <c r="BW12" s="715">
        <v>-1.4</v>
      </c>
      <c r="BX12" s="715">
        <v>-1.3</v>
      </c>
      <c r="BY12" s="715">
        <v>-1.3</v>
      </c>
      <c r="BZ12" s="715">
        <v>-2.3</v>
      </c>
      <c r="CA12" s="715">
        <v>-2.2</v>
      </c>
      <c r="CB12" s="715">
        <v>-2.1</v>
      </c>
      <c r="CC12" s="715">
        <v>-2</v>
      </c>
      <c r="CD12" s="715">
        <v>-1.9</v>
      </c>
      <c r="CE12" s="715">
        <v>-1.6</v>
      </c>
      <c r="CF12" s="715">
        <v>-1.5</v>
      </c>
      <c r="CG12" s="715">
        <v>-1.5</v>
      </c>
      <c r="CH12" s="715">
        <v>-1.3</v>
      </c>
      <c r="CI12" s="715">
        <v>-1.3</v>
      </c>
      <c r="CJ12" s="715">
        <v>-1.3</v>
      </c>
      <c r="CK12" s="715">
        <v>-2.3</v>
      </c>
      <c r="CL12" s="715">
        <v>-2.2</v>
      </c>
      <c r="CM12" s="715">
        <v>-2.1</v>
      </c>
      <c r="CN12" s="715">
        <v>-2</v>
      </c>
      <c r="CO12" s="715">
        <v>-1.9</v>
      </c>
      <c r="CP12" s="715">
        <v>-1.6</v>
      </c>
      <c r="CQ12" s="715">
        <v>-1.5</v>
      </c>
      <c r="CR12" s="715">
        <v>-1.5</v>
      </c>
      <c r="CS12" s="715">
        <v>-1.3</v>
      </c>
      <c r="CT12" s="715">
        <v>-1.3</v>
      </c>
      <c r="CU12" s="715">
        <v>-1.3</v>
      </c>
      <c r="CV12" s="715">
        <v>-2.1</v>
      </c>
      <c r="CW12" s="715">
        <v>-2</v>
      </c>
      <c r="CX12" s="715">
        <v>-1.9</v>
      </c>
      <c r="CY12" s="715">
        <v>-1.8</v>
      </c>
      <c r="CZ12" s="715">
        <v>-1.7</v>
      </c>
      <c r="DA12" s="715">
        <v>-1.5</v>
      </c>
      <c r="DB12" s="715">
        <v>-1.4</v>
      </c>
      <c r="DC12" s="715">
        <v>-1.3</v>
      </c>
      <c r="DD12" s="715">
        <v>-1.2</v>
      </c>
      <c r="DE12" s="715">
        <v>-1.2</v>
      </c>
      <c r="DF12" s="715">
        <v>-1.1</v>
      </c>
      <c r="DG12" s="715">
        <v>-1.9</v>
      </c>
      <c r="DH12" s="715">
        <v>-1.8</v>
      </c>
      <c r="DI12" s="715">
        <v>-1.6</v>
      </c>
      <c r="DJ12" s="715">
        <v>-1.5</v>
      </c>
      <c r="DK12" s="715">
        <v>-1.4</v>
      </c>
      <c r="DL12" s="715">
        <v>-1.4</v>
      </c>
      <c r="DM12" s="715">
        <v>-1.3</v>
      </c>
      <c r="DN12" s="715">
        <v>-1.1</v>
      </c>
      <c r="DO12" s="715">
        <v>-1.1</v>
      </c>
      <c r="DP12" s="715">
        <v>-1.1</v>
      </c>
      <c r="DQ12" s="715">
        <v>-1</v>
      </c>
      <c r="DR12" s="715">
        <v>-1.7</v>
      </c>
      <c r="DS12" s="715">
        <v>-1.6</v>
      </c>
      <c r="DT12" s="715">
        <v>-1.4</v>
      </c>
      <c r="DU12" s="715">
        <v>-1.3</v>
      </c>
      <c r="DV12" s="715">
        <v>-1.2</v>
      </c>
      <c r="DW12" s="715">
        <v>-1.1</v>
      </c>
      <c r="DX12" s="715">
        <v>-1</v>
      </c>
      <c r="DY12" s="715">
        <v>-0.9</v>
      </c>
      <c r="DZ12" s="715">
        <v>-0.8</v>
      </c>
      <c r="EA12" s="715">
        <v>-0.8</v>
      </c>
      <c r="EB12" s="715">
        <v>-0.7</v>
      </c>
      <c r="EC12" s="715">
        <v>-1.6</v>
      </c>
      <c r="ED12" s="715">
        <v>-1.4</v>
      </c>
      <c r="EE12" s="715">
        <v>-1.3</v>
      </c>
      <c r="EF12" s="715">
        <v>-1.2</v>
      </c>
      <c r="EG12" s="715">
        <v>-1</v>
      </c>
      <c r="EH12" s="715">
        <v>-0.9</v>
      </c>
      <c r="EI12" s="715">
        <v>-0.8</v>
      </c>
      <c r="EJ12" s="715">
        <v>-0.8</v>
      </c>
      <c r="EK12" s="715">
        <v>-0.7</v>
      </c>
      <c r="EL12" s="715">
        <v>-0.7</v>
      </c>
      <c r="EM12" s="715">
        <v>-0.5</v>
      </c>
      <c r="EN12" s="715">
        <v>-1.2</v>
      </c>
      <c r="EO12" s="715">
        <v>-1</v>
      </c>
      <c r="EP12" s="715">
        <v>-0.9</v>
      </c>
      <c r="EQ12" s="715">
        <v>-0.8</v>
      </c>
      <c r="ER12" s="715">
        <v>-0.7</v>
      </c>
      <c r="ES12" s="715">
        <v>-0.6</v>
      </c>
      <c r="ET12" s="715">
        <v>-0.5</v>
      </c>
      <c r="EU12" s="715">
        <v>-0.4</v>
      </c>
      <c r="EV12" s="715">
        <v>-0.3</v>
      </c>
      <c r="EW12" s="715">
        <v>-0.2</v>
      </c>
      <c r="EX12" s="715">
        <v>-0.1</v>
      </c>
      <c r="EY12" s="715">
        <v>-4.4</v>
      </c>
      <c r="EZ12" s="715">
        <v>-4.1</v>
      </c>
      <c r="FA12" s="715">
        <v>-3.7</v>
      </c>
      <c r="FB12" s="715">
        <v>-3.6</v>
      </c>
      <c r="FC12" s="715">
        <v>-3.3</v>
      </c>
      <c r="FD12" s="715">
        <v>-2.8</v>
      </c>
      <c r="FE12" s="715">
        <v>-2.6</v>
      </c>
      <c r="FF12" s="715">
        <v>-2.5</v>
      </c>
      <c r="FG12" s="715">
        <v>-2.2</v>
      </c>
      <c r="FH12" s="715">
        <v>-2.1</v>
      </c>
      <c r="FI12" s="715">
        <v>-2</v>
      </c>
      <c r="FJ12" s="723">
        <v>-8.44e-6</v>
      </c>
      <c r="FK12" s="723">
        <v>1.49e-8</v>
      </c>
      <c r="FL12" s="723">
        <v>-2.04e-11</v>
      </c>
      <c r="FM12" s="723">
        <v>7.08e-7</v>
      </c>
      <c r="FN12" s="723">
        <v>-1.08e-10</v>
      </c>
      <c r="FO12" s="723">
        <v>6.42e-13</v>
      </c>
      <c r="FP12" s="730">
        <v>2</v>
      </c>
      <c r="FQ12" s="730">
        <v>2</v>
      </c>
      <c r="FR12" s="730">
        <v>1</v>
      </c>
      <c r="FS12" s="730">
        <v>4</v>
      </c>
      <c r="FT12" s="730">
        <v>1</v>
      </c>
      <c r="FU12" s="730">
        <v>2</v>
      </c>
      <c r="FV12" s="681">
        <v>1</v>
      </c>
      <c r="FW12" s="730"/>
      <c r="FX12" s="730"/>
      <c r="FY12" s="730"/>
      <c r="FZ12" s="735">
        <v>511</v>
      </c>
      <c r="GA12" s="735">
        <v>541</v>
      </c>
      <c r="GB12" s="736">
        <v>483</v>
      </c>
      <c r="GC12" s="736">
        <v>505</v>
      </c>
      <c r="GD12" s="748">
        <v>0.85</v>
      </c>
      <c r="GE12" s="730"/>
      <c r="GF12" s="736">
        <v>92</v>
      </c>
      <c r="GG12" s="736">
        <v>117</v>
      </c>
      <c r="GH12" s="736">
        <v>82</v>
      </c>
      <c r="GI12" s="736">
        <v>86</v>
      </c>
      <c r="GJ12" s="736">
        <v>88</v>
      </c>
      <c r="GK12" s="736">
        <v>89</v>
      </c>
      <c r="GL12" s="736">
        <v>90</v>
      </c>
      <c r="GM12" s="736">
        <v>91</v>
      </c>
      <c r="GN12" s="736">
        <v>93</v>
      </c>
      <c r="GO12" s="736">
        <v>94</v>
      </c>
      <c r="GP12" s="736">
        <v>96</v>
      </c>
      <c r="GQ12" s="736">
        <v>97</v>
      </c>
      <c r="GR12" s="736">
        <v>98</v>
      </c>
      <c r="GS12" s="736">
        <v>99</v>
      </c>
      <c r="GT12" s="736">
        <v>100</v>
      </c>
      <c r="GU12" s="736">
        <v>102</v>
      </c>
      <c r="GV12" s="736">
        <v>103</v>
      </c>
      <c r="GW12" s="736">
        <v>104</v>
      </c>
      <c r="GX12" s="736">
        <v>105</v>
      </c>
      <c r="GY12" s="736">
        <v>107</v>
      </c>
      <c r="GZ12" s="736">
        <v>109</v>
      </c>
      <c r="HA12" s="736">
        <v>112</v>
      </c>
      <c r="HB12" s="736">
        <v>115</v>
      </c>
      <c r="HC12" s="736"/>
      <c r="HD12" s="750">
        <v>105</v>
      </c>
      <c r="HE12" s="736"/>
      <c r="HF12" s="736">
        <v>466</v>
      </c>
      <c r="HG12" s="736">
        <v>250</v>
      </c>
      <c r="HH12" s="714">
        <v>88.2</v>
      </c>
      <c r="HI12" s="714">
        <v>34.5</v>
      </c>
      <c r="HJ12" s="755">
        <v>0.278</v>
      </c>
      <c r="HK12" s="736"/>
      <c r="HL12" s="685">
        <v>1.38</v>
      </c>
      <c r="HM12" s="748">
        <v>3.16</v>
      </c>
      <c r="HN12" s="730" t="s">
        <v>347</v>
      </c>
      <c r="HO12" s="730" t="s">
        <v>348</v>
      </c>
      <c r="HP12" s="716">
        <v>-1.9</v>
      </c>
      <c r="HQ12" s="755">
        <v>0.958</v>
      </c>
      <c r="HR12" s="755">
        <v>0.978</v>
      </c>
      <c r="HS12" s="755">
        <v>0.991</v>
      </c>
      <c r="HT12" s="755">
        <v>0.996</v>
      </c>
      <c r="HU12" s="755">
        <v>0.999</v>
      </c>
      <c r="HV12" s="755">
        <v>0.999</v>
      </c>
      <c r="HW12" s="755">
        <v>0.999</v>
      </c>
      <c r="HX12" s="755">
        <v>0.999</v>
      </c>
      <c r="HY12" s="755">
        <v>0.999</v>
      </c>
      <c r="HZ12" s="755">
        <v>0.999</v>
      </c>
      <c r="IA12" s="755">
        <v>0.999</v>
      </c>
      <c r="IB12" s="755">
        <v>0.999</v>
      </c>
      <c r="IC12" s="755">
        <v>0.999</v>
      </c>
      <c r="ID12" s="755">
        <v>0.999</v>
      </c>
      <c r="IE12" s="755">
        <v>0.999</v>
      </c>
      <c r="IF12" s="755">
        <v>0.999</v>
      </c>
      <c r="IG12" s="755">
        <v>0.999</v>
      </c>
      <c r="IH12" s="755">
        <v>0.999</v>
      </c>
      <c r="II12" s="755">
        <v>0.999</v>
      </c>
      <c r="IJ12" s="755">
        <v>0.999</v>
      </c>
      <c r="IK12" s="755">
        <v>0.998</v>
      </c>
      <c r="IL12" s="755">
        <v>0.997</v>
      </c>
      <c r="IM12" s="755">
        <v>0.997</v>
      </c>
      <c r="IN12" s="755">
        <v>0.996</v>
      </c>
      <c r="IO12" s="755">
        <v>0.995</v>
      </c>
      <c r="IP12" s="755">
        <v>0.993</v>
      </c>
      <c r="IQ12" s="755">
        <v>0.989</v>
      </c>
      <c r="IR12" s="755">
        <v>0.983</v>
      </c>
      <c r="IS12" s="755">
        <v>0.968</v>
      </c>
      <c r="IT12" s="755">
        <v>0.944</v>
      </c>
      <c r="IU12" s="755">
        <v>0.902</v>
      </c>
      <c r="IV12" s="755">
        <v>0.838</v>
      </c>
      <c r="IW12" s="755">
        <v>0.75</v>
      </c>
      <c r="IX12" s="755">
        <v>0.649</v>
      </c>
      <c r="IY12" s="755">
        <v>0.538</v>
      </c>
      <c r="IZ12" s="755">
        <v>0.424</v>
      </c>
      <c r="JA12" s="755">
        <v>0.917</v>
      </c>
      <c r="JB12" s="755">
        <v>0.956</v>
      </c>
      <c r="JC12" s="755">
        <v>0.983</v>
      </c>
      <c r="JD12" s="755">
        <v>0.991</v>
      </c>
      <c r="JE12" s="755">
        <v>0.997</v>
      </c>
      <c r="JF12" s="755">
        <v>0.998</v>
      </c>
      <c r="JG12" s="755">
        <v>0.998</v>
      </c>
      <c r="JH12" s="755">
        <v>0.998</v>
      </c>
      <c r="JI12" s="755">
        <v>0.998</v>
      </c>
      <c r="JJ12" s="755">
        <v>0.998</v>
      </c>
      <c r="JK12" s="755">
        <v>0.998</v>
      </c>
      <c r="JL12" s="755">
        <v>0.998</v>
      </c>
      <c r="JM12" s="755">
        <v>0.998</v>
      </c>
      <c r="JN12" s="755">
        <v>0.998</v>
      </c>
      <c r="JO12" s="755">
        <v>0.998</v>
      </c>
      <c r="JP12" s="755">
        <v>0.998</v>
      </c>
      <c r="JQ12" s="755">
        <v>0.998</v>
      </c>
      <c r="JR12" s="755">
        <v>0.998</v>
      </c>
      <c r="JS12" s="755">
        <v>0.998</v>
      </c>
      <c r="JT12" s="755">
        <v>0.997</v>
      </c>
      <c r="JU12" s="755">
        <v>0.996</v>
      </c>
      <c r="JV12" s="755">
        <v>0.995</v>
      </c>
      <c r="JW12" s="755">
        <v>0.994</v>
      </c>
      <c r="JX12" s="755">
        <v>0.993</v>
      </c>
      <c r="JY12" s="755">
        <v>0.99</v>
      </c>
      <c r="JZ12" s="755">
        <v>0.986</v>
      </c>
      <c r="KA12" s="755">
        <v>0.979</v>
      </c>
      <c r="KB12" s="755">
        <v>0.965</v>
      </c>
      <c r="KC12" s="755">
        <v>0.938</v>
      </c>
      <c r="KD12" s="755">
        <v>0.891</v>
      </c>
      <c r="KE12" s="755">
        <v>0.814</v>
      </c>
      <c r="KF12" s="755">
        <v>0.703</v>
      </c>
      <c r="KG12" s="755">
        <v>0.563</v>
      </c>
      <c r="KH12" s="755">
        <v>0.421</v>
      </c>
      <c r="KI12" s="755">
        <v>0.289</v>
      </c>
      <c r="KJ12" s="755">
        <v>0.18</v>
      </c>
      <c r="KK12" s="765" t="s">
        <v>281</v>
      </c>
      <c r="KL12" s="738">
        <v>125</v>
      </c>
      <c r="KM12" s="738">
        <v>395</v>
      </c>
      <c r="KN12" s="646" t="s">
        <v>339</v>
      </c>
      <c r="KO12" s="646" t="s">
        <v>346</v>
      </c>
      <c r="KP12" s="687">
        <v>593670</v>
      </c>
      <c r="KQ12" s="766" t="s">
        <v>293</v>
      </c>
      <c r="KR12" s="750" t="s">
        <v>294</v>
      </c>
      <c r="KS12" s="769" t="s">
        <v>340</v>
      </c>
      <c r="KT12" s="770" t="s">
        <v>341</v>
      </c>
      <c r="KU12" s="766" t="s">
        <v>342</v>
      </c>
      <c r="KV12" s="750">
        <v>593670</v>
      </c>
      <c r="KW12" s="771" t="s">
        <v>343</v>
      </c>
      <c r="KX12" s="750" t="s">
        <v>344</v>
      </c>
      <c r="KY12" s="769"/>
      <c r="KZ12" s="770"/>
    </row>
    <row r="13" s="628" customFormat="1" customHeight="1" spans="1:312">
      <c r="A13" s="682" t="s">
        <v>277</v>
      </c>
      <c r="B13" s="683">
        <v>9</v>
      </c>
      <c r="C13" s="684" t="s">
        <v>349</v>
      </c>
      <c r="D13" s="679">
        <v>618634</v>
      </c>
      <c r="E13" s="685">
        <v>63.39</v>
      </c>
      <c r="F13" s="685">
        <v>63.12</v>
      </c>
      <c r="G13" s="686">
        <v>0.009749</v>
      </c>
      <c r="H13" s="686">
        <v>0.009828</v>
      </c>
      <c r="I13" s="696">
        <v>1.59079</v>
      </c>
      <c r="J13" s="696">
        <v>1.59567</v>
      </c>
      <c r="K13" s="696">
        <v>1.60096</v>
      </c>
      <c r="L13" s="696">
        <v>1.60561</v>
      </c>
      <c r="M13" s="696">
        <v>1.60646</v>
      </c>
      <c r="N13" s="696">
        <v>1.60715</v>
      </c>
      <c r="O13" s="696">
        <v>1.60983</v>
      </c>
      <c r="P13" s="696">
        <v>1.61167</v>
      </c>
      <c r="Q13" s="697">
        <v>1.61335</v>
      </c>
      <c r="R13" s="697">
        <v>1.61503</v>
      </c>
      <c r="S13" s="697">
        <v>1.6155</v>
      </c>
      <c r="T13" s="701">
        <v>1.61594</v>
      </c>
      <c r="U13" s="697">
        <v>1.61791</v>
      </c>
      <c r="V13" s="697">
        <v>1.618</v>
      </c>
      <c r="W13" s="697">
        <v>1.62033</v>
      </c>
      <c r="X13" s="697">
        <v>1.62478</v>
      </c>
      <c r="Y13" s="697">
        <v>1.62533</v>
      </c>
      <c r="Z13" s="697">
        <v>1.63004</v>
      </c>
      <c r="AA13" s="697">
        <v>1.63439</v>
      </c>
      <c r="AB13" s="697">
        <v>1.6418</v>
      </c>
      <c r="AC13" s="704">
        <v>2.57978592</v>
      </c>
      <c r="AD13" s="704">
        <v>-0.00952472897</v>
      </c>
      <c r="AE13" s="704">
        <v>0.0126301504</v>
      </c>
      <c r="AF13" s="704">
        <v>0.000806546409</v>
      </c>
      <c r="AG13" s="704">
        <v>-9.53388389e-5</v>
      </c>
      <c r="AH13" s="704">
        <v>5.37975011e-6</v>
      </c>
      <c r="AI13" s="709">
        <v>0.3046</v>
      </c>
      <c r="AJ13" s="709">
        <v>0.239</v>
      </c>
      <c r="AK13" s="709">
        <v>0.5395</v>
      </c>
      <c r="AL13" s="709">
        <v>0.2544</v>
      </c>
      <c r="AM13" s="709">
        <v>0.2371</v>
      </c>
      <c r="AN13" s="709">
        <v>0.4792</v>
      </c>
      <c r="AO13" s="709">
        <v>0.0012</v>
      </c>
      <c r="AP13" s="709">
        <v>0.0012</v>
      </c>
      <c r="AQ13" s="709">
        <v>-0.039</v>
      </c>
      <c r="AR13" s="709">
        <v>-0.0191</v>
      </c>
      <c r="AS13" s="714">
        <v>-2.6</v>
      </c>
      <c r="AT13" s="716">
        <v>-2.7</v>
      </c>
      <c r="AU13" s="716">
        <v>-2.8</v>
      </c>
      <c r="AV13" s="716">
        <v>-2.8</v>
      </c>
      <c r="AW13" s="716">
        <v>-2.8</v>
      </c>
      <c r="AX13" s="716">
        <v>-2.8</v>
      </c>
      <c r="AY13" s="716">
        <v>-2.8</v>
      </c>
      <c r="AZ13" s="716">
        <v>-2.9</v>
      </c>
      <c r="BA13" s="716">
        <v>-2.8</v>
      </c>
      <c r="BB13" s="716">
        <v>-2.9</v>
      </c>
      <c r="BC13" s="716">
        <v>-2.8</v>
      </c>
      <c r="BD13" s="716">
        <v>-2.4</v>
      </c>
      <c r="BE13" s="716">
        <v>-2.5</v>
      </c>
      <c r="BF13" s="716">
        <v>-2.6</v>
      </c>
      <c r="BG13" s="716">
        <v>-2.6</v>
      </c>
      <c r="BH13" s="716">
        <v>-2.6</v>
      </c>
      <c r="BI13" s="716">
        <v>-2.6</v>
      </c>
      <c r="BJ13" s="716">
        <v>-2.6</v>
      </c>
      <c r="BK13" s="716">
        <v>-2.6</v>
      </c>
      <c r="BL13" s="716">
        <v>-2.6</v>
      </c>
      <c r="BM13" s="716">
        <v>-2.6</v>
      </c>
      <c r="BN13" s="716">
        <v>-2.6</v>
      </c>
      <c r="BO13" s="716">
        <v>-2.3</v>
      </c>
      <c r="BP13" s="716">
        <v>-2.4</v>
      </c>
      <c r="BQ13" s="716">
        <v>-2.4</v>
      </c>
      <c r="BR13" s="716">
        <v>-2.5</v>
      </c>
      <c r="BS13" s="716">
        <v>-2.5</v>
      </c>
      <c r="BT13" s="716">
        <v>-2.5</v>
      </c>
      <c r="BU13" s="716">
        <v>-2.5</v>
      </c>
      <c r="BV13" s="716">
        <v>-2.5</v>
      </c>
      <c r="BW13" s="716">
        <v>-2.5</v>
      </c>
      <c r="BX13" s="716">
        <v>-2.5</v>
      </c>
      <c r="BY13" s="716">
        <v>-2.5</v>
      </c>
      <c r="BZ13" s="716">
        <v>-2.2</v>
      </c>
      <c r="CA13" s="716">
        <v>-2.3</v>
      </c>
      <c r="CB13" s="716">
        <v>-2.4</v>
      </c>
      <c r="CC13" s="716">
        <v>-2.4</v>
      </c>
      <c r="CD13" s="716">
        <v>-2.4</v>
      </c>
      <c r="CE13" s="716">
        <v>-2.4</v>
      </c>
      <c r="CF13" s="716">
        <v>-2.5</v>
      </c>
      <c r="CG13" s="716">
        <v>-2.5</v>
      </c>
      <c r="CH13" s="716">
        <v>-2.5</v>
      </c>
      <c r="CI13" s="716">
        <v>-2.5</v>
      </c>
      <c r="CJ13" s="716">
        <v>-2.4</v>
      </c>
      <c r="CK13" s="716">
        <v>-2.2</v>
      </c>
      <c r="CL13" s="716">
        <v>-2.3</v>
      </c>
      <c r="CM13" s="719">
        <v>-2.4</v>
      </c>
      <c r="CN13" s="719">
        <v>-2.4</v>
      </c>
      <c r="CO13" s="719">
        <v>-2.4</v>
      </c>
      <c r="CP13" s="719">
        <v>-2.4</v>
      </c>
      <c r="CQ13" s="719">
        <v>-2.5</v>
      </c>
      <c r="CR13" s="716">
        <v>-2.5</v>
      </c>
      <c r="CS13" s="716">
        <v>-2.5</v>
      </c>
      <c r="CT13" s="716">
        <v>-2.4</v>
      </c>
      <c r="CU13" s="716">
        <v>-2.4</v>
      </c>
      <c r="CV13" s="716">
        <v>-2.1</v>
      </c>
      <c r="CW13" s="719">
        <v>-2.2</v>
      </c>
      <c r="CX13" s="719">
        <v>-2.3</v>
      </c>
      <c r="CY13" s="719">
        <v>-2.3</v>
      </c>
      <c r="CZ13" s="719">
        <v>-2.4</v>
      </c>
      <c r="DA13" s="719">
        <v>-2.4</v>
      </c>
      <c r="DB13" s="719">
        <v>-2.4</v>
      </c>
      <c r="DC13" s="716">
        <v>-2.4</v>
      </c>
      <c r="DD13" s="716">
        <v>-2.4</v>
      </c>
      <c r="DE13" s="716">
        <v>-2.4</v>
      </c>
      <c r="DF13" s="716">
        <v>-2.4</v>
      </c>
      <c r="DG13" s="716">
        <v>-2</v>
      </c>
      <c r="DH13" s="719">
        <v>-2.1</v>
      </c>
      <c r="DI13" s="719">
        <v>-2.2</v>
      </c>
      <c r="DJ13" s="719">
        <v>-2.2</v>
      </c>
      <c r="DK13" s="719">
        <v>-2.3</v>
      </c>
      <c r="DL13" s="719">
        <v>-2.3</v>
      </c>
      <c r="DM13" s="719">
        <v>-2.3</v>
      </c>
      <c r="DN13" s="716">
        <v>-2.3</v>
      </c>
      <c r="DO13" s="716">
        <v>-2.3</v>
      </c>
      <c r="DP13" s="716">
        <v>-2.4</v>
      </c>
      <c r="DQ13" s="716">
        <v>-2.4</v>
      </c>
      <c r="DR13" s="716">
        <v>-1.7</v>
      </c>
      <c r="DS13" s="715">
        <v>-1.8</v>
      </c>
      <c r="DT13" s="719">
        <v>-1.9</v>
      </c>
      <c r="DU13" s="719">
        <v>-1.9</v>
      </c>
      <c r="DV13" s="719">
        <v>-2</v>
      </c>
      <c r="DW13" s="719">
        <v>-2</v>
      </c>
      <c r="DX13" s="719">
        <v>-2.1</v>
      </c>
      <c r="DY13" s="716">
        <v>-2.1</v>
      </c>
      <c r="DZ13" s="716">
        <v>-2.1</v>
      </c>
      <c r="EA13" s="716">
        <v>-2.1</v>
      </c>
      <c r="EB13" s="716">
        <v>-2.1</v>
      </c>
      <c r="EC13" s="716">
        <v>-1.7</v>
      </c>
      <c r="ED13" s="715">
        <v>-1.8</v>
      </c>
      <c r="EE13" s="719">
        <v>-1.9</v>
      </c>
      <c r="EF13" s="719">
        <v>-1.9</v>
      </c>
      <c r="EG13" s="719">
        <v>-2</v>
      </c>
      <c r="EH13" s="719">
        <v>-2</v>
      </c>
      <c r="EI13" s="719">
        <v>-2</v>
      </c>
      <c r="EJ13" s="716">
        <v>-2</v>
      </c>
      <c r="EK13" s="716">
        <v>-2</v>
      </c>
      <c r="EL13" s="716">
        <v>-2</v>
      </c>
      <c r="EM13" s="716">
        <v>-2.1</v>
      </c>
      <c r="EN13" s="716">
        <v>-1.4</v>
      </c>
      <c r="EO13" s="719">
        <v>-1.7</v>
      </c>
      <c r="EP13" s="719">
        <v>-1.8</v>
      </c>
      <c r="EQ13" s="719">
        <v>-1.8</v>
      </c>
      <c r="ER13" s="719">
        <v>-1.8</v>
      </c>
      <c r="ES13" s="719">
        <v>-1.6</v>
      </c>
      <c r="ET13" s="719">
        <v>-1.6</v>
      </c>
      <c r="EU13" s="716">
        <v>-1.5</v>
      </c>
      <c r="EV13" s="716">
        <v>-1.6</v>
      </c>
      <c r="EW13" s="716">
        <v>-1.6</v>
      </c>
      <c r="EX13" s="716">
        <v>-1.6</v>
      </c>
      <c r="EY13" s="716">
        <v>-4.8</v>
      </c>
      <c r="EZ13" s="719">
        <v>-4.5</v>
      </c>
      <c r="FA13" s="719">
        <v>-4.3</v>
      </c>
      <c r="FB13" s="719">
        <v>-4</v>
      </c>
      <c r="FC13" s="719">
        <v>-3.8</v>
      </c>
      <c r="FD13" s="719">
        <v>-3.6</v>
      </c>
      <c r="FE13" s="719">
        <v>-3.6</v>
      </c>
      <c r="FF13" s="716">
        <v>-3.5</v>
      </c>
      <c r="FG13" s="716">
        <v>-3.4</v>
      </c>
      <c r="FH13" s="716">
        <v>-3.2</v>
      </c>
      <c r="FI13" s="716">
        <v>-3.1</v>
      </c>
      <c r="FJ13" s="723">
        <v>-9.02e-6</v>
      </c>
      <c r="FK13" s="723">
        <v>9.55e-9</v>
      </c>
      <c r="FL13" s="723">
        <v>-2e-11</v>
      </c>
      <c r="FM13" s="723">
        <v>3.79e-7</v>
      </c>
      <c r="FN13" s="723">
        <v>3.28e-11</v>
      </c>
      <c r="FO13" s="723">
        <v>0.22</v>
      </c>
      <c r="FP13" s="729">
        <v>1</v>
      </c>
      <c r="FQ13" s="729">
        <v>2</v>
      </c>
      <c r="FR13" s="729">
        <v>1</v>
      </c>
      <c r="FS13" s="729">
        <v>4</v>
      </c>
      <c r="FT13" s="729">
        <v>1</v>
      </c>
      <c r="FU13" s="729">
        <v>2</v>
      </c>
      <c r="FV13" s="681">
        <v>1</v>
      </c>
      <c r="FW13" s="729"/>
      <c r="FX13" s="729"/>
      <c r="FY13" s="729"/>
      <c r="FZ13" s="734">
        <v>616</v>
      </c>
      <c r="GA13" s="734">
        <v>662</v>
      </c>
      <c r="GB13" s="681">
        <v>557</v>
      </c>
      <c r="GC13" s="681">
        <v>598</v>
      </c>
      <c r="GD13" s="747">
        <v>1.15</v>
      </c>
      <c r="GE13" s="729"/>
      <c r="GF13" s="681">
        <v>94</v>
      </c>
      <c r="GG13" s="681">
        <v>111</v>
      </c>
      <c r="GH13" s="681">
        <v>85</v>
      </c>
      <c r="GI13" s="681">
        <v>87</v>
      </c>
      <c r="GJ13" s="681">
        <v>89</v>
      </c>
      <c r="GK13" s="681">
        <v>90</v>
      </c>
      <c r="GL13" s="681">
        <v>90</v>
      </c>
      <c r="GM13" s="681">
        <v>91</v>
      </c>
      <c r="GN13" s="681">
        <v>91</v>
      </c>
      <c r="GO13" s="681">
        <v>92</v>
      </c>
      <c r="GP13" s="681">
        <v>93</v>
      </c>
      <c r="GQ13" s="681">
        <v>93</v>
      </c>
      <c r="GR13" s="681">
        <v>93</v>
      </c>
      <c r="GS13" s="681">
        <v>94</v>
      </c>
      <c r="GT13" s="681">
        <v>94</v>
      </c>
      <c r="GU13" s="681">
        <v>95</v>
      </c>
      <c r="GV13" s="681">
        <v>95</v>
      </c>
      <c r="GW13" s="681">
        <v>96</v>
      </c>
      <c r="GX13" s="681">
        <v>97</v>
      </c>
      <c r="GY13" s="681">
        <v>99</v>
      </c>
      <c r="GZ13" s="681">
        <v>100</v>
      </c>
      <c r="HA13" s="681">
        <v>104</v>
      </c>
      <c r="HB13" s="681">
        <v>105</v>
      </c>
      <c r="HC13" s="681"/>
      <c r="HD13" s="681">
        <v>117</v>
      </c>
      <c r="HE13" s="681"/>
      <c r="HF13" s="681">
        <v>391</v>
      </c>
      <c r="HG13" s="738">
        <v>320</v>
      </c>
      <c r="HH13" s="714">
        <v>71.1</v>
      </c>
      <c r="HI13" s="714">
        <v>27</v>
      </c>
      <c r="HJ13" s="755">
        <v>0.317</v>
      </c>
      <c r="HK13" s="681">
        <v>48</v>
      </c>
      <c r="HL13" s="685">
        <v>1.17</v>
      </c>
      <c r="HM13" s="747">
        <v>3.53</v>
      </c>
      <c r="HN13" s="729" t="s">
        <v>350</v>
      </c>
      <c r="HO13" s="729" t="s">
        <v>351</v>
      </c>
      <c r="HP13" s="714">
        <v>-1.9</v>
      </c>
      <c r="HQ13" s="753">
        <v>0.93</v>
      </c>
      <c r="HR13" s="753">
        <v>0.953</v>
      </c>
      <c r="HS13" s="753">
        <v>0.98</v>
      </c>
      <c r="HT13" s="753">
        <v>0.99</v>
      </c>
      <c r="HU13" s="753">
        <v>0.999</v>
      </c>
      <c r="HV13" s="753">
        <v>0.999</v>
      </c>
      <c r="HW13" s="753">
        <v>0.999</v>
      </c>
      <c r="HX13" s="753">
        <v>0.999</v>
      </c>
      <c r="HY13" s="753">
        <v>0.999</v>
      </c>
      <c r="HZ13" s="753">
        <v>0.999</v>
      </c>
      <c r="IA13" s="753">
        <v>0.999</v>
      </c>
      <c r="IB13" s="753">
        <v>0.999</v>
      </c>
      <c r="IC13" s="753">
        <v>0.999</v>
      </c>
      <c r="ID13" s="753">
        <v>0.999</v>
      </c>
      <c r="IE13" s="753">
        <v>0.999</v>
      </c>
      <c r="IF13" s="753">
        <v>0.999</v>
      </c>
      <c r="IG13" s="753">
        <v>0.999</v>
      </c>
      <c r="IH13" s="753">
        <v>0.999</v>
      </c>
      <c r="II13" s="753">
        <v>0.999</v>
      </c>
      <c r="IJ13" s="753">
        <v>0.999</v>
      </c>
      <c r="IK13" s="753">
        <v>0.999</v>
      </c>
      <c r="IL13" s="753">
        <v>0.998</v>
      </c>
      <c r="IM13" s="753">
        <v>0.997</v>
      </c>
      <c r="IN13" s="753">
        <v>0.995</v>
      </c>
      <c r="IO13" s="753">
        <v>0.992</v>
      </c>
      <c r="IP13" s="753">
        <v>0.985</v>
      </c>
      <c r="IQ13" s="753">
        <v>0.971</v>
      </c>
      <c r="IR13" s="753">
        <v>0.948</v>
      </c>
      <c r="IS13" s="753">
        <v>0.911</v>
      </c>
      <c r="IT13" s="753">
        <v>0.849</v>
      </c>
      <c r="IU13" s="753">
        <v>0.759</v>
      </c>
      <c r="IV13" s="753">
        <v>0.641</v>
      </c>
      <c r="IW13" s="753">
        <v>0.506</v>
      </c>
      <c r="IX13" s="753">
        <v>0.369</v>
      </c>
      <c r="IY13" s="753">
        <v>0.241</v>
      </c>
      <c r="IZ13" s="753"/>
      <c r="JA13" s="753">
        <v>0.865</v>
      </c>
      <c r="JB13" s="753">
        <v>0.908</v>
      </c>
      <c r="JC13" s="753">
        <v>0.96</v>
      </c>
      <c r="JD13" s="753">
        <v>0.98</v>
      </c>
      <c r="JE13" s="753">
        <v>0.998</v>
      </c>
      <c r="JF13" s="753">
        <v>0.998</v>
      </c>
      <c r="JG13" s="753">
        <v>0.998</v>
      </c>
      <c r="JH13" s="753">
        <v>0.998</v>
      </c>
      <c r="JI13" s="753">
        <v>0.998</v>
      </c>
      <c r="JJ13" s="753">
        <v>0.998</v>
      </c>
      <c r="JK13" s="753">
        <v>0.998</v>
      </c>
      <c r="JL13" s="753">
        <v>0.998</v>
      </c>
      <c r="JM13" s="753">
        <v>0.998</v>
      </c>
      <c r="JN13" s="753">
        <v>0.998</v>
      </c>
      <c r="JO13" s="753">
        <v>0.998</v>
      </c>
      <c r="JP13" s="753">
        <v>0.998</v>
      </c>
      <c r="JQ13" s="753">
        <v>0.998</v>
      </c>
      <c r="JR13" s="753">
        <v>0.998</v>
      </c>
      <c r="JS13" s="753">
        <v>0.998</v>
      </c>
      <c r="JT13" s="753">
        <v>0.998</v>
      </c>
      <c r="JU13" s="753">
        <v>0.998</v>
      </c>
      <c r="JV13" s="753">
        <v>0.996</v>
      </c>
      <c r="JW13" s="753">
        <v>0.994</v>
      </c>
      <c r="JX13" s="753">
        <v>0.99</v>
      </c>
      <c r="JY13" s="753">
        <v>0.984</v>
      </c>
      <c r="JZ13" s="753">
        <v>0.973</v>
      </c>
      <c r="KA13" s="753">
        <v>0.95</v>
      </c>
      <c r="KB13" s="753">
        <v>0.906</v>
      </c>
      <c r="KC13" s="753">
        <v>0.837</v>
      </c>
      <c r="KD13" s="753">
        <v>0.73</v>
      </c>
      <c r="KE13" s="753">
        <v>0.586</v>
      </c>
      <c r="KF13" s="753">
        <v>0.42</v>
      </c>
      <c r="KG13" s="753">
        <v>0.264</v>
      </c>
      <c r="KH13" s="753">
        <v>0.142</v>
      </c>
      <c r="KI13" s="753">
        <v>0.062</v>
      </c>
      <c r="KJ13" s="753"/>
      <c r="KK13" s="765" t="s">
        <v>281</v>
      </c>
      <c r="KL13" s="738">
        <v>64</v>
      </c>
      <c r="KM13" s="738">
        <v>226</v>
      </c>
      <c r="KN13" s="646" t="s">
        <v>282</v>
      </c>
      <c r="KO13" s="646" t="s">
        <v>349</v>
      </c>
      <c r="KP13" s="679">
        <v>618634</v>
      </c>
      <c r="KQ13" s="766" t="s">
        <v>352</v>
      </c>
      <c r="KR13" s="750" t="s">
        <v>353</v>
      </c>
      <c r="KS13" s="769" t="s">
        <v>354</v>
      </c>
      <c r="KT13" s="770" t="s">
        <v>353</v>
      </c>
      <c r="KU13" s="766" t="s">
        <v>355</v>
      </c>
      <c r="KV13" s="750">
        <v>618634</v>
      </c>
      <c r="KW13" s="771" t="s">
        <v>356</v>
      </c>
      <c r="KX13" s="750" t="s">
        <v>353</v>
      </c>
      <c r="KY13" s="769" t="s">
        <v>357</v>
      </c>
      <c r="KZ13" s="770" t="s">
        <v>353</v>
      </c>
    </row>
    <row r="14" s="628" customFormat="1" customHeight="1" spans="1:312">
      <c r="A14" s="682" t="s">
        <v>300</v>
      </c>
      <c r="B14" s="683">
        <v>10</v>
      </c>
      <c r="C14" s="684" t="s">
        <v>358</v>
      </c>
      <c r="D14" s="679">
        <v>603654</v>
      </c>
      <c r="E14" s="685">
        <v>65.44</v>
      </c>
      <c r="F14" s="685">
        <v>65.2</v>
      </c>
      <c r="G14" s="686">
        <v>0.009214</v>
      </c>
      <c r="H14" s="686">
        <v>0.009282</v>
      </c>
      <c r="I14" s="696">
        <v>1.57538</v>
      </c>
      <c r="J14" s="696">
        <v>1.58054</v>
      </c>
      <c r="K14" s="696">
        <v>1.58614</v>
      </c>
      <c r="L14" s="696">
        <v>1.59099</v>
      </c>
      <c r="M14" s="696">
        <v>1.59183</v>
      </c>
      <c r="N14" s="696">
        <v>1.59252</v>
      </c>
      <c r="O14" s="696">
        <v>1.59517</v>
      </c>
      <c r="P14" s="696">
        <v>1.59696</v>
      </c>
      <c r="Q14" s="697">
        <v>1.59858</v>
      </c>
      <c r="R14" s="697">
        <v>1.60019</v>
      </c>
      <c r="S14" s="697">
        <v>1.60064</v>
      </c>
      <c r="T14" s="701">
        <v>1.60106</v>
      </c>
      <c r="U14" s="697">
        <v>1.60292</v>
      </c>
      <c r="V14" s="697">
        <v>1.603</v>
      </c>
      <c r="W14" s="697">
        <v>1.6052</v>
      </c>
      <c r="X14" s="697">
        <v>1.6094</v>
      </c>
      <c r="Y14" s="697">
        <v>1.60992</v>
      </c>
      <c r="Z14" s="697">
        <v>1.61435</v>
      </c>
      <c r="AA14" s="697">
        <v>1.61845</v>
      </c>
      <c r="AB14" s="697">
        <v>1.62538</v>
      </c>
      <c r="AC14" s="704">
        <v>2.53403512</v>
      </c>
      <c r="AD14" s="705">
        <v>-0.0100840331</v>
      </c>
      <c r="AE14" s="704">
        <v>0.0124087634</v>
      </c>
      <c r="AF14" s="704">
        <v>0.000477201613</v>
      </c>
      <c r="AG14" s="705">
        <v>-4.35207709e-5</v>
      </c>
      <c r="AH14" s="705">
        <v>2.3805074e-6</v>
      </c>
      <c r="AI14" s="709">
        <v>0.305</v>
      </c>
      <c r="AJ14" s="709">
        <v>0.2388</v>
      </c>
      <c r="AK14" s="709">
        <v>0.5372</v>
      </c>
      <c r="AL14" s="709">
        <v>0.2543</v>
      </c>
      <c r="AM14" s="709">
        <v>0.237</v>
      </c>
      <c r="AN14" s="709">
        <v>0.4773</v>
      </c>
      <c r="AO14" s="709">
        <v>0.0018</v>
      </c>
      <c r="AP14" s="709">
        <v>0.0023</v>
      </c>
      <c r="AQ14" s="709">
        <v>-0.0248</v>
      </c>
      <c r="AR14" s="709">
        <v>-0.0126</v>
      </c>
      <c r="AS14" s="714">
        <v>-3.8</v>
      </c>
      <c r="AT14" s="716">
        <v>-3.7</v>
      </c>
      <c r="AU14" s="716">
        <v>-3.7</v>
      </c>
      <c r="AV14" s="716">
        <v>-3.7</v>
      </c>
      <c r="AW14" s="716">
        <v>-3.7</v>
      </c>
      <c r="AX14" s="716">
        <v>-3.7</v>
      </c>
      <c r="AY14" s="716">
        <v>-3.6</v>
      </c>
      <c r="AZ14" s="716">
        <v>-3.6</v>
      </c>
      <c r="BA14" s="716">
        <v>-3.6</v>
      </c>
      <c r="BB14" s="716">
        <v>-3.7</v>
      </c>
      <c r="BC14" s="716">
        <v>-3.6</v>
      </c>
      <c r="BD14" s="716">
        <v>-3.6</v>
      </c>
      <c r="BE14" s="716">
        <v>-3.5</v>
      </c>
      <c r="BF14" s="716">
        <v>-3.5</v>
      </c>
      <c r="BG14" s="716">
        <v>-3.5</v>
      </c>
      <c r="BH14" s="716">
        <v>-3.4</v>
      </c>
      <c r="BI14" s="716">
        <v>-3.5</v>
      </c>
      <c r="BJ14" s="716">
        <v>-3.5</v>
      </c>
      <c r="BK14" s="716">
        <v>-3.6</v>
      </c>
      <c r="BL14" s="716">
        <v>-3.6</v>
      </c>
      <c r="BM14" s="716">
        <v>-3.5</v>
      </c>
      <c r="BN14" s="716">
        <v>-3.6</v>
      </c>
      <c r="BO14" s="716">
        <v>-3.5</v>
      </c>
      <c r="BP14" s="716">
        <v>-3.4</v>
      </c>
      <c r="BQ14" s="716">
        <v>-3.5</v>
      </c>
      <c r="BR14" s="716">
        <v>-3.5</v>
      </c>
      <c r="BS14" s="716">
        <v>-3.5</v>
      </c>
      <c r="BT14" s="716">
        <v>-3.5</v>
      </c>
      <c r="BU14" s="716">
        <v>-3.5</v>
      </c>
      <c r="BV14" s="716">
        <v>-3.5</v>
      </c>
      <c r="BW14" s="716">
        <v>-3.4</v>
      </c>
      <c r="BX14" s="716">
        <v>-3.4</v>
      </c>
      <c r="BY14" s="716">
        <v>-3.4</v>
      </c>
      <c r="BZ14" s="716">
        <v>-3.5</v>
      </c>
      <c r="CA14" s="716">
        <v>-3.4</v>
      </c>
      <c r="CB14" s="716">
        <v>-3.5</v>
      </c>
      <c r="CC14" s="716">
        <v>-3.5</v>
      </c>
      <c r="CD14" s="716">
        <v>-3.5</v>
      </c>
      <c r="CE14" s="716">
        <v>-3.5</v>
      </c>
      <c r="CF14" s="716">
        <v>-3.4</v>
      </c>
      <c r="CG14" s="716">
        <v>-3.4</v>
      </c>
      <c r="CH14" s="716">
        <v>-3.4</v>
      </c>
      <c r="CI14" s="716">
        <v>-3.4</v>
      </c>
      <c r="CJ14" s="716">
        <v>-3.4</v>
      </c>
      <c r="CK14" s="716">
        <v>-3.5</v>
      </c>
      <c r="CL14" s="716">
        <v>-3.4</v>
      </c>
      <c r="CM14" s="716">
        <v>-3.5</v>
      </c>
      <c r="CN14" s="716">
        <v>-3.5</v>
      </c>
      <c r="CO14" s="716">
        <v>-3.5</v>
      </c>
      <c r="CP14" s="716">
        <v>-3.5</v>
      </c>
      <c r="CQ14" s="716">
        <v>-3.4</v>
      </c>
      <c r="CR14" s="716">
        <v>-3.4</v>
      </c>
      <c r="CS14" s="716">
        <v>-3.4</v>
      </c>
      <c r="CT14" s="716">
        <v>-3.4</v>
      </c>
      <c r="CU14" s="716">
        <v>-3.4</v>
      </c>
      <c r="CV14" s="716">
        <v>-3.4</v>
      </c>
      <c r="CW14" s="719">
        <v>-3.3</v>
      </c>
      <c r="CX14" s="719">
        <v>-3.3</v>
      </c>
      <c r="CY14" s="719">
        <v>-3.4</v>
      </c>
      <c r="CZ14" s="719">
        <v>-3.4</v>
      </c>
      <c r="DA14" s="719">
        <v>-3.4</v>
      </c>
      <c r="DB14" s="719">
        <v>-3.3</v>
      </c>
      <c r="DC14" s="716">
        <v>-3.3</v>
      </c>
      <c r="DD14" s="716">
        <v>-3.2</v>
      </c>
      <c r="DE14" s="716">
        <v>-3.2</v>
      </c>
      <c r="DF14" s="716">
        <v>-3.3</v>
      </c>
      <c r="DG14" s="716">
        <v>-3.3</v>
      </c>
      <c r="DH14" s="719">
        <v>-3.3</v>
      </c>
      <c r="DI14" s="719">
        <v>-3.3</v>
      </c>
      <c r="DJ14" s="719">
        <v>-3.4</v>
      </c>
      <c r="DK14" s="719">
        <v>-3.4</v>
      </c>
      <c r="DL14" s="719">
        <v>-3.4</v>
      </c>
      <c r="DM14" s="719">
        <v>-3.3</v>
      </c>
      <c r="DN14" s="716">
        <v>-3.1</v>
      </c>
      <c r="DO14" s="716">
        <v>-3</v>
      </c>
      <c r="DP14" s="716">
        <v>-3.1</v>
      </c>
      <c r="DQ14" s="716">
        <v>-3.1</v>
      </c>
      <c r="DR14" s="716">
        <v>-3.2</v>
      </c>
      <c r="DS14" s="719">
        <v>-3.1</v>
      </c>
      <c r="DT14" s="719">
        <v>-3.1</v>
      </c>
      <c r="DU14" s="719">
        <v>-3.2</v>
      </c>
      <c r="DV14" s="719">
        <v>-3.2</v>
      </c>
      <c r="DW14" s="719">
        <v>-3.2</v>
      </c>
      <c r="DX14" s="719">
        <v>-3</v>
      </c>
      <c r="DY14" s="716">
        <v>-2.9</v>
      </c>
      <c r="DZ14" s="716">
        <v>-2.8</v>
      </c>
      <c r="EA14" s="716">
        <v>-2.8</v>
      </c>
      <c r="EB14" s="716">
        <v>-2.8</v>
      </c>
      <c r="EC14" s="716">
        <v>-3.1</v>
      </c>
      <c r="ED14" s="719">
        <v>-3.1</v>
      </c>
      <c r="EE14" s="719">
        <v>-3.1</v>
      </c>
      <c r="EF14" s="719">
        <v>-3.2</v>
      </c>
      <c r="EG14" s="719">
        <v>-3.2</v>
      </c>
      <c r="EH14" s="719">
        <v>-3.2</v>
      </c>
      <c r="EI14" s="719">
        <v>-3</v>
      </c>
      <c r="EJ14" s="716">
        <v>-2.8</v>
      </c>
      <c r="EK14" s="716">
        <v>-2.7</v>
      </c>
      <c r="EL14" s="716">
        <v>-2.7</v>
      </c>
      <c r="EM14" s="716">
        <v>-2.7</v>
      </c>
      <c r="EN14" s="716">
        <v>-2.9</v>
      </c>
      <c r="EO14" s="719">
        <v>-2.8</v>
      </c>
      <c r="EP14" s="719">
        <v>-2.8</v>
      </c>
      <c r="EQ14" s="719">
        <v>-2.9</v>
      </c>
      <c r="ER14" s="719">
        <v>-2.9</v>
      </c>
      <c r="ES14" s="719">
        <v>-2.8</v>
      </c>
      <c r="ET14" s="719">
        <v>-2.8</v>
      </c>
      <c r="EU14" s="716">
        <v>-2.7</v>
      </c>
      <c r="EV14" s="716">
        <v>-2.6</v>
      </c>
      <c r="EW14" s="716">
        <v>-2.6</v>
      </c>
      <c r="EX14" s="716">
        <v>-2.6</v>
      </c>
      <c r="EY14" s="716">
        <v>-6.1</v>
      </c>
      <c r="EZ14" s="719">
        <v>-5.6</v>
      </c>
      <c r="FA14" s="719">
        <v>-5.3</v>
      </c>
      <c r="FB14" s="719">
        <v>-5.1</v>
      </c>
      <c r="FC14" s="719">
        <v>-4.9</v>
      </c>
      <c r="FD14" s="719">
        <v>-4.7</v>
      </c>
      <c r="FE14" s="719">
        <v>-4.5</v>
      </c>
      <c r="FF14" s="716">
        <v>-4.4</v>
      </c>
      <c r="FG14" s="716">
        <v>-4.3</v>
      </c>
      <c r="FH14" s="716">
        <v>-4.2</v>
      </c>
      <c r="FI14" s="716">
        <v>-4.1</v>
      </c>
      <c r="FJ14" s="723">
        <v>-1.1e-5</v>
      </c>
      <c r="FK14" s="724">
        <v>1.08e-8</v>
      </c>
      <c r="FL14" s="724">
        <v>-2.38e-11</v>
      </c>
      <c r="FM14" s="724">
        <v>2.86e-7</v>
      </c>
      <c r="FN14" s="724">
        <v>3.72e-10</v>
      </c>
      <c r="FO14" s="724">
        <v>0.246</v>
      </c>
      <c r="FP14" s="729">
        <v>1</v>
      </c>
      <c r="FQ14" s="729">
        <v>1</v>
      </c>
      <c r="FR14" s="729">
        <v>1</v>
      </c>
      <c r="FS14" s="729">
        <v>4</v>
      </c>
      <c r="FT14" s="729">
        <v>2</v>
      </c>
      <c r="FU14" s="729">
        <v>2</v>
      </c>
      <c r="FV14" s="681">
        <v>1</v>
      </c>
      <c r="FW14" s="729"/>
      <c r="FX14" s="729"/>
      <c r="FY14" s="729"/>
      <c r="FZ14" s="734">
        <v>604</v>
      </c>
      <c r="GA14" s="734">
        <v>639</v>
      </c>
      <c r="GB14" s="681">
        <v>561</v>
      </c>
      <c r="GC14" s="681">
        <v>588</v>
      </c>
      <c r="GD14" s="747">
        <v>0.48</v>
      </c>
      <c r="GE14" s="729"/>
      <c r="GF14" s="681">
        <v>93</v>
      </c>
      <c r="GG14" s="681">
        <v>110</v>
      </c>
      <c r="GH14" s="681">
        <v>73</v>
      </c>
      <c r="GI14" s="681">
        <v>76</v>
      </c>
      <c r="GJ14" s="681">
        <v>77</v>
      </c>
      <c r="GK14" s="681">
        <v>79</v>
      </c>
      <c r="GL14" s="681">
        <v>81</v>
      </c>
      <c r="GM14" s="681">
        <v>81</v>
      </c>
      <c r="GN14" s="681">
        <v>82</v>
      </c>
      <c r="GO14" s="681">
        <v>82</v>
      </c>
      <c r="GP14" s="681">
        <v>83</v>
      </c>
      <c r="GQ14" s="681">
        <v>83</v>
      </c>
      <c r="GR14" s="681">
        <v>84</v>
      </c>
      <c r="GS14" s="681">
        <v>84</v>
      </c>
      <c r="GT14" s="681">
        <v>84</v>
      </c>
      <c r="GU14" s="681">
        <v>85</v>
      </c>
      <c r="GV14" s="681">
        <v>86</v>
      </c>
      <c r="GW14" s="681">
        <v>87</v>
      </c>
      <c r="GX14" s="681">
        <v>87</v>
      </c>
      <c r="GY14" s="681">
        <v>89</v>
      </c>
      <c r="GZ14" s="681">
        <v>90</v>
      </c>
      <c r="HA14" s="681">
        <v>91</v>
      </c>
      <c r="HB14" s="681">
        <v>92</v>
      </c>
      <c r="HC14" s="681"/>
      <c r="HD14" s="750">
        <v>118</v>
      </c>
      <c r="HE14" s="681"/>
      <c r="HF14" s="681">
        <v>361</v>
      </c>
      <c r="HG14" s="738">
        <v>351</v>
      </c>
      <c r="HH14" s="714">
        <v>64.8</v>
      </c>
      <c r="HI14" s="714">
        <v>24.7</v>
      </c>
      <c r="HJ14" s="753">
        <v>0.309</v>
      </c>
      <c r="HK14" s="681">
        <v>42</v>
      </c>
      <c r="HL14" s="685">
        <v>1.05</v>
      </c>
      <c r="HM14" s="747">
        <v>3.64</v>
      </c>
      <c r="HN14" s="729" t="s">
        <v>359</v>
      </c>
      <c r="HO14" s="729" t="s">
        <v>360</v>
      </c>
      <c r="HP14" s="714">
        <v>-2.6</v>
      </c>
      <c r="HQ14" s="753">
        <v>0.804</v>
      </c>
      <c r="HR14" s="753">
        <v>0.854</v>
      </c>
      <c r="HS14" s="753">
        <v>0.931</v>
      </c>
      <c r="HT14" s="753">
        <v>0.967</v>
      </c>
      <c r="HU14" s="753">
        <v>0.99</v>
      </c>
      <c r="HV14" s="753">
        <v>0.995</v>
      </c>
      <c r="HW14" s="753">
        <v>0.999</v>
      </c>
      <c r="HX14" s="753">
        <v>0.999</v>
      </c>
      <c r="HY14" s="753">
        <v>0.999</v>
      </c>
      <c r="HZ14" s="753">
        <v>0.999</v>
      </c>
      <c r="IA14" s="753">
        <v>0.999</v>
      </c>
      <c r="IB14" s="753">
        <v>0.999</v>
      </c>
      <c r="IC14" s="753">
        <v>0.999</v>
      </c>
      <c r="ID14" s="753">
        <v>0.999</v>
      </c>
      <c r="IE14" s="753">
        <v>0.999</v>
      </c>
      <c r="IF14" s="753">
        <v>0.999</v>
      </c>
      <c r="IG14" s="753">
        <v>0.999</v>
      </c>
      <c r="IH14" s="753">
        <v>0.999</v>
      </c>
      <c r="II14" s="753">
        <v>0.999</v>
      </c>
      <c r="IJ14" s="753">
        <v>0.999</v>
      </c>
      <c r="IK14" s="753">
        <v>0.999</v>
      </c>
      <c r="IL14" s="753">
        <v>0.999</v>
      </c>
      <c r="IM14" s="753">
        <v>0.997</v>
      </c>
      <c r="IN14" s="753">
        <v>0.994</v>
      </c>
      <c r="IO14" s="753">
        <v>0.99</v>
      </c>
      <c r="IP14" s="753">
        <v>0.984</v>
      </c>
      <c r="IQ14" s="753">
        <v>0.973</v>
      </c>
      <c r="IR14" s="753">
        <v>0.961</v>
      </c>
      <c r="IS14" s="753">
        <v>0.941</v>
      </c>
      <c r="IT14" s="753">
        <v>0.907</v>
      </c>
      <c r="IU14" s="753">
        <v>0.848</v>
      </c>
      <c r="IV14" s="753">
        <v>0.754</v>
      </c>
      <c r="IW14" s="753">
        <v>0.62</v>
      </c>
      <c r="IX14" s="753">
        <v>0.457</v>
      </c>
      <c r="IY14" s="753">
        <v>0.286</v>
      </c>
      <c r="IZ14" s="753">
        <v>0.143</v>
      </c>
      <c r="JA14" s="753">
        <v>0.646</v>
      </c>
      <c r="JB14" s="753">
        <v>0.73</v>
      </c>
      <c r="JC14" s="753">
        <v>0.867</v>
      </c>
      <c r="JD14" s="753">
        <v>0.935</v>
      </c>
      <c r="JE14" s="753">
        <v>0.98</v>
      </c>
      <c r="JF14" s="753">
        <v>0.99</v>
      </c>
      <c r="JG14" s="753">
        <v>0.998</v>
      </c>
      <c r="JH14" s="753">
        <v>0.998</v>
      </c>
      <c r="JI14" s="753">
        <v>0.998</v>
      </c>
      <c r="JJ14" s="753">
        <v>0.998</v>
      </c>
      <c r="JK14" s="753">
        <v>0.998</v>
      </c>
      <c r="JL14" s="753">
        <v>0.998</v>
      </c>
      <c r="JM14" s="753">
        <v>0.998</v>
      </c>
      <c r="JN14" s="753">
        <v>0.998</v>
      </c>
      <c r="JO14" s="753">
        <v>0.998</v>
      </c>
      <c r="JP14" s="753">
        <v>0.998</v>
      </c>
      <c r="JQ14" s="753">
        <v>0.998</v>
      </c>
      <c r="JR14" s="753">
        <v>0.998</v>
      </c>
      <c r="JS14" s="753">
        <v>0.998</v>
      </c>
      <c r="JT14" s="753">
        <v>0.998</v>
      </c>
      <c r="JU14" s="753">
        <v>0.998</v>
      </c>
      <c r="JV14" s="753">
        <v>0.998</v>
      </c>
      <c r="JW14" s="753">
        <v>0.994</v>
      </c>
      <c r="JX14" s="753">
        <v>0.988</v>
      </c>
      <c r="JY14" s="753">
        <v>0.981</v>
      </c>
      <c r="JZ14" s="753">
        <v>0.974</v>
      </c>
      <c r="KA14" s="753">
        <v>0.961</v>
      </c>
      <c r="KB14" s="753">
        <v>0.936</v>
      </c>
      <c r="KC14" s="753">
        <v>0.899</v>
      </c>
      <c r="KD14" s="753">
        <v>0.835</v>
      </c>
      <c r="KE14" s="753">
        <v>0.728</v>
      </c>
      <c r="KF14" s="753">
        <v>0.575</v>
      </c>
      <c r="KG14" s="753">
        <v>0.39</v>
      </c>
      <c r="KH14" s="753">
        <v>0.212</v>
      </c>
      <c r="KI14" s="753">
        <v>0.084</v>
      </c>
      <c r="KJ14" s="753">
        <v>0.022</v>
      </c>
      <c r="KK14" s="765" t="s">
        <v>281</v>
      </c>
      <c r="KL14" s="738">
        <v>77</v>
      </c>
      <c r="KM14" s="738">
        <v>280</v>
      </c>
      <c r="KN14" s="646" t="s">
        <v>282</v>
      </c>
      <c r="KO14" s="646" t="s">
        <v>358</v>
      </c>
      <c r="KP14" s="679">
        <v>603654</v>
      </c>
      <c r="KQ14" s="766" t="s">
        <v>361</v>
      </c>
      <c r="KR14" s="750" t="s">
        <v>362</v>
      </c>
      <c r="KS14" s="769" t="s">
        <v>363</v>
      </c>
      <c r="KT14" s="770" t="s">
        <v>362</v>
      </c>
      <c r="KU14" s="766"/>
      <c r="KV14" s="750"/>
      <c r="KW14" s="771" t="s">
        <v>364</v>
      </c>
      <c r="KX14" s="750" t="s">
        <v>365</v>
      </c>
      <c r="KY14" s="769"/>
      <c r="KZ14" s="770"/>
    </row>
    <row r="15" s="628" customFormat="1" customHeight="1" spans="1:312">
      <c r="A15" s="682" t="s">
        <v>300</v>
      </c>
      <c r="B15" s="683">
        <v>11</v>
      </c>
      <c r="C15" s="684" t="s">
        <v>366</v>
      </c>
      <c r="D15" s="679">
        <v>620639</v>
      </c>
      <c r="E15" s="685">
        <v>63.88</v>
      </c>
      <c r="F15" s="685">
        <v>63.58</v>
      </c>
      <c r="G15" s="686">
        <v>0.009705</v>
      </c>
      <c r="H15" s="686">
        <v>0.009787</v>
      </c>
      <c r="I15" s="696">
        <v>1.59263</v>
      </c>
      <c r="J15" s="696">
        <v>1.5975</v>
      </c>
      <c r="K15" s="696">
        <v>1.60283</v>
      </c>
      <c r="L15" s="696">
        <v>1.60756</v>
      </c>
      <c r="M15" s="696">
        <v>1.60841</v>
      </c>
      <c r="N15" s="696">
        <v>1.60912</v>
      </c>
      <c r="O15" s="696">
        <v>1.61182</v>
      </c>
      <c r="P15" s="696">
        <v>1.61366</v>
      </c>
      <c r="Q15" s="697">
        <v>1.61534</v>
      </c>
      <c r="R15" s="697">
        <v>1.61701</v>
      </c>
      <c r="S15" s="697">
        <v>1.61748</v>
      </c>
      <c r="T15" s="701">
        <v>1.61792</v>
      </c>
      <c r="U15" s="697">
        <v>1.61988</v>
      </c>
      <c r="V15" s="697">
        <v>1.61997</v>
      </c>
      <c r="W15" s="697">
        <v>1.62228</v>
      </c>
      <c r="X15" s="697">
        <v>1.62672</v>
      </c>
      <c r="Y15" s="697">
        <v>1.62727</v>
      </c>
      <c r="Z15" s="697">
        <v>1.63198</v>
      </c>
      <c r="AA15" s="697">
        <v>1.63633</v>
      </c>
      <c r="AB15" s="697">
        <v>1.64372</v>
      </c>
      <c r="AC15" s="704">
        <v>2.58545747</v>
      </c>
      <c r="AD15" s="704">
        <v>-0.00952904974</v>
      </c>
      <c r="AE15" s="704">
        <v>0.0136602628</v>
      </c>
      <c r="AF15" s="704">
        <v>0.000341551059</v>
      </c>
      <c r="AG15" s="704">
        <v>-1.52997403e-5</v>
      </c>
      <c r="AH15" s="704">
        <v>7.30579296e-7</v>
      </c>
      <c r="AI15" s="709">
        <v>0.305</v>
      </c>
      <c r="AJ15" s="709">
        <v>0.238</v>
      </c>
      <c r="AK15" s="709">
        <v>0.542</v>
      </c>
      <c r="AL15" s="709">
        <v>0.2544</v>
      </c>
      <c r="AM15" s="709">
        <v>0.236</v>
      </c>
      <c r="AN15" s="709">
        <v>0.4813</v>
      </c>
      <c r="AO15" s="709">
        <v>0.0026</v>
      </c>
      <c r="AP15" s="709">
        <v>0.0045</v>
      </c>
      <c r="AQ15" s="709">
        <v>-0.0367</v>
      </c>
      <c r="AR15" s="709">
        <v>-0.0189</v>
      </c>
      <c r="AS15" s="714">
        <v>-3</v>
      </c>
      <c r="AT15" s="714">
        <v>-3.1</v>
      </c>
      <c r="AU15" s="714">
        <v>-3.2</v>
      </c>
      <c r="AV15" s="714">
        <v>-3.2</v>
      </c>
      <c r="AW15" s="714">
        <v>-3.3</v>
      </c>
      <c r="AX15" s="714">
        <v>-3.4</v>
      </c>
      <c r="AY15" s="714">
        <v>-3.3</v>
      </c>
      <c r="AZ15" s="714">
        <v>-3.3</v>
      </c>
      <c r="BA15" s="714">
        <v>-3.4</v>
      </c>
      <c r="BB15" s="714">
        <v>-3.4</v>
      </c>
      <c r="BC15" s="714">
        <v>-3.5</v>
      </c>
      <c r="BD15" s="714">
        <v>-3</v>
      </c>
      <c r="BE15" s="714">
        <v>-3.1</v>
      </c>
      <c r="BF15" s="714">
        <v>-3</v>
      </c>
      <c r="BG15" s="714">
        <v>-3.2</v>
      </c>
      <c r="BH15" s="714">
        <v>-3.2</v>
      </c>
      <c r="BI15" s="714">
        <v>-3.3</v>
      </c>
      <c r="BJ15" s="714">
        <v>-3.2</v>
      </c>
      <c r="BK15" s="714">
        <v>-3.2</v>
      </c>
      <c r="BL15" s="714">
        <v>-3.3</v>
      </c>
      <c r="BM15" s="714">
        <v>-3.3</v>
      </c>
      <c r="BN15" s="714">
        <v>-3.3</v>
      </c>
      <c r="BO15" s="714">
        <v>-2.8</v>
      </c>
      <c r="BP15" s="714">
        <v>-2.9</v>
      </c>
      <c r="BQ15" s="714">
        <v>-3</v>
      </c>
      <c r="BR15" s="714">
        <v>-3</v>
      </c>
      <c r="BS15" s="714">
        <v>-3.1</v>
      </c>
      <c r="BT15" s="714">
        <v>-3.2</v>
      </c>
      <c r="BU15" s="714">
        <v>-3.1</v>
      </c>
      <c r="BV15" s="714">
        <v>-3.2</v>
      </c>
      <c r="BW15" s="714">
        <v>-3.2</v>
      </c>
      <c r="BX15" s="714">
        <v>-3.2</v>
      </c>
      <c r="BY15" s="714">
        <v>-3.3</v>
      </c>
      <c r="BZ15" s="714">
        <v>-2.8</v>
      </c>
      <c r="CA15" s="714">
        <v>-2.9</v>
      </c>
      <c r="CB15" s="714">
        <v>-3</v>
      </c>
      <c r="CC15" s="714">
        <v>-3</v>
      </c>
      <c r="CD15" s="714">
        <v>-3.1</v>
      </c>
      <c r="CE15" s="714">
        <v>-3.1</v>
      </c>
      <c r="CF15" s="714">
        <v>-3.1</v>
      </c>
      <c r="CG15" s="714">
        <v>-3.1</v>
      </c>
      <c r="CH15" s="714">
        <v>-3.2</v>
      </c>
      <c r="CI15" s="714">
        <v>-3.2</v>
      </c>
      <c r="CJ15" s="714">
        <v>-3.3</v>
      </c>
      <c r="CK15" s="714">
        <v>-2.7</v>
      </c>
      <c r="CL15" s="714">
        <v>-2.8</v>
      </c>
      <c r="CM15" s="714">
        <v>-2.9</v>
      </c>
      <c r="CN15" s="714">
        <v>-2.9</v>
      </c>
      <c r="CO15" s="714">
        <v>-3</v>
      </c>
      <c r="CP15" s="714">
        <v>-3</v>
      </c>
      <c r="CQ15" s="714">
        <v>-3</v>
      </c>
      <c r="CR15" s="714">
        <v>-3.1</v>
      </c>
      <c r="CS15" s="714">
        <v>-3.1</v>
      </c>
      <c r="CT15" s="714">
        <v>-3.2</v>
      </c>
      <c r="CU15" s="714">
        <v>-3.2</v>
      </c>
      <c r="CV15" s="714">
        <v>-2.7</v>
      </c>
      <c r="CW15" s="714">
        <v>-2.8</v>
      </c>
      <c r="CX15" s="714">
        <v>-2.8</v>
      </c>
      <c r="CY15" s="714">
        <v>-2.9</v>
      </c>
      <c r="CZ15" s="714">
        <v>-2.9</v>
      </c>
      <c r="DA15" s="714">
        <v>-3</v>
      </c>
      <c r="DB15" s="714">
        <v>-3</v>
      </c>
      <c r="DC15" s="714">
        <v>-3.1</v>
      </c>
      <c r="DD15" s="714">
        <v>-3.1</v>
      </c>
      <c r="DE15" s="714">
        <v>-3.2</v>
      </c>
      <c r="DF15" s="714">
        <v>-3.2</v>
      </c>
      <c r="DG15" s="716">
        <v>-2.5</v>
      </c>
      <c r="DH15" s="719">
        <v>-2.6</v>
      </c>
      <c r="DI15" s="719">
        <v>-2.7</v>
      </c>
      <c r="DJ15" s="719">
        <v>-2.8</v>
      </c>
      <c r="DK15" s="719">
        <v>-2.8</v>
      </c>
      <c r="DL15" s="719">
        <v>-2.8</v>
      </c>
      <c r="DM15" s="719">
        <v>-2.7</v>
      </c>
      <c r="DN15" s="716">
        <v>-2.8</v>
      </c>
      <c r="DO15" s="716">
        <v>-2.8</v>
      </c>
      <c r="DP15" s="716">
        <v>-2.9</v>
      </c>
      <c r="DQ15" s="716">
        <v>-3</v>
      </c>
      <c r="DR15" s="716">
        <v>-2.3</v>
      </c>
      <c r="DS15" s="715">
        <v>-2.3</v>
      </c>
      <c r="DT15" s="719">
        <v>-2.4</v>
      </c>
      <c r="DU15" s="719">
        <v>-2.4</v>
      </c>
      <c r="DV15" s="719">
        <v>-2.5</v>
      </c>
      <c r="DW15" s="719">
        <v>-2.5</v>
      </c>
      <c r="DX15" s="719">
        <v>-2.4</v>
      </c>
      <c r="DY15" s="716">
        <v>-2.4</v>
      </c>
      <c r="DZ15" s="716">
        <v>-2.5</v>
      </c>
      <c r="EA15" s="716">
        <v>-2.6</v>
      </c>
      <c r="EB15" s="716">
        <v>-2.7</v>
      </c>
      <c r="EC15" s="716">
        <v>-2.3</v>
      </c>
      <c r="ED15" s="715">
        <v>-2.3</v>
      </c>
      <c r="EE15" s="719">
        <v>-2.4</v>
      </c>
      <c r="EF15" s="719">
        <v>-2.4</v>
      </c>
      <c r="EG15" s="719">
        <v>-2.5</v>
      </c>
      <c r="EH15" s="719">
        <v>-2.4</v>
      </c>
      <c r="EI15" s="719">
        <v>-2.4</v>
      </c>
      <c r="EJ15" s="716">
        <v>-2.4</v>
      </c>
      <c r="EK15" s="716">
        <v>-2.5</v>
      </c>
      <c r="EL15" s="716">
        <v>-2.6</v>
      </c>
      <c r="EM15" s="716">
        <v>-2.7</v>
      </c>
      <c r="EN15" s="716">
        <v>-2</v>
      </c>
      <c r="EO15" s="719">
        <v>-2.1</v>
      </c>
      <c r="EP15" s="719">
        <v>-2.1</v>
      </c>
      <c r="EQ15" s="719">
        <v>-2.2</v>
      </c>
      <c r="ER15" s="719">
        <v>-2.2</v>
      </c>
      <c r="ES15" s="719">
        <v>-2.2</v>
      </c>
      <c r="ET15" s="719">
        <v>-2.1</v>
      </c>
      <c r="EU15" s="716">
        <v>-2.2</v>
      </c>
      <c r="EV15" s="716">
        <v>-2.2</v>
      </c>
      <c r="EW15" s="716">
        <v>-2.3</v>
      </c>
      <c r="EX15" s="716">
        <v>-2.4</v>
      </c>
      <c r="EY15" s="716">
        <v>-5.3</v>
      </c>
      <c r="EZ15" s="719">
        <v>-5</v>
      </c>
      <c r="FA15" s="719">
        <v>-4.8</v>
      </c>
      <c r="FB15" s="719">
        <v>-4.5</v>
      </c>
      <c r="FC15" s="719">
        <v>-4.4</v>
      </c>
      <c r="FD15" s="719">
        <v>-4.2</v>
      </c>
      <c r="FE15" s="719">
        <v>-4.1</v>
      </c>
      <c r="FF15" s="716">
        <v>-4.1</v>
      </c>
      <c r="FG15" s="716">
        <v>-4</v>
      </c>
      <c r="FH15" s="716">
        <v>-4</v>
      </c>
      <c r="FI15" s="716">
        <v>-3.9</v>
      </c>
      <c r="FJ15" s="723">
        <v>-1e-5</v>
      </c>
      <c r="FK15" s="723">
        <v>9.01e-9</v>
      </c>
      <c r="FL15" s="723">
        <v>-2.64e-11</v>
      </c>
      <c r="FM15" s="723">
        <v>3.58e-7</v>
      </c>
      <c r="FN15" s="723">
        <v>1.03e-10</v>
      </c>
      <c r="FO15" s="723">
        <v>0.254</v>
      </c>
      <c r="FP15" s="729">
        <v>1</v>
      </c>
      <c r="FQ15" s="729">
        <v>3</v>
      </c>
      <c r="FR15" s="729">
        <v>1</v>
      </c>
      <c r="FS15" s="729">
        <v>4</v>
      </c>
      <c r="FT15" s="729">
        <v>1</v>
      </c>
      <c r="FU15" s="729">
        <v>2</v>
      </c>
      <c r="FV15" s="681">
        <v>1</v>
      </c>
      <c r="FW15" s="729"/>
      <c r="FX15" s="729"/>
      <c r="FY15" s="729"/>
      <c r="FZ15" s="734">
        <v>568</v>
      </c>
      <c r="GA15" s="734">
        <v>594</v>
      </c>
      <c r="GB15" s="681">
        <v>515</v>
      </c>
      <c r="GC15" s="681">
        <v>555</v>
      </c>
      <c r="GD15" s="747">
        <v>0.61</v>
      </c>
      <c r="GE15" s="729"/>
      <c r="GF15" s="681">
        <v>103</v>
      </c>
      <c r="GG15" s="681">
        <v>118</v>
      </c>
      <c r="GH15" s="681">
        <v>94</v>
      </c>
      <c r="GI15" s="681">
        <v>96</v>
      </c>
      <c r="GJ15" s="681">
        <v>97</v>
      </c>
      <c r="GK15" s="681">
        <v>98</v>
      </c>
      <c r="GL15" s="681">
        <v>99</v>
      </c>
      <c r="GM15" s="681">
        <v>99</v>
      </c>
      <c r="GN15" s="681">
        <v>100</v>
      </c>
      <c r="GO15" s="681">
        <v>100</v>
      </c>
      <c r="GP15" s="681">
        <v>102</v>
      </c>
      <c r="GQ15" s="681">
        <v>102</v>
      </c>
      <c r="GR15" s="681">
        <v>103</v>
      </c>
      <c r="GS15" s="681">
        <v>103</v>
      </c>
      <c r="GT15" s="681">
        <v>104</v>
      </c>
      <c r="GU15" s="681">
        <v>104</v>
      </c>
      <c r="GV15" s="681">
        <v>105</v>
      </c>
      <c r="GW15" s="681">
        <v>105</v>
      </c>
      <c r="GX15" s="681">
        <v>106</v>
      </c>
      <c r="GY15" s="681">
        <v>107</v>
      </c>
      <c r="GZ15" s="681">
        <v>108</v>
      </c>
      <c r="HA15" s="681">
        <v>109</v>
      </c>
      <c r="HB15" s="681">
        <v>110</v>
      </c>
      <c r="HC15" s="681"/>
      <c r="HD15" s="681">
        <v>90</v>
      </c>
      <c r="HE15" s="681"/>
      <c r="HF15" s="681">
        <v>420</v>
      </c>
      <c r="HG15" s="738">
        <v>315</v>
      </c>
      <c r="HH15" s="714">
        <v>77.8</v>
      </c>
      <c r="HI15" s="714">
        <v>29.5</v>
      </c>
      <c r="HJ15" s="753">
        <v>0.317</v>
      </c>
      <c r="HK15" s="681">
        <v>38</v>
      </c>
      <c r="HL15" s="685">
        <v>1.03</v>
      </c>
      <c r="HM15" s="747">
        <v>3.52</v>
      </c>
      <c r="HN15" s="729" t="s">
        <v>367</v>
      </c>
      <c r="HO15" s="729" t="s">
        <v>368</v>
      </c>
      <c r="HP15" s="714">
        <v>-1.9</v>
      </c>
      <c r="HQ15" s="753">
        <v>0.957</v>
      </c>
      <c r="HR15" s="753">
        <v>0.979</v>
      </c>
      <c r="HS15" s="753">
        <v>0.995</v>
      </c>
      <c r="HT15" s="753">
        <v>0.999</v>
      </c>
      <c r="HU15" s="753">
        <v>0.999</v>
      </c>
      <c r="HV15" s="753">
        <v>0.999</v>
      </c>
      <c r="HW15" s="753">
        <v>0.999</v>
      </c>
      <c r="HX15" s="753">
        <v>0.999</v>
      </c>
      <c r="HY15" s="753">
        <v>0.999</v>
      </c>
      <c r="HZ15" s="753">
        <v>0.999</v>
      </c>
      <c r="IA15" s="753">
        <v>0.999</v>
      </c>
      <c r="IB15" s="753">
        <v>0.999</v>
      </c>
      <c r="IC15" s="753">
        <v>0.999</v>
      </c>
      <c r="ID15" s="753">
        <v>0.999</v>
      </c>
      <c r="IE15" s="753">
        <v>0.999</v>
      </c>
      <c r="IF15" s="753">
        <v>0.999</v>
      </c>
      <c r="IG15" s="753">
        <v>0.999</v>
      </c>
      <c r="IH15" s="753">
        <v>0.999</v>
      </c>
      <c r="II15" s="753">
        <v>0.999</v>
      </c>
      <c r="IJ15" s="753">
        <v>0.997</v>
      </c>
      <c r="IK15" s="753">
        <v>0.995</v>
      </c>
      <c r="IL15" s="753">
        <v>0.993</v>
      </c>
      <c r="IM15" s="753">
        <v>0.991</v>
      </c>
      <c r="IN15" s="753">
        <v>0.989</v>
      </c>
      <c r="IO15" s="753">
        <v>0.982</v>
      </c>
      <c r="IP15" s="753">
        <v>0.966</v>
      </c>
      <c r="IQ15" s="753">
        <v>0.943</v>
      </c>
      <c r="IR15" s="753">
        <v>0.897</v>
      </c>
      <c r="IS15" s="753">
        <v>0.821</v>
      </c>
      <c r="IT15" s="753">
        <v>0.711</v>
      </c>
      <c r="IU15" s="753">
        <v>0.577</v>
      </c>
      <c r="IV15" s="753">
        <v>0.437</v>
      </c>
      <c r="IW15" s="753">
        <v>0.32</v>
      </c>
      <c r="IX15" s="753">
        <v>0.235</v>
      </c>
      <c r="IY15" s="753"/>
      <c r="IZ15" s="753"/>
      <c r="JA15" s="753">
        <v>0.916</v>
      </c>
      <c r="JB15" s="753">
        <v>0.958</v>
      </c>
      <c r="JC15" s="753">
        <v>0.99</v>
      </c>
      <c r="JD15" s="753">
        <v>0.998</v>
      </c>
      <c r="JE15" s="753">
        <v>0.998</v>
      </c>
      <c r="JF15" s="753">
        <v>0.998</v>
      </c>
      <c r="JG15" s="753">
        <v>0.998</v>
      </c>
      <c r="JH15" s="753">
        <v>0.998</v>
      </c>
      <c r="JI15" s="753">
        <v>0.998</v>
      </c>
      <c r="JJ15" s="753">
        <v>0.998</v>
      </c>
      <c r="JK15" s="753">
        <v>0.998</v>
      </c>
      <c r="JL15" s="753">
        <v>0.998</v>
      </c>
      <c r="JM15" s="753">
        <v>0.998</v>
      </c>
      <c r="JN15" s="753">
        <v>0.998</v>
      </c>
      <c r="JO15" s="753">
        <v>0.998</v>
      </c>
      <c r="JP15" s="753">
        <v>0.998</v>
      </c>
      <c r="JQ15" s="753">
        <v>0.998</v>
      </c>
      <c r="JR15" s="753">
        <v>0.998</v>
      </c>
      <c r="JS15" s="753">
        <v>0.998</v>
      </c>
      <c r="JT15" s="753">
        <v>0.992</v>
      </c>
      <c r="JU15" s="753">
        <v>0.986</v>
      </c>
      <c r="JV15" s="753">
        <v>0.98</v>
      </c>
      <c r="JW15" s="753">
        <v>0.974</v>
      </c>
      <c r="JX15" s="753">
        <v>0.967</v>
      </c>
      <c r="JY15" s="753">
        <v>0.952</v>
      </c>
      <c r="JZ15" s="753">
        <v>0.922</v>
      </c>
      <c r="KA15" s="753">
        <v>0.871</v>
      </c>
      <c r="KB15" s="753">
        <v>0.785</v>
      </c>
      <c r="KC15" s="753">
        <v>0.655</v>
      </c>
      <c r="KD15" s="753">
        <v>0.489</v>
      </c>
      <c r="KE15" s="753">
        <v>0.32</v>
      </c>
      <c r="KF15" s="753">
        <v>0.183</v>
      </c>
      <c r="KG15" s="753">
        <v>0.097</v>
      </c>
      <c r="KH15" s="753">
        <v>0.053</v>
      </c>
      <c r="KI15" s="753"/>
      <c r="KJ15" s="753"/>
      <c r="KK15" s="765" t="s">
        <v>281</v>
      </c>
      <c r="KL15" s="738">
        <v>82</v>
      </c>
      <c r="KM15" s="738">
        <v>289</v>
      </c>
      <c r="KN15" s="646" t="s">
        <v>282</v>
      </c>
      <c r="KO15" s="646" t="s">
        <v>366</v>
      </c>
      <c r="KP15" s="679">
        <v>620639</v>
      </c>
      <c r="KQ15" s="766" t="s">
        <v>369</v>
      </c>
      <c r="KR15" s="750" t="s">
        <v>353</v>
      </c>
      <c r="KS15" s="769" t="s">
        <v>370</v>
      </c>
      <c r="KT15" s="770" t="s">
        <v>353</v>
      </c>
      <c r="KU15" s="766" t="s">
        <v>371</v>
      </c>
      <c r="KV15" s="750">
        <v>620639</v>
      </c>
      <c r="KW15" s="771" t="s">
        <v>372</v>
      </c>
      <c r="KX15" s="750" t="s">
        <v>353</v>
      </c>
      <c r="KY15" s="769" t="s">
        <v>373</v>
      </c>
      <c r="KZ15" s="770" t="s">
        <v>353</v>
      </c>
    </row>
    <row r="16" s="628" customFormat="1" customHeight="1" spans="1:312">
      <c r="A16" s="682" t="s">
        <v>374</v>
      </c>
      <c r="B16" s="683">
        <v>12</v>
      </c>
      <c r="C16" s="684" t="s">
        <v>375</v>
      </c>
      <c r="D16" s="679">
        <v>569713</v>
      </c>
      <c r="E16" s="685">
        <v>71.3</v>
      </c>
      <c r="F16" s="685">
        <v>70.9</v>
      </c>
      <c r="G16" s="686">
        <v>0.007981</v>
      </c>
      <c r="H16" s="686">
        <v>0.008053</v>
      </c>
      <c r="I16" s="696"/>
      <c r="J16" s="696"/>
      <c r="K16" s="696"/>
      <c r="L16" s="696">
        <v>1.55914</v>
      </c>
      <c r="M16" s="696">
        <v>1.55976</v>
      </c>
      <c r="N16" s="696">
        <v>1.56028</v>
      </c>
      <c r="O16" s="696">
        <v>1.5624</v>
      </c>
      <c r="P16" s="696">
        <v>1.56389</v>
      </c>
      <c r="Q16" s="696">
        <v>1.56527</v>
      </c>
      <c r="R16" s="696">
        <v>1.56665</v>
      </c>
      <c r="S16" s="696">
        <v>1.56703</v>
      </c>
      <c r="T16" s="696">
        <v>1.56739</v>
      </c>
      <c r="U16" s="696">
        <v>1.569</v>
      </c>
      <c r="V16" s="696">
        <v>1.56907</v>
      </c>
      <c r="W16" s="696">
        <v>1.57097</v>
      </c>
      <c r="X16" s="696">
        <v>1.57463</v>
      </c>
      <c r="Y16" s="696">
        <v>1.57508</v>
      </c>
      <c r="Z16" s="696">
        <v>1.57898</v>
      </c>
      <c r="AA16" s="696">
        <v>1.5826</v>
      </c>
      <c r="AB16" s="696">
        <v>1.58869</v>
      </c>
      <c r="AC16" s="704">
        <v>2.42613257</v>
      </c>
      <c r="AD16" s="705">
        <v>-0.00457004276</v>
      </c>
      <c r="AE16" s="705">
        <v>0.0139177172</v>
      </c>
      <c r="AF16" s="705">
        <v>-0.000613250165</v>
      </c>
      <c r="AG16" s="705">
        <v>0.000109104778</v>
      </c>
      <c r="AH16" s="705">
        <v>-5.55700744e-6</v>
      </c>
      <c r="AI16" s="710">
        <v>0.3032</v>
      </c>
      <c r="AJ16" s="710">
        <v>0.2381</v>
      </c>
      <c r="AK16" s="710">
        <v>0.545</v>
      </c>
      <c r="AL16" s="710">
        <v>0.2533</v>
      </c>
      <c r="AM16" s="710">
        <v>0.2359</v>
      </c>
      <c r="AN16" s="710">
        <v>0.4843</v>
      </c>
      <c r="AO16" s="710">
        <v>0.0077</v>
      </c>
      <c r="AP16" s="710">
        <v>0.0199</v>
      </c>
      <c r="AQ16" s="710">
        <v>-0.0875</v>
      </c>
      <c r="AR16" s="710">
        <v>-0.039</v>
      </c>
      <c r="AS16" s="715">
        <v>-9.4</v>
      </c>
      <c r="AT16" s="715">
        <v>-9.5</v>
      </c>
      <c r="AU16" s="715">
        <v>-9.6</v>
      </c>
      <c r="AV16" s="715">
        <v>-9.8</v>
      </c>
      <c r="AW16" s="715">
        <v>-10</v>
      </c>
      <c r="AX16" s="715">
        <v>-10.1</v>
      </c>
      <c r="AY16" s="715">
        <v>-10.3</v>
      </c>
      <c r="AZ16" s="715">
        <v>-10.5</v>
      </c>
      <c r="BA16" s="715">
        <v>-10.5</v>
      </c>
      <c r="BB16" s="715">
        <v>-10.5</v>
      </c>
      <c r="BC16" s="715">
        <v>-10.6</v>
      </c>
      <c r="BD16" s="715">
        <v>-9.2</v>
      </c>
      <c r="BE16" s="715">
        <v>-9.4</v>
      </c>
      <c r="BF16" s="715">
        <v>-9.5</v>
      </c>
      <c r="BG16" s="715">
        <v>-9.7</v>
      </c>
      <c r="BH16" s="715">
        <v>-9.9</v>
      </c>
      <c r="BI16" s="715">
        <v>-10</v>
      </c>
      <c r="BJ16" s="715">
        <v>-10.1</v>
      </c>
      <c r="BK16" s="715">
        <v>-10.3</v>
      </c>
      <c r="BL16" s="715">
        <v>-10.3</v>
      </c>
      <c r="BM16" s="715">
        <v>-10.3</v>
      </c>
      <c r="BN16" s="715">
        <v>-10.4</v>
      </c>
      <c r="BO16" s="715">
        <v>-9.1</v>
      </c>
      <c r="BP16" s="715">
        <v>-9.3</v>
      </c>
      <c r="BQ16" s="715">
        <v>-9.4</v>
      </c>
      <c r="BR16" s="715">
        <v>-9.6</v>
      </c>
      <c r="BS16" s="715">
        <v>-9.7</v>
      </c>
      <c r="BT16" s="715">
        <v>-9.9</v>
      </c>
      <c r="BU16" s="715">
        <v>-10.1</v>
      </c>
      <c r="BV16" s="715">
        <v>-10.3</v>
      </c>
      <c r="BW16" s="715">
        <v>-10.3</v>
      </c>
      <c r="BX16" s="715">
        <v>-10.3</v>
      </c>
      <c r="BY16" s="715">
        <v>-10.3</v>
      </c>
      <c r="BZ16" s="715">
        <v>-9</v>
      </c>
      <c r="CA16" s="715">
        <v>-9.2</v>
      </c>
      <c r="CB16" s="715">
        <v>-9.3</v>
      </c>
      <c r="CC16" s="715">
        <v>-9.5</v>
      </c>
      <c r="CD16" s="715">
        <v>-9.6</v>
      </c>
      <c r="CE16" s="715">
        <v>-9.9</v>
      </c>
      <c r="CF16" s="715">
        <v>-9.9</v>
      </c>
      <c r="CG16" s="715">
        <v>-10.1</v>
      </c>
      <c r="CH16" s="715">
        <v>-10.2</v>
      </c>
      <c r="CI16" s="715">
        <v>-10.3</v>
      </c>
      <c r="CJ16" s="715">
        <v>-10.3</v>
      </c>
      <c r="CK16" s="715">
        <v>-8.9</v>
      </c>
      <c r="CL16" s="715">
        <v>-9.1</v>
      </c>
      <c r="CM16" s="715">
        <v>-9.2</v>
      </c>
      <c r="CN16" s="715">
        <v>-9.4</v>
      </c>
      <c r="CO16" s="715">
        <v>-9.6</v>
      </c>
      <c r="CP16" s="715">
        <v>-9.8</v>
      </c>
      <c r="CQ16" s="715">
        <v>-9.8</v>
      </c>
      <c r="CR16" s="715">
        <v>-10</v>
      </c>
      <c r="CS16" s="715">
        <v>-10.1</v>
      </c>
      <c r="CT16" s="715">
        <v>-10.2</v>
      </c>
      <c r="CU16" s="715">
        <v>-10.3</v>
      </c>
      <c r="CV16" s="715">
        <v>-8.8</v>
      </c>
      <c r="CW16" s="715">
        <v>-9</v>
      </c>
      <c r="CX16" s="715">
        <v>-9.1</v>
      </c>
      <c r="CY16" s="715">
        <v>-9.3</v>
      </c>
      <c r="CZ16" s="715">
        <v>-9.5</v>
      </c>
      <c r="DA16" s="715">
        <v>-9.7</v>
      </c>
      <c r="DB16" s="715">
        <v>-9.8</v>
      </c>
      <c r="DC16" s="715">
        <v>-9.9</v>
      </c>
      <c r="DD16" s="715">
        <v>-9.9</v>
      </c>
      <c r="DE16" s="715">
        <v>-10.1</v>
      </c>
      <c r="DF16" s="715">
        <v>-10.4</v>
      </c>
      <c r="DG16" s="715">
        <v>-8.4</v>
      </c>
      <c r="DH16" s="715">
        <v>-8.8</v>
      </c>
      <c r="DI16" s="715">
        <v>-8.9</v>
      </c>
      <c r="DJ16" s="715">
        <v>-9.2</v>
      </c>
      <c r="DK16" s="715">
        <v>-9.4</v>
      </c>
      <c r="DL16" s="715">
        <v>-9.7</v>
      </c>
      <c r="DM16" s="715">
        <v>-9.8</v>
      </c>
      <c r="DN16" s="715">
        <v>-9.8</v>
      </c>
      <c r="DO16" s="715">
        <v>-9.9</v>
      </c>
      <c r="DP16" s="715">
        <v>-10</v>
      </c>
      <c r="DQ16" s="715">
        <v>-10.3</v>
      </c>
      <c r="DR16" s="715">
        <v>-8.2</v>
      </c>
      <c r="DS16" s="715">
        <v>-8.5</v>
      </c>
      <c r="DT16" s="715">
        <v>-8.8</v>
      </c>
      <c r="DU16" s="715">
        <v>-8.9</v>
      </c>
      <c r="DV16" s="715">
        <v>-9.3</v>
      </c>
      <c r="DW16" s="715">
        <v>-9.5</v>
      </c>
      <c r="DX16" s="715">
        <v>-9.6</v>
      </c>
      <c r="DY16" s="715">
        <v>-9.8</v>
      </c>
      <c r="DZ16" s="715">
        <v>-10</v>
      </c>
      <c r="EA16" s="715">
        <v>-10.1</v>
      </c>
      <c r="EB16" s="715">
        <v>-10.1</v>
      </c>
      <c r="EC16" s="715">
        <v>-8.1</v>
      </c>
      <c r="ED16" s="715">
        <v>-8.3</v>
      </c>
      <c r="EE16" s="715">
        <v>-8.6</v>
      </c>
      <c r="EF16" s="715">
        <v>-8.9</v>
      </c>
      <c r="EG16" s="715">
        <v>-9.2</v>
      </c>
      <c r="EH16" s="715">
        <v>-9.4</v>
      </c>
      <c r="EI16" s="715">
        <v>-9.5</v>
      </c>
      <c r="EJ16" s="715">
        <v>-9.4</v>
      </c>
      <c r="EK16" s="715">
        <v>-9.7</v>
      </c>
      <c r="EL16" s="715">
        <v>-9.8</v>
      </c>
      <c r="EM16" s="715">
        <v>-10</v>
      </c>
      <c r="EN16" s="715">
        <v>-7.9</v>
      </c>
      <c r="EO16" s="715">
        <v>-8.3</v>
      </c>
      <c r="EP16" s="715">
        <v>-8.6</v>
      </c>
      <c r="EQ16" s="715">
        <v>-8.9</v>
      </c>
      <c r="ER16" s="715">
        <v>-9.1</v>
      </c>
      <c r="ES16" s="715">
        <v>-9.3</v>
      </c>
      <c r="ET16" s="715">
        <v>-9.4</v>
      </c>
      <c r="EU16" s="715">
        <v>-9.4</v>
      </c>
      <c r="EV16" s="715">
        <v>-9.6</v>
      </c>
      <c r="EW16" s="715">
        <v>-9.7</v>
      </c>
      <c r="EX16" s="715">
        <v>-9.7</v>
      </c>
      <c r="EY16" s="715">
        <v>-11.4</v>
      </c>
      <c r="EZ16" s="715">
        <v>-11.2</v>
      </c>
      <c r="FA16" s="715">
        <v>-11</v>
      </c>
      <c r="FB16" s="715">
        <v>-11</v>
      </c>
      <c r="FC16" s="715">
        <v>-11</v>
      </c>
      <c r="FD16" s="715">
        <v>-11</v>
      </c>
      <c r="FE16" s="715">
        <v>-10.9</v>
      </c>
      <c r="FF16" s="715">
        <v>-10.9</v>
      </c>
      <c r="FG16" s="715">
        <v>-11</v>
      </c>
      <c r="FH16" s="715">
        <v>-11</v>
      </c>
      <c r="FI16" s="715">
        <v>-11</v>
      </c>
      <c r="FJ16" s="723">
        <v>-2.55e-5</v>
      </c>
      <c r="FK16" s="723">
        <v>4.39e-9</v>
      </c>
      <c r="FL16" s="723">
        <v>-1.28e-11</v>
      </c>
      <c r="FM16" s="723">
        <v>6.7e-7</v>
      </c>
      <c r="FN16" s="723">
        <v>-7.7e-10</v>
      </c>
      <c r="FO16" s="723">
        <v>3.16e-8</v>
      </c>
      <c r="FP16" s="646">
        <v>1</v>
      </c>
      <c r="FQ16" s="646">
        <v>1</v>
      </c>
      <c r="FR16" s="646">
        <v>1</v>
      </c>
      <c r="FS16" s="646">
        <v>1</v>
      </c>
      <c r="FT16" s="646">
        <v>1</v>
      </c>
      <c r="FU16" s="646">
        <v>2</v>
      </c>
      <c r="FV16" s="681">
        <v>1</v>
      </c>
      <c r="FW16" s="646"/>
      <c r="FX16" s="646"/>
      <c r="FY16" s="646"/>
      <c r="FZ16" s="737">
        <v>483</v>
      </c>
      <c r="GA16" s="737">
        <v>514</v>
      </c>
      <c r="GB16" s="738">
        <v>442</v>
      </c>
      <c r="GC16" s="738">
        <v>463</v>
      </c>
      <c r="GD16" s="685">
        <v>0.46</v>
      </c>
      <c r="GE16" s="646"/>
      <c r="GF16" s="738">
        <v>126</v>
      </c>
      <c r="GG16" s="681">
        <v>152</v>
      </c>
      <c r="GH16" s="738">
        <v>118</v>
      </c>
      <c r="GI16" s="738">
        <v>119</v>
      </c>
      <c r="GJ16" s="738">
        <v>120</v>
      </c>
      <c r="GK16" s="738">
        <v>121</v>
      </c>
      <c r="GL16" s="738">
        <v>124</v>
      </c>
      <c r="GM16" s="738">
        <v>124</v>
      </c>
      <c r="GN16" s="738">
        <v>126</v>
      </c>
      <c r="GO16" s="738">
        <v>128</v>
      </c>
      <c r="GP16" s="738">
        <v>129</v>
      </c>
      <c r="GQ16" s="738">
        <v>131</v>
      </c>
      <c r="GR16" s="738">
        <v>132</v>
      </c>
      <c r="GS16" s="738">
        <v>132</v>
      </c>
      <c r="GT16" s="738">
        <v>134</v>
      </c>
      <c r="GU16" s="738">
        <v>135</v>
      </c>
      <c r="GV16" s="738">
        <v>137</v>
      </c>
      <c r="GW16" s="738">
        <v>138</v>
      </c>
      <c r="GX16" s="738">
        <v>140</v>
      </c>
      <c r="GY16" s="738">
        <v>141</v>
      </c>
      <c r="GZ16" s="738">
        <v>144</v>
      </c>
      <c r="HA16" s="738">
        <v>147</v>
      </c>
      <c r="HB16" s="738">
        <v>149</v>
      </c>
      <c r="HC16" s="738"/>
      <c r="HD16" s="738">
        <v>65</v>
      </c>
      <c r="HE16" s="738"/>
      <c r="HF16" s="738">
        <v>359</v>
      </c>
      <c r="HG16" s="738">
        <v>435</v>
      </c>
      <c r="HH16" s="714">
        <v>65.5</v>
      </c>
      <c r="HI16" s="714">
        <v>25</v>
      </c>
      <c r="HJ16" s="754">
        <v>0.313</v>
      </c>
      <c r="HK16" s="738"/>
      <c r="HL16" s="685">
        <v>0.23</v>
      </c>
      <c r="HM16" s="747">
        <v>4.27</v>
      </c>
      <c r="HN16" s="646" t="s">
        <v>376</v>
      </c>
      <c r="HO16" s="646" t="s">
        <v>377</v>
      </c>
      <c r="HP16" s="715">
        <v>-1.9</v>
      </c>
      <c r="HQ16" s="754">
        <v>0.999</v>
      </c>
      <c r="HR16" s="754">
        <v>0.999</v>
      </c>
      <c r="HS16" s="754">
        <v>0.999</v>
      </c>
      <c r="HT16" s="754">
        <v>0.999</v>
      </c>
      <c r="HU16" s="754">
        <v>0.999</v>
      </c>
      <c r="HV16" s="754">
        <v>0.999</v>
      </c>
      <c r="HW16" s="754">
        <v>0.999</v>
      </c>
      <c r="HX16" s="754">
        <v>0.999</v>
      </c>
      <c r="HY16" s="754">
        <v>0.999</v>
      </c>
      <c r="HZ16" s="754">
        <v>0.999</v>
      </c>
      <c r="IA16" s="754">
        <v>0.999</v>
      </c>
      <c r="IB16" s="754">
        <v>0.999</v>
      </c>
      <c r="IC16" s="754">
        <v>0.999</v>
      </c>
      <c r="ID16" s="754">
        <v>0.999</v>
      </c>
      <c r="IE16" s="754">
        <v>0.999</v>
      </c>
      <c r="IF16" s="754">
        <v>0.999</v>
      </c>
      <c r="IG16" s="754">
        <v>0.999</v>
      </c>
      <c r="IH16" s="754">
        <v>0.999</v>
      </c>
      <c r="II16" s="754">
        <v>0.999</v>
      </c>
      <c r="IJ16" s="754">
        <v>0.999</v>
      </c>
      <c r="IK16" s="754">
        <v>0.999</v>
      </c>
      <c r="IL16" s="754">
        <v>0.999</v>
      </c>
      <c r="IM16" s="754">
        <v>0.999</v>
      </c>
      <c r="IN16" s="754">
        <v>0.999</v>
      </c>
      <c r="IO16" s="754">
        <v>0.999</v>
      </c>
      <c r="IP16" s="754">
        <v>0.997</v>
      </c>
      <c r="IQ16" s="754">
        <v>0.995</v>
      </c>
      <c r="IR16" s="754">
        <v>0.991</v>
      </c>
      <c r="IS16" s="754">
        <v>0.982</v>
      </c>
      <c r="IT16" s="754">
        <v>0.97</v>
      </c>
      <c r="IU16" s="754">
        <v>0.933</v>
      </c>
      <c r="IV16" s="754">
        <v>0.879</v>
      </c>
      <c r="IW16" s="754">
        <v>0.769</v>
      </c>
      <c r="IX16" s="754">
        <v>0.679</v>
      </c>
      <c r="IY16" s="754">
        <v>0.565</v>
      </c>
      <c r="IZ16" s="754">
        <v>0.435</v>
      </c>
      <c r="JA16" s="754">
        <v>0.998</v>
      </c>
      <c r="JB16" s="754">
        <v>0.998</v>
      </c>
      <c r="JC16" s="754">
        <v>0.998</v>
      </c>
      <c r="JD16" s="754">
        <v>0.998</v>
      </c>
      <c r="JE16" s="754">
        <v>0.998</v>
      </c>
      <c r="JF16" s="754">
        <v>0.998</v>
      </c>
      <c r="JG16" s="754">
        <v>0.998</v>
      </c>
      <c r="JH16" s="754">
        <v>0.998</v>
      </c>
      <c r="JI16" s="754">
        <v>0.998</v>
      </c>
      <c r="JJ16" s="754">
        <v>0.998</v>
      </c>
      <c r="JK16" s="754">
        <v>0.998</v>
      </c>
      <c r="JL16" s="754">
        <v>0.998</v>
      </c>
      <c r="JM16" s="754">
        <v>0.998</v>
      </c>
      <c r="JN16" s="754">
        <v>0.998</v>
      </c>
      <c r="JO16" s="754">
        <v>0.998</v>
      </c>
      <c r="JP16" s="754">
        <v>0.998</v>
      </c>
      <c r="JQ16" s="754">
        <v>0.998</v>
      </c>
      <c r="JR16" s="754">
        <v>0.998</v>
      </c>
      <c r="JS16" s="754">
        <v>0.998</v>
      </c>
      <c r="JT16" s="754">
        <v>0.998</v>
      </c>
      <c r="JU16" s="754">
        <v>0.998</v>
      </c>
      <c r="JV16" s="754">
        <v>0.998</v>
      </c>
      <c r="JW16" s="754">
        <v>0.998</v>
      </c>
      <c r="JX16" s="754">
        <v>0.998</v>
      </c>
      <c r="JY16" s="754">
        <v>0.998</v>
      </c>
      <c r="JZ16" s="754">
        <v>0.994</v>
      </c>
      <c r="KA16" s="754">
        <v>0.99</v>
      </c>
      <c r="KB16" s="754">
        <v>0.983</v>
      </c>
      <c r="KC16" s="754">
        <v>0.965</v>
      </c>
      <c r="KD16" s="754">
        <v>0.94</v>
      </c>
      <c r="KE16" s="754">
        <v>0.871</v>
      </c>
      <c r="KF16" s="754">
        <v>0.773</v>
      </c>
      <c r="KG16" s="754">
        <v>0.592</v>
      </c>
      <c r="KH16" s="754">
        <v>0.461</v>
      </c>
      <c r="KI16" s="754">
        <v>0.319</v>
      </c>
      <c r="KJ16" s="754">
        <v>0.189</v>
      </c>
      <c r="KK16" s="754" t="s">
        <v>281</v>
      </c>
      <c r="KL16" s="738">
        <v>136</v>
      </c>
      <c r="KM16" s="738">
        <v>581</v>
      </c>
      <c r="KN16" s="646" t="s">
        <v>303</v>
      </c>
      <c r="KO16" s="646" t="s">
        <v>375</v>
      </c>
      <c r="KP16" s="679">
        <v>569713</v>
      </c>
      <c r="KQ16" s="767"/>
      <c r="KR16" s="750"/>
      <c r="KS16" s="767" t="s">
        <v>378</v>
      </c>
      <c r="KT16" s="770" t="s">
        <v>379</v>
      </c>
      <c r="KU16" s="767" t="s">
        <v>380</v>
      </c>
      <c r="KV16" s="750">
        <v>571716</v>
      </c>
      <c r="KW16" s="771" t="s">
        <v>381</v>
      </c>
      <c r="KX16" s="750" t="s">
        <v>379</v>
      </c>
      <c r="KY16" s="767"/>
      <c r="KZ16" s="770"/>
    </row>
    <row r="17" s="628" customFormat="1" customHeight="1" spans="1:312">
      <c r="A17" s="682"/>
      <c r="B17" s="683">
        <v>13</v>
      </c>
      <c r="C17" s="684" t="s">
        <v>382</v>
      </c>
      <c r="D17" s="679">
        <v>511605</v>
      </c>
      <c r="E17" s="685">
        <v>60.46</v>
      </c>
      <c r="F17" s="685">
        <v>60.21</v>
      </c>
      <c r="G17" s="686">
        <v>0.008454</v>
      </c>
      <c r="H17" s="686">
        <v>0.008523</v>
      </c>
      <c r="I17" s="697">
        <v>1.48663</v>
      </c>
      <c r="J17" s="697">
        <v>1.49101</v>
      </c>
      <c r="K17" s="697">
        <v>1.49582</v>
      </c>
      <c r="L17" s="697">
        <v>1.5001</v>
      </c>
      <c r="M17" s="697">
        <v>1.50087</v>
      </c>
      <c r="N17" s="697">
        <v>1.50151</v>
      </c>
      <c r="O17" s="697">
        <v>1.50394</v>
      </c>
      <c r="P17" s="697">
        <v>1.50558</v>
      </c>
      <c r="Q17" s="697">
        <v>1.50707</v>
      </c>
      <c r="R17" s="697">
        <v>1.50855</v>
      </c>
      <c r="S17" s="697">
        <v>1.50896</v>
      </c>
      <c r="T17" s="701">
        <v>1.50934</v>
      </c>
      <c r="U17" s="697">
        <v>1.51105</v>
      </c>
      <c r="V17" s="697">
        <v>1.51112</v>
      </c>
      <c r="W17" s="697">
        <v>1.51314</v>
      </c>
      <c r="X17" s="697">
        <v>1.517</v>
      </c>
      <c r="Y17" s="697">
        <v>1.51748</v>
      </c>
      <c r="Z17" s="697">
        <v>1.52159</v>
      </c>
      <c r="AA17" s="697">
        <v>1.5254</v>
      </c>
      <c r="AB17" s="697">
        <v>1.53188</v>
      </c>
      <c r="AC17" s="704">
        <v>2.2509531</v>
      </c>
      <c r="AD17" s="705">
        <v>-0.0079769429</v>
      </c>
      <c r="AE17" s="705">
        <v>0.012172917</v>
      </c>
      <c r="AF17" s="705">
        <v>-9.9997916e-5</v>
      </c>
      <c r="AG17" s="705">
        <v>4.1776164e-5</v>
      </c>
      <c r="AH17" s="705">
        <v>-2.0912623e-6</v>
      </c>
      <c r="AI17" s="709">
        <v>0.3041</v>
      </c>
      <c r="AJ17" s="709">
        <v>0.2391</v>
      </c>
      <c r="AK17" s="709">
        <v>0.5432</v>
      </c>
      <c r="AL17" s="709">
        <v>0.2535</v>
      </c>
      <c r="AM17" s="709">
        <v>0.2371</v>
      </c>
      <c r="AN17" s="709">
        <v>0.4824</v>
      </c>
      <c r="AO17" s="709">
        <v>0</v>
      </c>
      <c r="AP17" s="709">
        <v>0</v>
      </c>
      <c r="AQ17" s="709">
        <v>0</v>
      </c>
      <c r="AR17" s="709">
        <v>0.0001</v>
      </c>
      <c r="AS17" s="714">
        <v>0.2</v>
      </c>
      <c r="AT17" s="714">
        <v>0.2</v>
      </c>
      <c r="AU17" s="714">
        <v>0.1</v>
      </c>
      <c r="AV17" s="714">
        <v>0.2</v>
      </c>
      <c r="AW17" s="714">
        <v>0.2</v>
      </c>
      <c r="AX17" s="714">
        <v>0.3</v>
      </c>
      <c r="AY17" s="714">
        <v>0.3</v>
      </c>
      <c r="AZ17" s="714">
        <v>0.4</v>
      </c>
      <c r="BA17" s="714">
        <v>0.4</v>
      </c>
      <c r="BB17" s="714">
        <v>0.5</v>
      </c>
      <c r="BC17" s="714">
        <v>0.6</v>
      </c>
      <c r="BD17" s="714">
        <v>0.4</v>
      </c>
      <c r="BE17" s="714">
        <v>0.4</v>
      </c>
      <c r="BF17" s="714">
        <v>0.3</v>
      </c>
      <c r="BG17" s="714">
        <v>0.4</v>
      </c>
      <c r="BH17" s="714">
        <v>0.4</v>
      </c>
      <c r="BI17" s="714">
        <v>0.5</v>
      </c>
      <c r="BJ17" s="714">
        <v>0.5</v>
      </c>
      <c r="BK17" s="714">
        <v>0.6</v>
      </c>
      <c r="BL17" s="714">
        <v>0.7</v>
      </c>
      <c r="BM17" s="714">
        <v>0.7</v>
      </c>
      <c r="BN17" s="714">
        <v>0.8</v>
      </c>
      <c r="BO17" s="714">
        <v>0.6</v>
      </c>
      <c r="BP17" s="714">
        <v>0.6</v>
      </c>
      <c r="BQ17" s="714">
        <v>0.6</v>
      </c>
      <c r="BR17" s="714">
        <v>0.7</v>
      </c>
      <c r="BS17" s="714">
        <v>0.6</v>
      </c>
      <c r="BT17" s="714">
        <v>0.7</v>
      </c>
      <c r="BU17" s="714">
        <v>0.7</v>
      </c>
      <c r="BV17" s="714">
        <v>0.8</v>
      </c>
      <c r="BW17" s="714">
        <v>0.9</v>
      </c>
      <c r="BX17" s="714">
        <v>0.9</v>
      </c>
      <c r="BY17" s="714">
        <v>1</v>
      </c>
      <c r="BZ17" s="714">
        <v>0.6</v>
      </c>
      <c r="CA17" s="714">
        <v>0.6</v>
      </c>
      <c r="CB17" s="714">
        <v>0.6</v>
      </c>
      <c r="CC17" s="714">
        <v>0.7</v>
      </c>
      <c r="CD17" s="714">
        <v>0.7</v>
      </c>
      <c r="CE17" s="714">
        <v>0.7</v>
      </c>
      <c r="CF17" s="714">
        <v>0.7</v>
      </c>
      <c r="CG17" s="714">
        <v>0.8</v>
      </c>
      <c r="CH17" s="714">
        <v>0.9</v>
      </c>
      <c r="CI17" s="714">
        <v>1</v>
      </c>
      <c r="CJ17" s="714">
        <v>1.1</v>
      </c>
      <c r="CK17" s="714">
        <v>0.6</v>
      </c>
      <c r="CL17" s="715">
        <v>0.6</v>
      </c>
      <c r="CM17" s="715">
        <v>0.7</v>
      </c>
      <c r="CN17" s="715">
        <v>0.8</v>
      </c>
      <c r="CO17" s="715">
        <v>0.7</v>
      </c>
      <c r="CP17" s="715">
        <v>0.7</v>
      </c>
      <c r="CQ17" s="715">
        <v>0.7</v>
      </c>
      <c r="CR17" s="714">
        <v>0.8</v>
      </c>
      <c r="CS17" s="714">
        <v>1</v>
      </c>
      <c r="CT17" s="714">
        <v>1</v>
      </c>
      <c r="CU17" s="714">
        <v>1.1</v>
      </c>
      <c r="CV17" s="714">
        <v>0.8</v>
      </c>
      <c r="CW17" s="715">
        <v>0.8</v>
      </c>
      <c r="CX17" s="715">
        <v>0.9</v>
      </c>
      <c r="CY17" s="715">
        <v>0.9</v>
      </c>
      <c r="CZ17" s="715">
        <v>0.8</v>
      </c>
      <c r="DA17" s="715">
        <v>0.9</v>
      </c>
      <c r="DB17" s="715">
        <v>0.9</v>
      </c>
      <c r="DC17" s="714">
        <v>1</v>
      </c>
      <c r="DD17" s="714">
        <v>1</v>
      </c>
      <c r="DE17" s="714">
        <v>1.1</v>
      </c>
      <c r="DF17" s="714">
        <v>1.2</v>
      </c>
      <c r="DG17" s="714">
        <v>1</v>
      </c>
      <c r="DH17" s="715">
        <v>1.1</v>
      </c>
      <c r="DI17" s="715">
        <v>1.1</v>
      </c>
      <c r="DJ17" s="715">
        <v>1</v>
      </c>
      <c r="DK17" s="715">
        <v>1.1</v>
      </c>
      <c r="DL17" s="715">
        <v>1.2</v>
      </c>
      <c r="DM17" s="715">
        <v>1.2</v>
      </c>
      <c r="DN17" s="714">
        <v>1.3</v>
      </c>
      <c r="DO17" s="714">
        <v>1.4</v>
      </c>
      <c r="DP17" s="714">
        <v>1.4</v>
      </c>
      <c r="DQ17" s="714">
        <v>1.5</v>
      </c>
      <c r="DR17" s="714">
        <v>1.3</v>
      </c>
      <c r="DS17" s="715">
        <v>1.4</v>
      </c>
      <c r="DT17" s="715">
        <v>1.4</v>
      </c>
      <c r="DU17" s="715">
        <v>1.3</v>
      </c>
      <c r="DV17" s="715">
        <v>1.4</v>
      </c>
      <c r="DW17" s="715">
        <v>1.4</v>
      </c>
      <c r="DX17" s="715">
        <v>1.5</v>
      </c>
      <c r="DY17" s="714">
        <v>1.6</v>
      </c>
      <c r="DZ17" s="714">
        <v>1.6</v>
      </c>
      <c r="EA17" s="714">
        <v>1.7</v>
      </c>
      <c r="EB17" s="714">
        <v>1.7</v>
      </c>
      <c r="EC17" s="714">
        <v>1.3</v>
      </c>
      <c r="ED17" s="715">
        <v>1.4</v>
      </c>
      <c r="EE17" s="715">
        <v>1.4</v>
      </c>
      <c r="EF17" s="715">
        <v>1.4</v>
      </c>
      <c r="EG17" s="715">
        <v>1.4</v>
      </c>
      <c r="EH17" s="715">
        <v>1.5</v>
      </c>
      <c r="EI17" s="715">
        <v>1.5</v>
      </c>
      <c r="EJ17" s="714">
        <v>1.6</v>
      </c>
      <c r="EK17" s="714">
        <v>1.7</v>
      </c>
      <c r="EL17" s="714">
        <v>1.7</v>
      </c>
      <c r="EM17" s="714">
        <v>1.7</v>
      </c>
      <c r="EN17" s="714">
        <v>1.6</v>
      </c>
      <c r="EO17" s="715">
        <v>1.7</v>
      </c>
      <c r="EP17" s="715">
        <v>1.6</v>
      </c>
      <c r="EQ17" s="715">
        <v>1.6</v>
      </c>
      <c r="ER17" s="715">
        <v>1.7</v>
      </c>
      <c r="ES17" s="715">
        <v>1.8</v>
      </c>
      <c r="ET17" s="715">
        <v>1.8</v>
      </c>
      <c r="EU17" s="714">
        <v>1.9</v>
      </c>
      <c r="EV17" s="714">
        <v>2</v>
      </c>
      <c r="EW17" s="714">
        <v>2.1</v>
      </c>
      <c r="EX17" s="714">
        <v>2.2</v>
      </c>
      <c r="EY17" s="714">
        <v>-1.8</v>
      </c>
      <c r="EZ17" s="715">
        <v>-1.4</v>
      </c>
      <c r="FA17" s="715">
        <v>-1</v>
      </c>
      <c r="FB17" s="715">
        <v>-0.7</v>
      </c>
      <c r="FC17" s="715">
        <v>-0.6</v>
      </c>
      <c r="FD17" s="715">
        <v>-0.5</v>
      </c>
      <c r="FE17" s="715">
        <v>-0.3</v>
      </c>
      <c r="FF17" s="714">
        <v>-0.1</v>
      </c>
      <c r="FG17" s="714">
        <v>0.2</v>
      </c>
      <c r="FH17" s="714">
        <v>0.3</v>
      </c>
      <c r="FI17" s="714">
        <v>0.4</v>
      </c>
      <c r="FJ17" s="723">
        <v>-3.51e-6</v>
      </c>
      <c r="FK17" s="723">
        <v>1.4e-8</v>
      </c>
      <c r="FL17" s="723">
        <v>-2.33e-11</v>
      </c>
      <c r="FM17" s="723">
        <v>7.26e-7</v>
      </c>
      <c r="FN17" s="723">
        <v>1.47e-10</v>
      </c>
      <c r="FO17" s="723">
        <v>0.123</v>
      </c>
      <c r="FP17" s="729">
        <v>3</v>
      </c>
      <c r="FQ17" s="729">
        <v>1</v>
      </c>
      <c r="FR17" s="729">
        <v>2</v>
      </c>
      <c r="FS17" s="729">
        <v>1</v>
      </c>
      <c r="FT17" s="729">
        <v>1</v>
      </c>
      <c r="FU17" s="729">
        <v>1</v>
      </c>
      <c r="FV17" s="681"/>
      <c r="FW17" s="729"/>
      <c r="FX17" s="729"/>
      <c r="FY17" s="729"/>
      <c r="FZ17" s="739">
        <v>530</v>
      </c>
      <c r="GA17" s="739">
        <v>619</v>
      </c>
      <c r="GB17" s="681">
        <v>473</v>
      </c>
      <c r="GC17" s="681">
        <v>522</v>
      </c>
      <c r="GD17" s="747"/>
      <c r="GE17" s="729"/>
      <c r="GF17" s="681">
        <v>84</v>
      </c>
      <c r="GG17" s="681">
        <v>100</v>
      </c>
      <c r="GH17" s="681">
        <v>76</v>
      </c>
      <c r="GI17" s="681">
        <v>79</v>
      </c>
      <c r="GJ17" s="681">
        <v>81</v>
      </c>
      <c r="GK17" s="681">
        <v>82</v>
      </c>
      <c r="GL17" s="681">
        <v>83</v>
      </c>
      <c r="GM17" s="681">
        <v>84</v>
      </c>
      <c r="GN17" s="681">
        <v>84</v>
      </c>
      <c r="GO17" s="681">
        <v>85</v>
      </c>
      <c r="GP17" s="681">
        <v>85</v>
      </c>
      <c r="GQ17" s="681">
        <v>86</v>
      </c>
      <c r="GR17" s="681">
        <v>87</v>
      </c>
      <c r="GS17" s="681">
        <v>87</v>
      </c>
      <c r="GT17" s="681">
        <v>88</v>
      </c>
      <c r="GU17" s="681">
        <v>88</v>
      </c>
      <c r="GV17" s="681">
        <v>89</v>
      </c>
      <c r="GW17" s="681">
        <v>89</v>
      </c>
      <c r="GX17" s="681">
        <v>90</v>
      </c>
      <c r="GY17" s="681">
        <v>91</v>
      </c>
      <c r="GZ17" s="681">
        <v>92</v>
      </c>
      <c r="HA17" s="681">
        <v>94</v>
      </c>
      <c r="HB17" s="681">
        <v>94</v>
      </c>
      <c r="HC17" s="681"/>
      <c r="HD17" s="681"/>
      <c r="HE17" s="681"/>
      <c r="HF17" s="681">
        <v>469</v>
      </c>
      <c r="HG17" s="738">
        <v>107</v>
      </c>
      <c r="HH17" s="714">
        <v>67.2</v>
      </c>
      <c r="HI17" s="714">
        <v>27.6</v>
      </c>
      <c r="HJ17" s="753">
        <v>0.219</v>
      </c>
      <c r="HK17" s="681"/>
      <c r="HL17" s="685">
        <v>3.05</v>
      </c>
      <c r="HM17" s="747">
        <v>2.53</v>
      </c>
      <c r="HN17" s="729" t="s">
        <v>383</v>
      </c>
      <c r="HO17" s="729" t="s">
        <v>384</v>
      </c>
      <c r="HP17" s="714">
        <v>-3.5</v>
      </c>
      <c r="HQ17" s="753">
        <v>0.861</v>
      </c>
      <c r="HR17" s="753">
        <v>0.898</v>
      </c>
      <c r="HS17" s="753">
        <v>0.951</v>
      </c>
      <c r="HT17" s="753">
        <v>0.978</v>
      </c>
      <c r="HU17" s="753">
        <v>0.995</v>
      </c>
      <c r="HV17" s="753">
        <v>0.996</v>
      </c>
      <c r="HW17" s="753">
        <v>0.999</v>
      </c>
      <c r="HX17" s="753">
        <v>0.999</v>
      </c>
      <c r="HY17" s="753">
        <v>0.999</v>
      </c>
      <c r="HZ17" s="753">
        <v>0.999</v>
      </c>
      <c r="IA17" s="753">
        <v>0.999</v>
      </c>
      <c r="IB17" s="753">
        <v>0.999</v>
      </c>
      <c r="IC17" s="753">
        <v>0.999</v>
      </c>
      <c r="ID17" s="753">
        <v>0.999</v>
      </c>
      <c r="IE17" s="753">
        <v>0.999</v>
      </c>
      <c r="IF17" s="753">
        <v>0.999</v>
      </c>
      <c r="IG17" s="753">
        <v>0.999</v>
      </c>
      <c r="IH17" s="753">
        <v>0.999</v>
      </c>
      <c r="II17" s="753">
        <v>0.998</v>
      </c>
      <c r="IJ17" s="753">
        <v>0.998</v>
      </c>
      <c r="IK17" s="753">
        <v>0.998</v>
      </c>
      <c r="IL17" s="753">
        <v>0.998</v>
      </c>
      <c r="IM17" s="753">
        <v>0.998</v>
      </c>
      <c r="IN17" s="753">
        <v>0.998</v>
      </c>
      <c r="IO17" s="753">
        <v>0.998</v>
      </c>
      <c r="IP17" s="753">
        <v>0.998</v>
      </c>
      <c r="IQ17" s="753">
        <v>0.998</v>
      </c>
      <c r="IR17" s="753">
        <v>0.997</v>
      </c>
      <c r="IS17" s="753">
        <v>0.994</v>
      </c>
      <c r="IT17" s="753">
        <v>0.99</v>
      </c>
      <c r="IU17" s="753">
        <v>0.982</v>
      </c>
      <c r="IV17" s="753">
        <v>0.951</v>
      </c>
      <c r="IW17" s="753">
        <v>0.875</v>
      </c>
      <c r="IX17" s="753">
        <v>0.696</v>
      </c>
      <c r="IY17" s="753">
        <v>0.404</v>
      </c>
      <c r="IZ17" s="753"/>
      <c r="JA17" s="753">
        <v>0.741</v>
      </c>
      <c r="JB17" s="753">
        <v>0.807</v>
      </c>
      <c r="JC17" s="753">
        <v>0.904</v>
      </c>
      <c r="JD17" s="753">
        <v>0.957</v>
      </c>
      <c r="JE17" s="753">
        <v>0.99</v>
      </c>
      <c r="JF17" s="753">
        <v>0.992</v>
      </c>
      <c r="JG17" s="753">
        <v>0.998</v>
      </c>
      <c r="JH17" s="753">
        <v>0.998</v>
      </c>
      <c r="JI17" s="753">
        <v>0.998</v>
      </c>
      <c r="JJ17" s="753">
        <v>0.998</v>
      </c>
      <c r="JK17" s="753">
        <v>0.998</v>
      </c>
      <c r="JL17" s="753">
        <v>0.998</v>
      </c>
      <c r="JM17" s="753">
        <v>0.998</v>
      </c>
      <c r="JN17" s="753">
        <v>0.998</v>
      </c>
      <c r="JO17" s="753">
        <v>0.998</v>
      </c>
      <c r="JP17" s="753">
        <v>0.998</v>
      </c>
      <c r="JQ17" s="753">
        <v>0.998</v>
      </c>
      <c r="JR17" s="753">
        <v>0.998</v>
      </c>
      <c r="JS17" s="753">
        <v>0.997</v>
      </c>
      <c r="JT17" s="753">
        <v>0.997</v>
      </c>
      <c r="JU17" s="753">
        <v>0.997</v>
      </c>
      <c r="JV17" s="757">
        <v>0.997</v>
      </c>
      <c r="JW17" s="757">
        <v>0.997</v>
      </c>
      <c r="JX17" s="757">
        <v>0.997</v>
      </c>
      <c r="JY17" s="757">
        <v>0.997</v>
      </c>
      <c r="JZ17" s="753">
        <v>0.996</v>
      </c>
      <c r="KA17" s="753">
        <v>0.996</v>
      </c>
      <c r="KB17" s="753">
        <v>0.994</v>
      </c>
      <c r="KC17" s="753">
        <v>0.989</v>
      </c>
      <c r="KD17" s="753">
        <v>0.981</v>
      </c>
      <c r="KE17" s="753">
        <v>0.964</v>
      </c>
      <c r="KF17" s="753">
        <v>0.905</v>
      </c>
      <c r="KG17" s="753">
        <v>0.766</v>
      </c>
      <c r="KH17" s="753">
        <v>0.485</v>
      </c>
      <c r="KI17" s="753">
        <v>0.163</v>
      </c>
      <c r="KJ17" s="753"/>
      <c r="KK17" s="765" t="s">
        <v>281</v>
      </c>
      <c r="KL17" s="738"/>
      <c r="KM17" s="738"/>
      <c r="KN17" s="646"/>
      <c r="KO17" s="646" t="s">
        <v>382</v>
      </c>
      <c r="KP17" s="679">
        <v>511605</v>
      </c>
      <c r="KQ17" s="766"/>
      <c r="KR17" s="750"/>
      <c r="KS17" s="769" t="s">
        <v>382</v>
      </c>
      <c r="KT17" s="770" t="s">
        <v>385</v>
      </c>
      <c r="KU17" s="766"/>
      <c r="KV17" s="750"/>
      <c r="KW17" s="771"/>
      <c r="KX17" s="750"/>
      <c r="KY17" s="769" t="s">
        <v>386</v>
      </c>
      <c r="KZ17" s="770" t="s">
        <v>387</v>
      </c>
    </row>
    <row r="18" s="628" customFormat="1" customHeight="1" spans="1:312">
      <c r="A18" s="682" t="s">
        <v>374</v>
      </c>
      <c r="B18" s="683">
        <v>14</v>
      </c>
      <c r="C18" s="684" t="s">
        <v>388</v>
      </c>
      <c r="D18" s="679">
        <v>517642</v>
      </c>
      <c r="E18" s="685">
        <v>64.2</v>
      </c>
      <c r="F18" s="685">
        <v>64</v>
      </c>
      <c r="G18" s="686">
        <v>0.00805</v>
      </c>
      <c r="H18" s="686">
        <v>0.008105</v>
      </c>
      <c r="I18" s="696">
        <v>1.48969</v>
      </c>
      <c r="J18" s="696">
        <v>1.49515</v>
      </c>
      <c r="K18" s="696">
        <v>1.50098</v>
      </c>
      <c r="L18" s="696">
        <v>1.50585</v>
      </c>
      <c r="M18" s="696">
        <v>1.50668</v>
      </c>
      <c r="N18" s="696">
        <v>1.50735</v>
      </c>
      <c r="O18" s="696">
        <v>1.50983</v>
      </c>
      <c r="P18" s="696">
        <v>1.51145</v>
      </c>
      <c r="Q18" s="697">
        <v>1.5129</v>
      </c>
      <c r="R18" s="697">
        <v>1.51432</v>
      </c>
      <c r="S18" s="697">
        <v>1.51472</v>
      </c>
      <c r="T18" s="701">
        <v>1.51509</v>
      </c>
      <c r="U18" s="697">
        <v>1.51673</v>
      </c>
      <c r="V18" s="697">
        <v>1.5168</v>
      </c>
      <c r="W18" s="697">
        <v>1.51872</v>
      </c>
      <c r="X18" s="697">
        <v>1.52237</v>
      </c>
      <c r="Y18" s="697">
        <v>1.52282</v>
      </c>
      <c r="Z18" s="697">
        <v>1.5267</v>
      </c>
      <c r="AA18" s="697">
        <v>1.53027</v>
      </c>
      <c r="AB18" s="697">
        <v>1.53629</v>
      </c>
      <c r="AC18" s="704">
        <v>2.27223852</v>
      </c>
      <c r="AD18" s="705">
        <v>-0.0101682613</v>
      </c>
      <c r="AE18" s="705">
        <v>0.0103945607</v>
      </c>
      <c r="AF18" s="705">
        <v>0.000229862391</v>
      </c>
      <c r="AG18" s="705">
        <v>-4.30423477e-6</v>
      </c>
      <c r="AH18" s="705">
        <v>5.001072e-8</v>
      </c>
      <c r="AI18" s="709">
        <v>0.3081</v>
      </c>
      <c r="AJ18" s="709">
        <v>0.2385</v>
      </c>
      <c r="AK18" s="709">
        <v>0.5379</v>
      </c>
      <c r="AL18" s="709">
        <v>0.2566</v>
      </c>
      <c r="AM18" s="709">
        <v>0.2369</v>
      </c>
      <c r="AN18" s="709">
        <v>0.4787</v>
      </c>
      <c r="AO18" s="709">
        <v>-0.0013</v>
      </c>
      <c r="AP18" s="709">
        <v>0.0009</v>
      </c>
      <c r="AQ18" s="709">
        <v>0.0146</v>
      </c>
      <c r="AR18" s="709">
        <v>0.0033</v>
      </c>
      <c r="AS18" s="714">
        <v>1.6</v>
      </c>
      <c r="AT18" s="715">
        <v>1.8</v>
      </c>
      <c r="AU18" s="715">
        <v>2</v>
      </c>
      <c r="AV18" s="715">
        <v>2.2</v>
      </c>
      <c r="AW18" s="715">
        <v>2.3</v>
      </c>
      <c r="AX18" s="715">
        <v>2.3</v>
      </c>
      <c r="AY18" s="715">
        <v>2.4</v>
      </c>
      <c r="AZ18" s="715">
        <v>2.5</v>
      </c>
      <c r="BA18" s="715">
        <v>2.5</v>
      </c>
      <c r="BB18" s="715">
        <v>2.5</v>
      </c>
      <c r="BC18" s="715">
        <v>2.5</v>
      </c>
      <c r="BD18" s="715">
        <v>1.7</v>
      </c>
      <c r="BE18" s="715">
        <v>2</v>
      </c>
      <c r="BF18" s="715">
        <v>2.2</v>
      </c>
      <c r="BG18" s="715">
        <v>2.3</v>
      </c>
      <c r="BH18" s="715">
        <v>2.4</v>
      </c>
      <c r="BI18" s="715">
        <v>2.4</v>
      </c>
      <c r="BJ18" s="715">
        <v>2.5</v>
      </c>
      <c r="BK18" s="715">
        <v>2.6</v>
      </c>
      <c r="BL18" s="715">
        <v>2.6</v>
      </c>
      <c r="BM18" s="715">
        <v>2.6</v>
      </c>
      <c r="BN18" s="715">
        <v>2.7</v>
      </c>
      <c r="BO18" s="715">
        <v>1.9</v>
      </c>
      <c r="BP18" s="715">
        <v>2.2</v>
      </c>
      <c r="BQ18" s="715">
        <v>2.3</v>
      </c>
      <c r="BR18" s="715">
        <v>2.4</v>
      </c>
      <c r="BS18" s="715">
        <v>2.4</v>
      </c>
      <c r="BT18" s="715">
        <v>2.5</v>
      </c>
      <c r="BU18" s="715">
        <v>2.6</v>
      </c>
      <c r="BV18" s="715">
        <v>2.7</v>
      </c>
      <c r="BW18" s="715">
        <v>2.8</v>
      </c>
      <c r="BX18" s="715">
        <v>2.9</v>
      </c>
      <c r="BY18" s="715">
        <v>3</v>
      </c>
      <c r="BZ18" s="715">
        <v>1.9</v>
      </c>
      <c r="CA18" s="715">
        <v>2.3</v>
      </c>
      <c r="CB18" s="715">
        <v>2.3</v>
      </c>
      <c r="CC18" s="715">
        <v>2.4</v>
      </c>
      <c r="CD18" s="715">
        <v>2.5</v>
      </c>
      <c r="CE18" s="715">
        <v>2.6</v>
      </c>
      <c r="CF18" s="715">
        <v>2.7</v>
      </c>
      <c r="CG18" s="715">
        <v>2.8</v>
      </c>
      <c r="CH18" s="715">
        <v>2.9</v>
      </c>
      <c r="CI18" s="715">
        <v>3</v>
      </c>
      <c r="CJ18" s="715">
        <v>3.1</v>
      </c>
      <c r="CK18" s="715">
        <v>1.9</v>
      </c>
      <c r="CL18" s="715">
        <v>2.3</v>
      </c>
      <c r="CM18" s="715">
        <v>2.5</v>
      </c>
      <c r="CN18" s="715">
        <v>2.5</v>
      </c>
      <c r="CO18" s="715">
        <v>2.6</v>
      </c>
      <c r="CP18" s="715">
        <v>2.7</v>
      </c>
      <c r="CQ18" s="715">
        <v>2.7</v>
      </c>
      <c r="CR18" s="715">
        <v>2.9</v>
      </c>
      <c r="CS18" s="715">
        <v>3</v>
      </c>
      <c r="CT18" s="715">
        <v>3</v>
      </c>
      <c r="CU18" s="715">
        <v>3.1</v>
      </c>
      <c r="CV18" s="715">
        <v>2</v>
      </c>
      <c r="CW18" s="715">
        <v>2.4</v>
      </c>
      <c r="CX18" s="715">
        <v>2.5</v>
      </c>
      <c r="CY18" s="715">
        <v>2.6</v>
      </c>
      <c r="CZ18" s="715">
        <v>2.6</v>
      </c>
      <c r="DA18" s="715">
        <v>2.8</v>
      </c>
      <c r="DB18" s="715">
        <v>2.8</v>
      </c>
      <c r="DC18" s="715">
        <v>2.9</v>
      </c>
      <c r="DD18" s="715">
        <v>3</v>
      </c>
      <c r="DE18" s="715">
        <v>3</v>
      </c>
      <c r="DF18" s="715">
        <v>3.1</v>
      </c>
      <c r="DG18" s="715">
        <v>2.3</v>
      </c>
      <c r="DH18" s="715">
        <v>2.5</v>
      </c>
      <c r="DI18" s="715">
        <v>2.6</v>
      </c>
      <c r="DJ18" s="715">
        <v>2.7</v>
      </c>
      <c r="DK18" s="715">
        <v>2.8</v>
      </c>
      <c r="DL18" s="715">
        <v>3</v>
      </c>
      <c r="DM18" s="715">
        <v>3</v>
      </c>
      <c r="DN18" s="715">
        <v>3</v>
      </c>
      <c r="DO18" s="715">
        <v>3</v>
      </c>
      <c r="DP18" s="715">
        <v>3</v>
      </c>
      <c r="DQ18" s="715">
        <v>3.1</v>
      </c>
      <c r="DR18" s="715">
        <v>2.6</v>
      </c>
      <c r="DS18" s="715">
        <v>2.9</v>
      </c>
      <c r="DT18" s="715">
        <v>3</v>
      </c>
      <c r="DU18" s="715">
        <v>3</v>
      </c>
      <c r="DV18" s="715">
        <v>3.1</v>
      </c>
      <c r="DW18" s="715">
        <v>3.3</v>
      </c>
      <c r="DX18" s="715">
        <v>3.3</v>
      </c>
      <c r="DY18" s="715">
        <v>3.3</v>
      </c>
      <c r="DZ18" s="715">
        <v>3.3</v>
      </c>
      <c r="EA18" s="715">
        <v>3.3</v>
      </c>
      <c r="EB18" s="715">
        <v>3.4</v>
      </c>
      <c r="EC18" s="715">
        <v>2.7</v>
      </c>
      <c r="ED18" s="715">
        <v>3</v>
      </c>
      <c r="EE18" s="715">
        <v>3</v>
      </c>
      <c r="EF18" s="715">
        <v>3</v>
      </c>
      <c r="EG18" s="715">
        <v>3.1</v>
      </c>
      <c r="EH18" s="715">
        <v>3.3</v>
      </c>
      <c r="EI18" s="715">
        <v>3.3</v>
      </c>
      <c r="EJ18" s="715">
        <v>3.3</v>
      </c>
      <c r="EK18" s="715">
        <v>3.3</v>
      </c>
      <c r="EL18" s="715">
        <v>3.4</v>
      </c>
      <c r="EM18" s="715">
        <v>3.4</v>
      </c>
      <c r="EN18" s="715">
        <v>2.9</v>
      </c>
      <c r="EO18" s="715">
        <v>3.2</v>
      </c>
      <c r="EP18" s="715">
        <v>3.3</v>
      </c>
      <c r="EQ18" s="715">
        <v>3.3</v>
      </c>
      <c r="ER18" s="715">
        <v>3.4</v>
      </c>
      <c r="ES18" s="715">
        <v>3.5</v>
      </c>
      <c r="ET18" s="715">
        <v>3.6</v>
      </c>
      <c r="EU18" s="715">
        <v>3.5</v>
      </c>
      <c r="EV18" s="715">
        <v>3.5</v>
      </c>
      <c r="EW18" s="715">
        <v>3.6</v>
      </c>
      <c r="EX18" s="715">
        <v>3.6</v>
      </c>
      <c r="EY18" s="715">
        <v>-0.5</v>
      </c>
      <c r="EZ18" s="715">
        <v>0.2</v>
      </c>
      <c r="FA18" s="715">
        <v>0.7</v>
      </c>
      <c r="FB18" s="715">
        <v>1</v>
      </c>
      <c r="FC18" s="715">
        <v>1.3</v>
      </c>
      <c r="FD18" s="715">
        <v>1.5</v>
      </c>
      <c r="FE18" s="715">
        <v>1.7</v>
      </c>
      <c r="FF18" s="715">
        <v>2</v>
      </c>
      <c r="FG18" s="715">
        <v>2.2</v>
      </c>
      <c r="FH18" s="715">
        <v>2.3</v>
      </c>
      <c r="FI18" s="715">
        <v>2.4</v>
      </c>
      <c r="FJ18" s="723">
        <v>1.32e-6</v>
      </c>
      <c r="FK18" s="723">
        <v>2.02e-8</v>
      </c>
      <c r="FL18" s="723">
        <v>-4.68e-11</v>
      </c>
      <c r="FM18" s="723">
        <v>4.63e-7</v>
      </c>
      <c r="FN18" s="723">
        <v>-4.16e-10</v>
      </c>
      <c r="FO18" s="723">
        <v>0.204</v>
      </c>
      <c r="FP18" s="729">
        <v>1</v>
      </c>
      <c r="FQ18" s="729">
        <v>1</v>
      </c>
      <c r="FR18" s="729">
        <v>2</v>
      </c>
      <c r="FS18" s="729">
        <v>1</v>
      </c>
      <c r="FT18" s="729">
        <v>1</v>
      </c>
      <c r="FU18" s="729">
        <v>1</v>
      </c>
      <c r="FV18" s="681">
        <v>1</v>
      </c>
      <c r="FW18" s="729"/>
      <c r="FX18" s="729"/>
      <c r="FY18" s="729"/>
      <c r="FZ18" s="739">
        <v>582</v>
      </c>
      <c r="GA18" s="739">
        <v>630</v>
      </c>
      <c r="GB18" s="681">
        <v>519</v>
      </c>
      <c r="GC18" s="681">
        <v>548</v>
      </c>
      <c r="GD18" s="747">
        <v>1.22</v>
      </c>
      <c r="GE18" s="729"/>
      <c r="GF18" s="681">
        <v>73</v>
      </c>
      <c r="GG18" s="681">
        <v>92</v>
      </c>
      <c r="GH18" s="681">
        <v>67</v>
      </c>
      <c r="GI18" s="681">
        <v>69</v>
      </c>
      <c r="GJ18" s="681">
        <v>70</v>
      </c>
      <c r="GK18" s="681">
        <v>71</v>
      </c>
      <c r="GL18" s="681">
        <v>72</v>
      </c>
      <c r="GM18" s="681">
        <v>73</v>
      </c>
      <c r="GN18" s="681">
        <v>73</v>
      </c>
      <c r="GO18" s="681">
        <v>74</v>
      </c>
      <c r="GP18" s="681">
        <v>75</v>
      </c>
      <c r="GQ18" s="681">
        <v>75</v>
      </c>
      <c r="GR18" s="681">
        <v>76</v>
      </c>
      <c r="GS18" s="681">
        <v>77</v>
      </c>
      <c r="GT18" s="681">
        <v>78</v>
      </c>
      <c r="GU18" s="681">
        <v>79</v>
      </c>
      <c r="GV18" s="681">
        <v>79</v>
      </c>
      <c r="GW18" s="681">
        <v>80</v>
      </c>
      <c r="GX18" s="681">
        <v>81</v>
      </c>
      <c r="GY18" s="681">
        <v>82</v>
      </c>
      <c r="GZ18" s="681">
        <v>84</v>
      </c>
      <c r="HA18" s="681">
        <v>85</v>
      </c>
      <c r="HB18" s="681">
        <v>87</v>
      </c>
      <c r="HC18" s="681"/>
      <c r="HD18" s="681">
        <v>95</v>
      </c>
      <c r="HE18" s="681"/>
      <c r="HF18" s="681">
        <v>581</v>
      </c>
      <c r="HG18" s="738">
        <v>100</v>
      </c>
      <c r="HH18" s="714">
        <v>76.9</v>
      </c>
      <c r="HI18" s="714">
        <v>32.3</v>
      </c>
      <c r="HJ18" s="753">
        <v>0.189</v>
      </c>
      <c r="HK18" s="681">
        <v>92</v>
      </c>
      <c r="HL18" s="685">
        <v>2.53</v>
      </c>
      <c r="HM18" s="747">
        <v>2.49</v>
      </c>
      <c r="HN18" s="729" t="s">
        <v>389</v>
      </c>
      <c r="HO18" s="729" t="s">
        <v>390</v>
      </c>
      <c r="HP18" s="714">
        <v>-20</v>
      </c>
      <c r="HQ18" s="754">
        <v>0.907</v>
      </c>
      <c r="HR18" s="754">
        <v>0.933</v>
      </c>
      <c r="HS18" s="754">
        <v>0.98</v>
      </c>
      <c r="HT18" s="754">
        <v>0.992</v>
      </c>
      <c r="HU18" s="754">
        <v>0.999</v>
      </c>
      <c r="HV18" s="754">
        <v>0.999</v>
      </c>
      <c r="HW18" s="754">
        <v>0.999</v>
      </c>
      <c r="HX18" s="754">
        <v>0.999</v>
      </c>
      <c r="HY18" s="754">
        <v>0.999</v>
      </c>
      <c r="HZ18" s="754">
        <v>0.999</v>
      </c>
      <c r="IA18" s="754">
        <v>0.999</v>
      </c>
      <c r="IB18" s="754">
        <v>0.999</v>
      </c>
      <c r="IC18" s="754">
        <v>0.999</v>
      </c>
      <c r="ID18" s="754">
        <v>0.999</v>
      </c>
      <c r="IE18" s="754">
        <v>0.999</v>
      </c>
      <c r="IF18" s="754">
        <v>0.999</v>
      </c>
      <c r="IG18" s="754">
        <v>0.999</v>
      </c>
      <c r="IH18" s="754">
        <v>0.999</v>
      </c>
      <c r="II18" s="754">
        <v>0.999</v>
      </c>
      <c r="IJ18" s="754">
        <v>0.999</v>
      </c>
      <c r="IK18" s="754">
        <v>0.999</v>
      </c>
      <c r="IL18" s="754">
        <v>0.999</v>
      </c>
      <c r="IM18" s="754">
        <v>0.999</v>
      </c>
      <c r="IN18" s="754">
        <v>0.999</v>
      </c>
      <c r="IO18" s="754">
        <v>0.998</v>
      </c>
      <c r="IP18" s="754">
        <v>0.997</v>
      </c>
      <c r="IQ18" s="754">
        <v>0.997</v>
      </c>
      <c r="IR18" s="754">
        <v>0.996</v>
      </c>
      <c r="IS18" s="754">
        <v>0.99</v>
      </c>
      <c r="IT18" s="754">
        <v>0.98</v>
      </c>
      <c r="IU18" s="754">
        <v>0.964</v>
      </c>
      <c r="IV18" s="754">
        <v>0.927</v>
      </c>
      <c r="IW18" s="754">
        <v>0.851</v>
      </c>
      <c r="IX18" s="754">
        <v>0.722</v>
      </c>
      <c r="IY18" s="754">
        <v>0.543</v>
      </c>
      <c r="IZ18" s="754">
        <v>0.274</v>
      </c>
      <c r="JA18" s="753">
        <v>0.823</v>
      </c>
      <c r="JB18" s="753">
        <v>0.87</v>
      </c>
      <c r="JC18" s="753">
        <v>0.96</v>
      </c>
      <c r="JD18" s="753">
        <v>0.985</v>
      </c>
      <c r="JE18" s="753">
        <v>0.998</v>
      </c>
      <c r="JF18" s="753">
        <v>0.998</v>
      </c>
      <c r="JG18" s="753">
        <v>0.998</v>
      </c>
      <c r="JH18" s="753">
        <v>0.998</v>
      </c>
      <c r="JI18" s="753">
        <v>0.998</v>
      </c>
      <c r="JJ18" s="753">
        <v>0.998</v>
      </c>
      <c r="JK18" s="753">
        <v>0.998</v>
      </c>
      <c r="JL18" s="753">
        <v>0.998</v>
      </c>
      <c r="JM18" s="753">
        <v>0.998</v>
      </c>
      <c r="JN18" s="753">
        <v>0.998</v>
      </c>
      <c r="JO18" s="753">
        <v>0.998</v>
      </c>
      <c r="JP18" s="753">
        <v>0.998</v>
      </c>
      <c r="JQ18" s="753">
        <v>0.998</v>
      </c>
      <c r="JR18" s="753">
        <v>0.998</v>
      </c>
      <c r="JS18" s="753">
        <v>0.998</v>
      </c>
      <c r="JT18" s="753">
        <v>0.998</v>
      </c>
      <c r="JU18" s="753">
        <v>0.998</v>
      </c>
      <c r="JV18" s="753">
        <v>0.998</v>
      </c>
      <c r="JW18" s="753">
        <v>0.998</v>
      </c>
      <c r="JX18" s="753">
        <v>0.998</v>
      </c>
      <c r="JY18" s="753">
        <v>0.997</v>
      </c>
      <c r="JZ18" s="753">
        <v>0.995</v>
      </c>
      <c r="KA18" s="753">
        <v>0.994</v>
      </c>
      <c r="KB18" s="753">
        <v>0.993</v>
      </c>
      <c r="KC18" s="753">
        <v>0.98</v>
      </c>
      <c r="KD18" s="753">
        <v>0.96</v>
      </c>
      <c r="KE18" s="753">
        <v>0.929</v>
      </c>
      <c r="KF18" s="753">
        <v>0.859</v>
      </c>
      <c r="KG18" s="753">
        <v>0.724</v>
      </c>
      <c r="KH18" s="753">
        <v>0.521</v>
      </c>
      <c r="KI18" s="753">
        <v>0.295</v>
      </c>
      <c r="KJ18" s="753">
        <v>0.075</v>
      </c>
      <c r="KK18" s="765" t="s">
        <v>281</v>
      </c>
      <c r="KL18" s="738">
        <v>10</v>
      </c>
      <c r="KM18" s="738">
        <v>25</v>
      </c>
      <c r="KN18" s="646" t="s">
        <v>282</v>
      </c>
      <c r="KO18" s="646" t="s">
        <v>388</v>
      </c>
      <c r="KP18" s="679">
        <v>517642</v>
      </c>
      <c r="KQ18" s="766" t="s">
        <v>391</v>
      </c>
      <c r="KR18" s="750" t="s">
        <v>392</v>
      </c>
      <c r="KS18" s="769" t="s">
        <v>388</v>
      </c>
      <c r="KT18" s="770" t="s">
        <v>393</v>
      </c>
      <c r="KU18" s="766" t="s">
        <v>394</v>
      </c>
      <c r="KV18" s="750">
        <v>517642</v>
      </c>
      <c r="KW18" s="771" t="s">
        <v>395</v>
      </c>
      <c r="KX18" s="750" t="s">
        <v>392</v>
      </c>
      <c r="KY18" s="769" t="s">
        <v>396</v>
      </c>
      <c r="KZ18" s="770" t="s">
        <v>393</v>
      </c>
    </row>
    <row r="19" s="628" customFormat="1" customHeight="1" spans="1:312">
      <c r="A19" s="682" t="s">
        <v>374</v>
      </c>
      <c r="B19" s="683">
        <v>15</v>
      </c>
      <c r="C19" s="684" t="s">
        <v>397</v>
      </c>
      <c r="D19" s="679">
        <v>517642</v>
      </c>
      <c r="E19" s="685">
        <v>64.2</v>
      </c>
      <c r="F19" s="685">
        <v>64</v>
      </c>
      <c r="G19" s="686">
        <v>0.00805</v>
      </c>
      <c r="H19" s="686">
        <v>0.008105</v>
      </c>
      <c r="I19" s="696">
        <v>1.48969</v>
      </c>
      <c r="J19" s="696">
        <v>1.49515</v>
      </c>
      <c r="K19" s="696">
        <v>1.50098</v>
      </c>
      <c r="L19" s="696">
        <v>1.50585</v>
      </c>
      <c r="M19" s="696">
        <v>1.50668</v>
      </c>
      <c r="N19" s="696">
        <v>1.50735</v>
      </c>
      <c r="O19" s="696">
        <v>1.50983</v>
      </c>
      <c r="P19" s="696">
        <v>1.51145</v>
      </c>
      <c r="Q19" s="697">
        <v>1.5129</v>
      </c>
      <c r="R19" s="697">
        <v>1.51432</v>
      </c>
      <c r="S19" s="697">
        <v>1.51472</v>
      </c>
      <c r="T19" s="701">
        <v>1.51509</v>
      </c>
      <c r="U19" s="697">
        <v>1.51673</v>
      </c>
      <c r="V19" s="697">
        <v>1.5168</v>
      </c>
      <c r="W19" s="697">
        <v>1.51872</v>
      </c>
      <c r="X19" s="697">
        <v>1.52237</v>
      </c>
      <c r="Y19" s="697">
        <v>1.52282</v>
      </c>
      <c r="Z19" s="697">
        <v>1.5267</v>
      </c>
      <c r="AA19" s="697">
        <v>1.53027</v>
      </c>
      <c r="AB19" s="697">
        <v>1.53629</v>
      </c>
      <c r="AC19" s="704">
        <v>2.27223852</v>
      </c>
      <c r="AD19" s="705">
        <v>-0.0101682613</v>
      </c>
      <c r="AE19" s="705">
        <v>0.0103945607</v>
      </c>
      <c r="AF19" s="705">
        <v>0.000229862391</v>
      </c>
      <c r="AG19" s="705">
        <v>-4.30423477e-6</v>
      </c>
      <c r="AH19" s="705">
        <v>5.001072e-8</v>
      </c>
      <c r="AI19" s="709">
        <v>0.3081</v>
      </c>
      <c r="AJ19" s="709">
        <v>0.2385</v>
      </c>
      <c r="AK19" s="709">
        <v>0.5379</v>
      </c>
      <c r="AL19" s="709">
        <v>0.2566</v>
      </c>
      <c r="AM19" s="709">
        <v>0.2369</v>
      </c>
      <c r="AN19" s="709">
        <v>0.4787</v>
      </c>
      <c r="AO19" s="709">
        <v>-0.0013</v>
      </c>
      <c r="AP19" s="709">
        <v>0.0009</v>
      </c>
      <c r="AQ19" s="709">
        <v>0.0146</v>
      </c>
      <c r="AR19" s="709">
        <v>0.0033</v>
      </c>
      <c r="AS19" s="714">
        <v>1.6</v>
      </c>
      <c r="AT19" s="715">
        <v>1.8</v>
      </c>
      <c r="AU19" s="715">
        <v>2</v>
      </c>
      <c r="AV19" s="715">
        <v>2.2</v>
      </c>
      <c r="AW19" s="715">
        <v>2.3</v>
      </c>
      <c r="AX19" s="715">
        <v>2.3</v>
      </c>
      <c r="AY19" s="715">
        <v>2.4</v>
      </c>
      <c r="AZ19" s="715">
        <v>2.5</v>
      </c>
      <c r="BA19" s="715">
        <v>2.5</v>
      </c>
      <c r="BB19" s="715">
        <v>2.5</v>
      </c>
      <c r="BC19" s="715">
        <v>2.5</v>
      </c>
      <c r="BD19" s="715">
        <v>1.7</v>
      </c>
      <c r="BE19" s="715">
        <v>2</v>
      </c>
      <c r="BF19" s="715">
        <v>2.2</v>
      </c>
      <c r="BG19" s="715">
        <v>2.3</v>
      </c>
      <c r="BH19" s="715">
        <v>2.4</v>
      </c>
      <c r="BI19" s="715">
        <v>2.4</v>
      </c>
      <c r="BJ19" s="715">
        <v>2.5</v>
      </c>
      <c r="BK19" s="715">
        <v>2.6</v>
      </c>
      <c r="BL19" s="715">
        <v>2.6</v>
      </c>
      <c r="BM19" s="715">
        <v>2.6</v>
      </c>
      <c r="BN19" s="715">
        <v>2.7</v>
      </c>
      <c r="BO19" s="715">
        <v>1.9</v>
      </c>
      <c r="BP19" s="715">
        <v>2.2</v>
      </c>
      <c r="BQ19" s="715">
        <v>2.3</v>
      </c>
      <c r="BR19" s="715">
        <v>2.4</v>
      </c>
      <c r="BS19" s="715">
        <v>2.4</v>
      </c>
      <c r="BT19" s="715">
        <v>2.5</v>
      </c>
      <c r="BU19" s="715">
        <v>2.6</v>
      </c>
      <c r="BV19" s="715">
        <v>2.7</v>
      </c>
      <c r="BW19" s="715">
        <v>2.8</v>
      </c>
      <c r="BX19" s="715">
        <v>2.9</v>
      </c>
      <c r="BY19" s="715">
        <v>3</v>
      </c>
      <c r="BZ19" s="715">
        <v>1.9</v>
      </c>
      <c r="CA19" s="715">
        <v>2.3</v>
      </c>
      <c r="CB19" s="715">
        <v>2.3</v>
      </c>
      <c r="CC19" s="715">
        <v>2.4</v>
      </c>
      <c r="CD19" s="715">
        <v>2.5</v>
      </c>
      <c r="CE19" s="715">
        <v>2.6</v>
      </c>
      <c r="CF19" s="715">
        <v>2.7</v>
      </c>
      <c r="CG19" s="715">
        <v>2.8</v>
      </c>
      <c r="CH19" s="715">
        <v>2.9</v>
      </c>
      <c r="CI19" s="715">
        <v>3</v>
      </c>
      <c r="CJ19" s="715">
        <v>3.1</v>
      </c>
      <c r="CK19" s="715">
        <v>1.9</v>
      </c>
      <c r="CL19" s="715">
        <v>2.3</v>
      </c>
      <c r="CM19" s="715">
        <v>2.5</v>
      </c>
      <c r="CN19" s="715">
        <v>2.5</v>
      </c>
      <c r="CO19" s="715">
        <v>2.6</v>
      </c>
      <c r="CP19" s="715">
        <v>2.7</v>
      </c>
      <c r="CQ19" s="715">
        <v>2.7</v>
      </c>
      <c r="CR19" s="715">
        <v>2.9</v>
      </c>
      <c r="CS19" s="715">
        <v>3</v>
      </c>
      <c r="CT19" s="715">
        <v>3</v>
      </c>
      <c r="CU19" s="715">
        <v>3.1</v>
      </c>
      <c r="CV19" s="715">
        <v>2</v>
      </c>
      <c r="CW19" s="715">
        <v>2.4</v>
      </c>
      <c r="CX19" s="715">
        <v>2.5</v>
      </c>
      <c r="CY19" s="715">
        <v>2.6</v>
      </c>
      <c r="CZ19" s="715">
        <v>2.6</v>
      </c>
      <c r="DA19" s="715">
        <v>2.8</v>
      </c>
      <c r="DB19" s="715">
        <v>2.8</v>
      </c>
      <c r="DC19" s="715">
        <v>2.9</v>
      </c>
      <c r="DD19" s="715">
        <v>3</v>
      </c>
      <c r="DE19" s="715">
        <v>3</v>
      </c>
      <c r="DF19" s="715">
        <v>3.1</v>
      </c>
      <c r="DG19" s="715">
        <v>2.3</v>
      </c>
      <c r="DH19" s="715">
        <v>2.5</v>
      </c>
      <c r="DI19" s="715">
        <v>2.6</v>
      </c>
      <c r="DJ19" s="715">
        <v>2.7</v>
      </c>
      <c r="DK19" s="715">
        <v>2.8</v>
      </c>
      <c r="DL19" s="715">
        <v>3</v>
      </c>
      <c r="DM19" s="715">
        <v>3</v>
      </c>
      <c r="DN19" s="715">
        <v>3</v>
      </c>
      <c r="DO19" s="715">
        <v>3</v>
      </c>
      <c r="DP19" s="715">
        <v>3</v>
      </c>
      <c r="DQ19" s="715">
        <v>3.1</v>
      </c>
      <c r="DR19" s="715">
        <v>2.6</v>
      </c>
      <c r="DS19" s="715">
        <v>2.9</v>
      </c>
      <c r="DT19" s="715">
        <v>3</v>
      </c>
      <c r="DU19" s="715">
        <v>3</v>
      </c>
      <c r="DV19" s="715">
        <v>3.1</v>
      </c>
      <c r="DW19" s="715">
        <v>3.3</v>
      </c>
      <c r="DX19" s="715">
        <v>3.3</v>
      </c>
      <c r="DY19" s="715">
        <v>3.3</v>
      </c>
      <c r="DZ19" s="715">
        <v>3.3</v>
      </c>
      <c r="EA19" s="715">
        <v>3.3</v>
      </c>
      <c r="EB19" s="715">
        <v>3.4</v>
      </c>
      <c r="EC19" s="715">
        <v>2.7</v>
      </c>
      <c r="ED19" s="715">
        <v>3</v>
      </c>
      <c r="EE19" s="715">
        <v>3</v>
      </c>
      <c r="EF19" s="715">
        <v>3</v>
      </c>
      <c r="EG19" s="715">
        <v>3.1</v>
      </c>
      <c r="EH19" s="715">
        <v>3.3</v>
      </c>
      <c r="EI19" s="715">
        <v>3.3</v>
      </c>
      <c r="EJ19" s="715">
        <v>3.3</v>
      </c>
      <c r="EK19" s="715">
        <v>3.3</v>
      </c>
      <c r="EL19" s="715">
        <v>3.4</v>
      </c>
      <c r="EM19" s="715">
        <v>3.4</v>
      </c>
      <c r="EN19" s="715">
        <v>2.9</v>
      </c>
      <c r="EO19" s="715">
        <v>3.2</v>
      </c>
      <c r="EP19" s="715">
        <v>3.3</v>
      </c>
      <c r="EQ19" s="715">
        <v>3.3</v>
      </c>
      <c r="ER19" s="715">
        <v>3.4</v>
      </c>
      <c r="ES19" s="715">
        <v>3.5</v>
      </c>
      <c r="ET19" s="715">
        <v>3.6</v>
      </c>
      <c r="EU19" s="715">
        <v>3.5</v>
      </c>
      <c r="EV19" s="715">
        <v>3.5</v>
      </c>
      <c r="EW19" s="715">
        <v>3.6</v>
      </c>
      <c r="EX19" s="715">
        <v>3.6</v>
      </c>
      <c r="EY19" s="715">
        <v>-0.5</v>
      </c>
      <c r="EZ19" s="715">
        <v>0.2</v>
      </c>
      <c r="FA19" s="715">
        <v>0.7</v>
      </c>
      <c r="FB19" s="715">
        <v>1</v>
      </c>
      <c r="FC19" s="715">
        <v>1.3</v>
      </c>
      <c r="FD19" s="715">
        <v>1.5</v>
      </c>
      <c r="FE19" s="715">
        <v>1.7</v>
      </c>
      <c r="FF19" s="715">
        <v>2</v>
      </c>
      <c r="FG19" s="715">
        <v>2.2</v>
      </c>
      <c r="FH19" s="715">
        <v>2.3</v>
      </c>
      <c r="FI19" s="715">
        <v>2.4</v>
      </c>
      <c r="FJ19" s="723">
        <v>1.32e-6</v>
      </c>
      <c r="FK19" s="723">
        <v>2.02e-8</v>
      </c>
      <c r="FL19" s="723">
        <v>-4.68e-11</v>
      </c>
      <c r="FM19" s="723">
        <v>4.63e-7</v>
      </c>
      <c r="FN19" s="723">
        <v>-4.16e-10</v>
      </c>
      <c r="FO19" s="723">
        <v>0.204</v>
      </c>
      <c r="FP19" s="729">
        <v>1</v>
      </c>
      <c r="FQ19" s="729">
        <v>1</v>
      </c>
      <c r="FR19" s="729">
        <v>2</v>
      </c>
      <c r="FS19" s="729">
        <v>1</v>
      </c>
      <c r="FT19" s="729">
        <v>1</v>
      </c>
      <c r="FU19" s="729">
        <v>1</v>
      </c>
      <c r="FV19" s="681">
        <v>1</v>
      </c>
      <c r="FW19" s="729"/>
      <c r="FX19" s="729"/>
      <c r="FY19" s="729"/>
      <c r="FZ19" s="739">
        <v>582</v>
      </c>
      <c r="GA19" s="739">
        <v>630</v>
      </c>
      <c r="GB19" s="681">
        <v>519</v>
      </c>
      <c r="GC19" s="681">
        <v>548</v>
      </c>
      <c r="GD19" s="747">
        <v>1.22</v>
      </c>
      <c r="GE19" s="729"/>
      <c r="GF19" s="681">
        <v>73</v>
      </c>
      <c r="GG19" s="681">
        <v>92</v>
      </c>
      <c r="GH19" s="681">
        <v>67</v>
      </c>
      <c r="GI19" s="681">
        <v>69</v>
      </c>
      <c r="GJ19" s="681">
        <v>70</v>
      </c>
      <c r="GK19" s="681">
        <v>71</v>
      </c>
      <c r="GL19" s="681">
        <v>72</v>
      </c>
      <c r="GM19" s="681">
        <v>73</v>
      </c>
      <c r="GN19" s="681">
        <v>73</v>
      </c>
      <c r="GO19" s="681">
        <v>74</v>
      </c>
      <c r="GP19" s="681">
        <v>75</v>
      </c>
      <c r="GQ19" s="681">
        <v>75</v>
      </c>
      <c r="GR19" s="681">
        <v>76</v>
      </c>
      <c r="GS19" s="681">
        <v>77</v>
      </c>
      <c r="GT19" s="681">
        <v>78</v>
      </c>
      <c r="GU19" s="681">
        <v>79</v>
      </c>
      <c r="GV19" s="681">
        <v>79</v>
      </c>
      <c r="GW19" s="681">
        <v>80</v>
      </c>
      <c r="GX19" s="681">
        <v>81</v>
      </c>
      <c r="GY19" s="681">
        <v>82</v>
      </c>
      <c r="GZ19" s="681">
        <v>84</v>
      </c>
      <c r="HA19" s="681">
        <v>85</v>
      </c>
      <c r="HB19" s="681">
        <v>87</v>
      </c>
      <c r="HC19" s="681"/>
      <c r="HD19" s="681">
        <v>95</v>
      </c>
      <c r="HE19" s="681"/>
      <c r="HF19" s="681">
        <v>581</v>
      </c>
      <c r="HG19" s="738">
        <v>100</v>
      </c>
      <c r="HH19" s="714">
        <v>76.9</v>
      </c>
      <c r="HI19" s="714">
        <v>32.3</v>
      </c>
      <c r="HJ19" s="753">
        <v>0.189</v>
      </c>
      <c r="HK19" s="681">
        <v>92</v>
      </c>
      <c r="HL19" s="685">
        <v>2.53</v>
      </c>
      <c r="HM19" s="747">
        <v>2.49</v>
      </c>
      <c r="HN19" s="729" t="s">
        <v>398</v>
      </c>
      <c r="HO19" s="729" t="s">
        <v>399</v>
      </c>
      <c r="HP19" s="714"/>
      <c r="HQ19" s="754">
        <v>0.851</v>
      </c>
      <c r="HR19" s="754">
        <v>0.888</v>
      </c>
      <c r="HS19" s="754">
        <v>0.954</v>
      </c>
      <c r="HT19" s="754">
        <v>0.98</v>
      </c>
      <c r="HU19" s="754">
        <v>0.994</v>
      </c>
      <c r="HV19" s="754">
        <v>0.989</v>
      </c>
      <c r="HW19" s="754">
        <v>0.999</v>
      </c>
      <c r="HX19" s="754">
        <v>0.999</v>
      </c>
      <c r="HY19" s="754">
        <v>0.999</v>
      </c>
      <c r="HZ19" s="754">
        <v>0.999</v>
      </c>
      <c r="IA19" s="754">
        <v>0.999</v>
      </c>
      <c r="IB19" s="754">
        <v>0.999</v>
      </c>
      <c r="IC19" s="754">
        <v>0.999</v>
      </c>
      <c r="ID19" s="754">
        <v>0.999</v>
      </c>
      <c r="IE19" s="754">
        <v>0.999</v>
      </c>
      <c r="IF19" s="754">
        <v>0.999</v>
      </c>
      <c r="IG19" s="754">
        <v>0.999</v>
      </c>
      <c r="IH19" s="754">
        <v>0.999</v>
      </c>
      <c r="II19" s="754">
        <v>0.999</v>
      </c>
      <c r="IJ19" s="754">
        <v>0.999</v>
      </c>
      <c r="IK19" s="754">
        <v>0.999</v>
      </c>
      <c r="IL19" s="754">
        <v>0.999</v>
      </c>
      <c r="IM19" s="754">
        <v>0.999</v>
      </c>
      <c r="IN19" s="754">
        <v>0.999</v>
      </c>
      <c r="IO19" s="754">
        <v>0.998</v>
      </c>
      <c r="IP19" s="754">
        <v>0.997</v>
      </c>
      <c r="IQ19" s="754">
        <v>0.997</v>
      </c>
      <c r="IR19" s="754">
        <v>0.996</v>
      </c>
      <c r="IS19" s="754">
        <v>0.993</v>
      </c>
      <c r="IT19" s="754">
        <v>0.986</v>
      </c>
      <c r="IU19" s="754">
        <v>0.972</v>
      </c>
      <c r="IV19" s="754">
        <v>0.941</v>
      </c>
      <c r="IW19" s="754">
        <v>0.877</v>
      </c>
      <c r="IX19" s="754">
        <v>0.742</v>
      </c>
      <c r="IY19" s="754">
        <v>0.523</v>
      </c>
      <c r="IZ19" s="754">
        <v>0.279</v>
      </c>
      <c r="JA19" s="753">
        <v>0.725</v>
      </c>
      <c r="JB19" s="753">
        <v>0.788</v>
      </c>
      <c r="JC19" s="753">
        <v>0.911</v>
      </c>
      <c r="JD19" s="753">
        <v>0.96</v>
      </c>
      <c r="JE19" s="753">
        <v>0.988</v>
      </c>
      <c r="JF19" s="753">
        <v>0.978</v>
      </c>
      <c r="JG19" s="753">
        <v>0.998</v>
      </c>
      <c r="JH19" s="753">
        <v>0.998</v>
      </c>
      <c r="JI19" s="753">
        <v>0.998</v>
      </c>
      <c r="JJ19" s="753">
        <v>0.998</v>
      </c>
      <c r="JK19" s="753">
        <v>0.998</v>
      </c>
      <c r="JL19" s="753">
        <v>0.998</v>
      </c>
      <c r="JM19" s="753">
        <v>0.998</v>
      </c>
      <c r="JN19" s="753">
        <v>0.998</v>
      </c>
      <c r="JO19" s="753">
        <v>0.998</v>
      </c>
      <c r="JP19" s="753">
        <v>0.998</v>
      </c>
      <c r="JQ19" s="753">
        <v>0.998</v>
      </c>
      <c r="JR19" s="753">
        <v>0.998</v>
      </c>
      <c r="JS19" s="753">
        <v>0.998</v>
      </c>
      <c r="JT19" s="753">
        <v>0.998</v>
      </c>
      <c r="JU19" s="753">
        <v>0.998</v>
      </c>
      <c r="JV19" s="753">
        <v>0.998</v>
      </c>
      <c r="JW19" s="753">
        <v>0.998</v>
      </c>
      <c r="JX19" s="753">
        <v>0.998</v>
      </c>
      <c r="JY19" s="753">
        <v>0.997</v>
      </c>
      <c r="JZ19" s="753">
        <v>0.995</v>
      </c>
      <c r="KA19" s="753">
        <v>0.995</v>
      </c>
      <c r="KB19" s="753">
        <v>0.993</v>
      </c>
      <c r="KC19" s="753">
        <v>0.986</v>
      </c>
      <c r="KD19" s="753">
        <v>0.973</v>
      </c>
      <c r="KE19" s="753">
        <v>0.945</v>
      </c>
      <c r="KF19" s="753">
        <v>0.885</v>
      </c>
      <c r="KG19" s="753">
        <v>0.769</v>
      </c>
      <c r="KH19" s="753">
        <v>0.55</v>
      </c>
      <c r="KI19" s="753">
        <v>0.274</v>
      </c>
      <c r="KJ19" s="753">
        <v>0.078</v>
      </c>
      <c r="KK19" s="765" t="s">
        <v>281</v>
      </c>
      <c r="KL19" s="738">
        <v>20</v>
      </c>
      <c r="KM19" s="738">
        <v>50</v>
      </c>
      <c r="KN19" s="715" t="s">
        <v>282</v>
      </c>
      <c r="KO19" s="646" t="s">
        <v>397</v>
      </c>
      <c r="KP19" s="679">
        <v>517642</v>
      </c>
      <c r="KQ19" s="766"/>
      <c r="KR19" s="750"/>
      <c r="KS19" s="772" t="s">
        <v>397</v>
      </c>
      <c r="KT19" s="770">
        <v>517642</v>
      </c>
      <c r="KU19" s="766"/>
      <c r="KV19" s="750"/>
      <c r="KW19" s="771"/>
      <c r="KX19" s="750"/>
      <c r="KY19" s="769" t="s">
        <v>400</v>
      </c>
      <c r="KZ19" s="770">
        <v>517642</v>
      </c>
    </row>
    <row r="20" s="628" customFormat="1" customHeight="1" spans="1:312">
      <c r="A20" s="682"/>
      <c r="B20" s="683">
        <v>16</v>
      </c>
      <c r="C20" s="684" t="s">
        <v>401</v>
      </c>
      <c r="D20" s="679">
        <v>518590</v>
      </c>
      <c r="E20" s="685">
        <v>58.95</v>
      </c>
      <c r="F20" s="685">
        <v>58.69</v>
      </c>
      <c r="G20" s="686">
        <v>0.00879</v>
      </c>
      <c r="H20" s="686">
        <v>0.008865</v>
      </c>
      <c r="I20" s="696">
        <v>1.49188</v>
      </c>
      <c r="J20" s="696">
        <v>1.49679</v>
      </c>
      <c r="K20" s="696">
        <v>1.50212</v>
      </c>
      <c r="L20" s="696">
        <v>1.50673</v>
      </c>
      <c r="M20" s="696">
        <v>1.50754</v>
      </c>
      <c r="N20" s="696">
        <v>1.50821</v>
      </c>
      <c r="O20" s="696">
        <v>1.51074</v>
      </c>
      <c r="P20" s="696">
        <v>1.51243</v>
      </c>
      <c r="Q20" s="696">
        <v>1.51397</v>
      </c>
      <c r="R20" s="696">
        <v>1.51549</v>
      </c>
      <c r="S20" s="696">
        <v>1.51592</v>
      </c>
      <c r="T20" s="701">
        <v>1.51633</v>
      </c>
      <c r="U20" s="696">
        <v>1.5181</v>
      </c>
      <c r="V20" s="696">
        <v>1.51818</v>
      </c>
      <c r="W20" s="696">
        <v>1.52027</v>
      </c>
      <c r="X20" s="696">
        <v>1.52428</v>
      </c>
      <c r="Y20" s="696">
        <v>1.52479</v>
      </c>
      <c r="Z20" s="696">
        <v>1.52908</v>
      </c>
      <c r="AA20" s="696">
        <v>1.53306</v>
      </c>
      <c r="AB20" s="696">
        <v>1.53987</v>
      </c>
      <c r="AC20" s="704">
        <v>2.27263886</v>
      </c>
      <c r="AD20" s="705">
        <v>-0.00907293538</v>
      </c>
      <c r="AE20" s="705">
        <v>0.0114409318</v>
      </c>
      <c r="AF20" s="705">
        <v>0.000289379329</v>
      </c>
      <c r="AG20" s="705">
        <v>-1.16567157e-5</v>
      </c>
      <c r="AH20" s="705">
        <v>7.94218946e-7</v>
      </c>
      <c r="AI20" s="709">
        <v>0.306</v>
      </c>
      <c r="AJ20" s="709">
        <v>0.2378</v>
      </c>
      <c r="AK20" s="709">
        <v>0.5461</v>
      </c>
      <c r="AL20" s="709">
        <v>0.2549</v>
      </c>
      <c r="AM20" s="709">
        <v>0.2358</v>
      </c>
      <c r="AN20" s="709">
        <v>0.4839</v>
      </c>
      <c r="AO20" s="709">
        <v>-0.0015</v>
      </c>
      <c r="AP20" s="709">
        <v>0.0004</v>
      </c>
      <c r="AQ20" s="709">
        <v>0.0024</v>
      </c>
      <c r="AR20" s="709">
        <v>-0.0015</v>
      </c>
      <c r="AS20" s="714">
        <v>1.2</v>
      </c>
      <c r="AT20" s="715">
        <v>1.1</v>
      </c>
      <c r="AU20" s="715">
        <v>1.1</v>
      </c>
      <c r="AV20" s="715">
        <v>1.1</v>
      </c>
      <c r="AW20" s="715">
        <v>1.1</v>
      </c>
      <c r="AX20" s="715">
        <v>1.1</v>
      </c>
      <c r="AY20" s="715">
        <v>1.2</v>
      </c>
      <c r="AZ20" s="715">
        <v>1.2</v>
      </c>
      <c r="BA20" s="715">
        <v>1.3</v>
      </c>
      <c r="BB20" s="715">
        <v>1.3</v>
      </c>
      <c r="BC20" s="715">
        <v>1.3</v>
      </c>
      <c r="BD20" s="715">
        <v>1.3</v>
      </c>
      <c r="BE20" s="715">
        <v>1.2</v>
      </c>
      <c r="BF20" s="715">
        <v>1.3</v>
      </c>
      <c r="BG20" s="715">
        <v>1.3</v>
      </c>
      <c r="BH20" s="715">
        <v>1.3</v>
      </c>
      <c r="BI20" s="715">
        <v>1.3</v>
      </c>
      <c r="BJ20" s="715">
        <v>1.4</v>
      </c>
      <c r="BK20" s="715">
        <v>1.4</v>
      </c>
      <c r="BL20" s="715">
        <v>1.5</v>
      </c>
      <c r="BM20" s="715">
        <v>1.5</v>
      </c>
      <c r="BN20" s="715">
        <v>1.5</v>
      </c>
      <c r="BO20" s="715">
        <v>1.4</v>
      </c>
      <c r="BP20" s="715">
        <v>1.4</v>
      </c>
      <c r="BQ20" s="715">
        <v>1.4</v>
      </c>
      <c r="BR20" s="715">
        <v>1.5</v>
      </c>
      <c r="BS20" s="715">
        <v>1.5</v>
      </c>
      <c r="BT20" s="715">
        <v>1.6</v>
      </c>
      <c r="BU20" s="715">
        <v>1.6</v>
      </c>
      <c r="BV20" s="715">
        <v>1.6</v>
      </c>
      <c r="BW20" s="715">
        <v>1.6</v>
      </c>
      <c r="BX20" s="715">
        <v>1.6</v>
      </c>
      <c r="BY20" s="715">
        <v>1.6</v>
      </c>
      <c r="BZ20" s="715">
        <v>1.5</v>
      </c>
      <c r="CA20" s="715">
        <v>1.5</v>
      </c>
      <c r="CB20" s="715">
        <v>1.5</v>
      </c>
      <c r="CC20" s="715">
        <v>1.5</v>
      </c>
      <c r="CD20" s="715">
        <v>1.5</v>
      </c>
      <c r="CE20" s="715">
        <v>1.6</v>
      </c>
      <c r="CF20" s="715">
        <v>1.6</v>
      </c>
      <c r="CG20" s="715">
        <v>1.6</v>
      </c>
      <c r="CH20" s="715">
        <v>1.6</v>
      </c>
      <c r="CI20" s="715">
        <v>1.6</v>
      </c>
      <c r="CJ20" s="715">
        <v>1.7</v>
      </c>
      <c r="CK20" s="715">
        <v>1.5</v>
      </c>
      <c r="CL20" s="715">
        <v>1.5</v>
      </c>
      <c r="CM20" s="715">
        <v>1.5</v>
      </c>
      <c r="CN20" s="715">
        <v>1.5</v>
      </c>
      <c r="CO20" s="715">
        <v>1.5</v>
      </c>
      <c r="CP20" s="715">
        <v>1.6</v>
      </c>
      <c r="CQ20" s="715">
        <v>1.6</v>
      </c>
      <c r="CR20" s="715">
        <v>1.7</v>
      </c>
      <c r="CS20" s="715">
        <v>1.7</v>
      </c>
      <c r="CT20" s="715">
        <v>1.7</v>
      </c>
      <c r="CU20" s="715">
        <v>1.7</v>
      </c>
      <c r="CV20" s="715">
        <v>1.5</v>
      </c>
      <c r="CW20" s="715">
        <v>1.6</v>
      </c>
      <c r="CX20" s="715">
        <v>1.6</v>
      </c>
      <c r="CY20" s="715">
        <v>1.6</v>
      </c>
      <c r="CZ20" s="715">
        <v>1.6</v>
      </c>
      <c r="DA20" s="715">
        <v>1.7</v>
      </c>
      <c r="DB20" s="715">
        <v>1.7</v>
      </c>
      <c r="DC20" s="715">
        <v>1.8</v>
      </c>
      <c r="DD20" s="715">
        <v>1.8</v>
      </c>
      <c r="DE20" s="715">
        <v>1.8</v>
      </c>
      <c r="DF20" s="715">
        <v>1.9</v>
      </c>
      <c r="DG20" s="715">
        <v>1.8</v>
      </c>
      <c r="DH20" s="715">
        <v>1.8</v>
      </c>
      <c r="DI20" s="715">
        <v>1.8</v>
      </c>
      <c r="DJ20" s="715">
        <v>1.8</v>
      </c>
      <c r="DK20" s="715">
        <v>1.8</v>
      </c>
      <c r="DL20" s="715">
        <v>1.9</v>
      </c>
      <c r="DM20" s="715">
        <v>1.9</v>
      </c>
      <c r="DN20" s="715">
        <v>2</v>
      </c>
      <c r="DO20" s="715">
        <v>2</v>
      </c>
      <c r="DP20" s="715">
        <v>2</v>
      </c>
      <c r="DQ20" s="715">
        <v>2.1</v>
      </c>
      <c r="DR20" s="715">
        <v>2</v>
      </c>
      <c r="DS20" s="715">
        <v>2</v>
      </c>
      <c r="DT20" s="715">
        <v>2.1</v>
      </c>
      <c r="DU20" s="715">
        <v>2.1</v>
      </c>
      <c r="DV20" s="715">
        <v>2.1</v>
      </c>
      <c r="DW20" s="715">
        <v>2.1</v>
      </c>
      <c r="DX20" s="715">
        <v>2.1</v>
      </c>
      <c r="DY20" s="715">
        <v>2.2</v>
      </c>
      <c r="DZ20" s="715">
        <v>2.3</v>
      </c>
      <c r="EA20" s="715">
        <v>2.3</v>
      </c>
      <c r="EB20" s="715">
        <v>2.3</v>
      </c>
      <c r="EC20" s="715">
        <v>2</v>
      </c>
      <c r="ED20" s="715">
        <v>2.1</v>
      </c>
      <c r="EE20" s="715">
        <v>2.1</v>
      </c>
      <c r="EF20" s="715">
        <v>2.1</v>
      </c>
      <c r="EG20" s="715">
        <v>2.2</v>
      </c>
      <c r="EH20" s="715">
        <v>2.2</v>
      </c>
      <c r="EI20" s="715">
        <v>2.2</v>
      </c>
      <c r="EJ20" s="715">
        <v>2.3</v>
      </c>
      <c r="EK20" s="715">
        <v>2.3</v>
      </c>
      <c r="EL20" s="715">
        <v>2.4</v>
      </c>
      <c r="EM20" s="715">
        <v>2.4</v>
      </c>
      <c r="EN20" s="715">
        <v>2.4</v>
      </c>
      <c r="EO20" s="715">
        <v>2.4</v>
      </c>
      <c r="EP20" s="715">
        <v>2.5</v>
      </c>
      <c r="EQ20" s="715">
        <v>2.5</v>
      </c>
      <c r="ER20" s="715">
        <v>2.5</v>
      </c>
      <c r="ES20" s="715">
        <v>2.6</v>
      </c>
      <c r="ET20" s="715">
        <v>2.6</v>
      </c>
      <c r="EU20" s="715">
        <v>2.7</v>
      </c>
      <c r="EV20" s="715">
        <v>2.7</v>
      </c>
      <c r="EW20" s="715">
        <v>2.8</v>
      </c>
      <c r="EX20" s="715">
        <v>2.8</v>
      </c>
      <c r="EY20" s="715">
        <v>-0.9</v>
      </c>
      <c r="EZ20" s="715">
        <v>-0.6</v>
      </c>
      <c r="FA20" s="715">
        <v>-0.3</v>
      </c>
      <c r="FB20" s="715">
        <v>0</v>
      </c>
      <c r="FC20" s="715">
        <v>0.2</v>
      </c>
      <c r="FD20" s="715">
        <v>0.4</v>
      </c>
      <c r="FE20" s="715">
        <v>0.6</v>
      </c>
      <c r="FF20" s="715">
        <v>0.8</v>
      </c>
      <c r="FG20" s="715">
        <v>0.9</v>
      </c>
      <c r="FH20" s="715">
        <v>1</v>
      </c>
      <c r="FI20" s="715">
        <v>1</v>
      </c>
      <c r="FJ20" s="723">
        <v>-9.83e-7</v>
      </c>
      <c r="FK20" s="723">
        <v>1.34e-8</v>
      </c>
      <c r="FL20" s="723">
        <v>-2.97e-11</v>
      </c>
      <c r="FM20" s="723">
        <v>4.25e-7</v>
      </c>
      <c r="FN20" s="723">
        <v>1.9e-10</v>
      </c>
      <c r="FO20" s="723">
        <v>0.252</v>
      </c>
      <c r="FP20" s="729">
        <v>1</v>
      </c>
      <c r="FQ20" s="729">
        <v>1</v>
      </c>
      <c r="FR20" s="729">
        <v>1</v>
      </c>
      <c r="FS20" s="729">
        <v>1</v>
      </c>
      <c r="FT20" s="729">
        <v>2</v>
      </c>
      <c r="FU20" s="729">
        <v>1</v>
      </c>
      <c r="FV20" s="681"/>
      <c r="FW20" s="729"/>
      <c r="FX20" s="729"/>
      <c r="FY20" s="729"/>
      <c r="FZ20" s="739">
        <v>518</v>
      </c>
      <c r="GA20" s="739">
        <v>575</v>
      </c>
      <c r="GB20" s="681">
        <v>460</v>
      </c>
      <c r="GC20" s="681">
        <v>495</v>
      </c>
      <c r="GD20" s="747">
        <v>1.16</v>
      </c>
      <c r="GE20" s="729"/>
      <c r="GF20" s="681">
        <v>88</v>
      </c>
      <c r="GG20" s="681">
        <v>110</v>
      </c>
      <c r="GH20" s="681">
        <v>81</v>
      </c>
      <c r="GI20" s="681">
        <v>84</v>
      </c>
      <c r="GJ20" s="681">
        <v>86</v>
      </c>
      <c r="GK20" s="681">
        <v>87</v>
      </c>
      <c r="GL20" s="681">
        <v>88</v>
      </c>
      <c r="GM20" s="681">
        <v>89</v>
      </c>
      <c r="GN20" s="681">
        <v>90</v>
      </c>
      <c r="GO20" s="681">
        <v>90</v>
      </c>
      <c r="GP20" s="681">
        <v>91</v>
      </c>
      <c r="GQ20" s="681">
        <v>91</v>
      </c>
      <c r="GR20" s="681">
        <v>92</v>
      </c>
      <c r="GS20" s="681">
        <v>93</v>
      </c>
      <c r="GT20" s="681">
        <v>94</v>
      </c>
      <c r="GU20" s="681">
        <v>95</v>
      </c>
      <c r="GV20" s="681">
        <v>96</v>
      </c>
      <c r="GW20" s="681">
        <v>97</v>
      </c>
      <c r="GX20" s="681">
        <v>98</v>
      </c>
      <c r="GY20" s="681">
        <v>100</v>
      </c>
      <c r="GZ20" s="681">
        <v>101</v>
      </c>
      <c r="HA20" s="681">
        <v>103</v>
      </c>
      <c r="HB20" s="681">
        <v>105</v>
      </c>
      <c r="HC20" s="681"/>
      <c r="HD20" s="681">
        <v>70</v>
      </c>
      <c r="HE20" s="681"/>
      <c r="HF20" s="681">
        <v>454</v>
      </c>
      <c r="HG20" s="681">
        <v>118</v>
      </c>
      <c r="HH20" s="714">
        <v>73.1</v>
      </c>
      <c r="HI20" s="714">
        <v>29.7</v>
      </c>
      <c r="HJ20" s="754">
        <v>0.23</v>
      </c>
      <c r="HK20" s="738">
        <v>90</v>
      </c>
      <c r="HL20" s="685">
        <v>2.55</v>
      </c>
      <c r="HM20" s="747">
        <v>2.52</v>
      </c>
      <c r="HN20" s="729" t="s">
        <v>402</v>
      </c>
      <c r="HO20" s="729" t="s">
        <v>403</v>
      </c>
      <c r="HP20" s="714">
        <v>0</v>
      </c>
      <c r="HQ20" s="755">
        <v>0.862</v>
      </c>
      <c r="HR20" s="755">
        <v>0.902</v>
      </c>
      <c r="HS20" s="755">
        <v>0.96</v>
      </c>
      <c r="HT20" s="755">
        <v>0.984</v>
      </c>
      <c r="HU20" s="755">
        <v>0.999</v>
      </c>
      <c r="HV20" s="755">
        <v>0.999</v>
      </c>
      <c r="HW20" s="755">
        <v>0.999</v>
      </c>
      <c r="HX20" s="755">
        <v>0.999</v>
      </c>
      <c r="HY20" s="755">
        <v>0.999</v>
      </c>
      <c r="HZ20" s="755">
        <v>0.999</v>
      </c>
      <c r="IA20" s="755">
        <v>0.999</v>
      </c>
      <c r="IB20" s="755">
        <v>0.999</v>
      </c>
      <c r="IC20" s="755">
        <v>0.999</v>
      </c>
      <c r="ID20" s="755">
        <v>0.999</v>
      </c>
      <c r="IE20" s="755">
        <v>0.999</v>
      </c>
      <c r="IF20" s="755">
        <v>0.999</v>
      </c>
      <c r="IG20" s="755">
        <v>0.999</v>
      </c>
      <c r="IH20" s="755">
        <v>0.999</v>
      </c>
      <c r="II20" s="755">
        <v>0.999</v>
      </c>
      <c r="IJ20" s="755">
        <v>0.999</v>
      </c>
      <c r="IK20" s="755">
        <v>0.999</v>
      </c>
      <c r="IL20" s="755">
        <v>0.999</v>
      </c>
      <c r="IM20" s="755">
        <v>0.999</v>
      </c>
      <c r="IN20" s="755">
        <v>0.999</v>
      </c>
      <c r="IO20" s="755">
        <v>0.999</v>
      </c>
      <c r="IP20" s="755">
        <v>0.994</v>
      </c>
      <c r="IQ20" s="755">
        <v>0.987</v>
      </c>
      <c r="IR20" s="755">
        <v>0.974</v>
      </c>
      <c r="IS20" s="755">
        <v>0.945</v>
      </c>
      <c r="IT20" s="755">
        <v>0.875</v>
      </c>
      <c r="IU20" s="755">
        <v>0.711</v>
      </c>
      <c r="IV20" s="755">
        <v>0.392</v>
      </c>
      <c r="IW20" s="755">
        <v>0.085</v>
      </c>
      <c r="IX20" s="755"/>
      <c r="IY20" s="755"/>
      <c r="IZ20" s="755"/>
      <c r="JA20" s="755">
        <v>0.745</v>
      </c>
      <c r="JB20" s="755">
        <v>0.814</v>
      </c>
      <c r="JC20" s="755">
        <v>0.92</v>
      </c>
      <c r="JD20" s="755">
        <v>0.968</v>
      </c>
      <c r="JE20" s="755">
        <v>0.998</v>
      </c>
      <c r="JF20" s="755">
        <v>0.998</v>
      </c>
      <c r="JG20" s="755">
        <v>0.998</v>
      </c>
      <c r="JH20" s="755">
        <v>0.998</v>
      </c>
      <c r="JI20" s="755">
        <v>0.998</v>
      </c>
      <c r="JJ20" s="755">
        <v>0.998</v>
      </c>
      <c r="JK20" s="755">
        <v>0.998</v>
      </c>
      <c r="JL20" s="755">
        <v>0.998</v>
      </c>
      <c r="JM20" s="755">
        <v>0.998</v>
      </c>
      <c r="JN20" s="755">
        <v>0.998</v>
      </c>
      <c r="JO20" s="755">
        <v>0.998</v>
      </c>
      <c r="JP20" s="755">
        <v>0.998</v>
      </c>
      <c r="JQ20" s="755">
        <v>0.998</v>
      </c>
      <c r="JR20" s="755">
        <v>0.998</v>
      </c>
      <c r="JS20" s="755">
        <v>0.998</v>
      </c>
      <c r="JT20" s="755">
        <v>0.998</v>
      </c>
      <c r="JU20" s="755">
        <v>0.998</v>
      </c>
      <c r="JV20" s="755">
        <v>0.998</v>
      </c>
      <c r="JW20" s="755">
        <v>0.998</v>
      </c>
      <c r="JX20" s="755">
        <v>0.998</v>
      </c>
      <c r="JY20" s="755">
        <v>0.998</v>
      </c>
      <c r="JZ20" s="755">
        <v>0.988</v>
      </c>
      <c r="KA20" s="755">
        <v>0.974</v>
      </c>
      <c r="KB20" s="755">
        <v>0.944</v>
      </c>
      <c r="KC20" s="755">
        <v>0.889</v>
      </c>
      <c r="KD20" s="755">
        <v>0.758</v>
      </c>
      <c r="KE20" s="755">
        <v>0.499</v>
      </c>
      <c r="KF20" s="755">
        <v>0.149</v>
      </c>
      <c r="KG20" s="755">
        <v>0.012</v>
      </c>
      <c r="KH20" s="755"/>
      <c r="KI20" s="755"/>
      <c r="KJ20" s="755"/>
      <c r="KK20" s="765" t="s">
        <v>281</v>
      </c>
      <c r="KL20" s="738"/>
      <c r="KM20" s="738"/>
      <c r="KN20" s="646"/>
      <c r="KO20" s="646" t="s">
        <v>401</v>
      </c>
      <c r="KP20" s="679">
        <v>518590</v>
      </c>
      <c r="KQ20" s="766" t="s">
        <v>404</v>
      </c>
      <c r="KR20" s="750" t="s">
        <v>405</v>
      </c>
      <c r="KS20" s="769" t="s">
        <v>401</v>
      </c>
      <c r="KT20" s="770" t="s">
        <v>405</v>
      </c>
      <c r="KU20" s="766" t="s">
        <v>406</v>
      </c>
      <c r="KV20" s="750">
        <v>518590</v>
      </c>
      <c r="KW20" s="771"/>
      <c r="KX20" s="750"/>
      <c r="KY20" s="769" t="s">
        <v>407</v>
      </c>
      <c r="KZ20" s="770" t="s">
        <v>408</v>
      </c>
    </row>
    <row r="21" s="628" customFormat="1" customHeight="1" spans="1:312">
      <c r="A21" s="682" t="s">
        <v>374</v>
      </c>
      <c r="B21" s="683">
        <v>17</v>
      </c>
      <c r="C21" s="684" t="s">
        <v>409</v>
      </c>
      <c r="D21" s="679">
        <v>534555</v>
      </c>
      <c r="E21" s="685">
        <v>55.47</v>
      </c>
      <c r="F21" s="685">
        <v>55.17</v>
      </c>
      <c r="G21" s="686">
        <v>0.009619</v>
      </c>
      <c r="H21" s="686">
        <v>0.009713</v>
      </c>
      <c r="I21" s="696">
        <v>1.50814</v>
      </c>
      <c r="J21" s="696">
        <v>1.51249</v>
      </c>
      <c r="K21" s="696">
        <v>1.51727</v>
      </c>
      <c r="L21" s="696">
        <v>1.5216</v>
      </c>
      <c r="M21" s="696">
        <v>1.52239</v>
      </c>
      <c r="N21" s="696">
        <v>1.52305</v>
      </c>
      <c r="O21" s="696">
        <v>1.52562</v>
      </c>
      <c r="P21" s="696">
        <v>1.5274</v>
      </c>
      <c r="Q21" s="696">
        <v>1.52904</v>
      </c>
      <c r="R21" s="696">
        <v>1.53068</v>
      </c>
      <c r="S21" s="696">
        <v>1.53114</v>
      </c>
      <c r="T21" s="701">
        <v>1.53157</v>
      </c>
      <c r="U21" s="696">
        <v>1.5335</v>
      </c>
      <c r="V21" s="696">
        <v>1.53359</v>
      </c>
      <c r="W21" s="696">
        <v>1.53588</v>
      </c>
      <c r="X21" s="696">
        <v>1.5403</v>
      </c>
      <c r="Y21" s="696">
        <v>1.54085</v>
      </c>
      <c r="Z21" s="696">
        <v>1.54557</v>
      </c>
      <c r="AA21" s="696">
        <v>1.54996</v>
      </c>
      <c r="AB21" s="696">
        <v>1.55752</v>
      </c>
      <c r="AC21" s="704">
        <v>2.3154405</v>
      </c>
      <c r="AD21" s="705">
        <v>-0.00799936583</v>
      </c>
      <c r="AE21" s="705">
        <v>0.0123689469</v>
      </c>
      <c r="AF21" s="705">
        <v>0.000507443369</v>
      </c>
      <c r="AG21" s="705">
        <v>-4.38673524e-5</v>
      </c>
      <c r="AH21" s="705">
        <v>2.71548041e-6</v>
      </c>
      <c r="AI21" s="709">
        <v>0.3025</v>
      </c>
      <c r="AJ21" s="709">
        <v>0.2381</v>
      </c>
      <c r="AK21" s="709">
        <v>0.5479</v>
      </c>
      <c r="AL21" s="709">
        <v>0.2522</v>
      </c>
      <c r="AM21" s="709">
        <v>0.2358</v>
      </c>
      <c r="AN21" s="709">
        <v>0.4859</v>
      </c>
      <c r="AO21" s="709">
        <v>-0.0001</v>
      </c>
      <c r="AP21" s="709">
        <v>-0.0036</v>
      </c>
      <c r="AQ21" s="709">
        <v>-0.0157</v>
      </c>
      <c r="AR21" s="709">
        <v>-0.0075</v>
      </c>
      <c r="AS21" s="714">
        <v>0.1</v>
      </c>
      <c r="AT21" s="715">
        <v>0.4</v>
      </c>
      <c r="AU21" s="715">
        <v>0.6</v>
      </c>
      <c r="AV21" s="715">
        <v>0.6</v>
      </c>
      <c r="AW21" s="715">
        <v>0.7</v>
      </c>
      <c r="AX21" s="715">
        <v>0.7</v>
      </c>
      <c r="AY21" s="715">
        <v>0.7</v>
      </c>
      <c r="AZ21" s="715">
        <v>0.8</v>
      </c>
      <c r="BA21" s="715">
        <v>0.8</v>
      </c>
      <c r="BB21" s="715">
        <v>0.9</v>
      </c>
      <c r="BC21" s="715">
        <v>0.9</v>
      </c>
      <c r="BD21" s="715">
        <v>0.4</v>
      </c>
      <c r="BE21" s="715">
        <v>0.8</v>
      </c>
      <c r="BF21" s="715">
        <v>1</v>
      </c>
      <c r="BG21" s="715">
        <v>1.2</v>
      </c>
      <c r="BH21" s="715">
        <v>1.3</v>
      </c>
      <c r="BI21" s="715">
        <v>1.5</v>
      </c>
      <c r="BJ21" s="715">
        <v>1.5</v>
      </c>
      <c r="BK21" s="715">
        <v>1.6</v>
      </c>
      <c r="BL21" s="715">
        <v>1.6</v>
      </c>
      <c r="BM21" s="715">
        <v>1.8</v>
      </c>
      <c r="BN21" s="715">
        <v>1.9</v>
      </c>
      <c r="BO21" s="715">
        <v>1</v>
      </c>
      <c r="BP21" s="715">
        <v>1.3</v>
      </c>
      <c r="BQ21" s="715">
        <v>1.3</v>
      </c>
      <c r="BR21" s="715">
        <v>1.4</v>
      </c>
      <c r="BS21" s="715">
        <v>1.6</v>
      </c>
      <c r="BT21" s="715">
        <v>1.7</v>
      </c>
      <c r="BU21" s="715">
        <v>1.7</v>
      </c>
      <c r="BV21" s="715">
        <v>1.8</v>
      </c>
      <c r="BW21" s="715">
        <v>1.8</v>
      </c>
      <c r="BX21" s="715">
        <v>2.1</v>
      </c>
      <c r="BY21" s="715">
        <v>2.2</v>
      </c>
      <c r="BZ21" s="715">
        <v>1.1</v>
      </c>
      <c r="CA21" s="715">
        <v>1.4</v>
      </c>
      <c r="CB21" s="715">
        <v>1.4</v>
      </c>
      <c r="CC21" s="715">
        <v>1.5</v>
      </c>
      <c r="CD21" s="715">
        <v>1.6</v>
      </c>
      <c r="CE21" s="715">
        <v>1.8</v>
      </c>
      <c r="CF21" s="715">
        <v>1.8</v>
      </c>
      <c r="CG21" s="715">
        <v>1.9</v>
      </c>
      <c r="CH21" s="715">
        <v>1.9</v>
      </c>
      <c r="CI21" s="715">
        <v>2.2</v>
      </c>
      <c r="CJ21" s="715">
        <v>2.3</v>
      </c>
      <c r="CK21" s="715">
        <v>1.2</v>
      </c>
      <c r="CL21" s="715">
        <v>1.5</v>
      </c>
      <c r="CM21" s="715">
        <v>1.5</v>
      </c>
      <c r="CN21" s="715">
        <v>1.6</v>
      </c>
      <c r="CO21" s="715">
        <v>1.7</v>
      </c>
      <c r="CP21" s="715">
        <v>1.8</v>
      </c>
      <c r="CQ21" s="715">
        <v>1.9</v>
      </c>
      <c r="CR21" s="715">
        <v>2</v>
      </c>
      <c r="CS21" s="715">
        <v>2</v>
      </c>
      <c r="CT21" s="715">
        <v>2.2</v>
      </c>
      <c r="CU21" s="715">
        <v>2.4</v>
      </c>
      <c r="CV21" s="715">
        <v>1.4</v>
      </c>
      <c r="CW21" s="715">
        <v>1.7</v>
      </c>
      <c r="CX21" s="715">
        <v>1.9</v>
      </c>
      <c r="CY21" s="715">
        <v>2</v>
      </c>
      <c r="CZ21" s="715">
        <v>2</v>
      </c>
      <c r="DA21" s="715">
        <v>2</v>
      </c>
      <c r="DB21" s="715">
        <v>2.1</v>
      </c>
      <c r="DC21" s="715">
        <v>2.3</v>
      </c>
      <c r="DD21" s="715">
        <v>2.3</v>
      </c>
      <c r="DE21" s="715">
        <v>2.4</v>
      </c>
      <c r="DF21" s="715">
        <v>2.6</v>
      </c>
      <c r="DG21" s="715">
        <v>1.7</v>
      </c>
      <c r="DH21" s="715">
        <v>1.8</v>
      </c>
      <c r="DI21" s="715">
        <v>2</v>
      </c>
      <c r="DJ21" s="715">
        <v>2.2</v>
      </c>
      <c r="DK21" s="715">
        <v>2.4</v>
      </c>
      <c r="DL21" s="715">
        <v>2.5</v>
      </c>
      <c r="DM21" s="715">
        <v>2.6</v>
      </c>
      <c r="DN21" s="715">
        <v>2.7</v>
      </c>
      <c r="DO21" s="715">
        <v>2.9</v>
      </c>
      <c r="DP21" s="715">
        <v>3</v>
      </c>
      <c r="DQ21" s="715">
        <v>3.1</v>
      </c>
      <c r="DR21" s="715">
        <v>2</v>
      </c>
      <c r="DS21" s="715">
        <v>2.1</v>
      </c>
      <c r="DT21" s="715">
        <v>2.3</v>
      </c>
      <c r="DU21" s="715">
        <v>2.5</v>
      </c>
      <c r="DV21" s="715">
        <v>2.6</v>
      </c>
      <c r="DW21" s="715">
        <v>2.8</v>
      </c>
      <c r="DX21" s="715">
        <v>2.9</v>
      </c>
      <c r="DY21" s="715">
        <v>3</v>
      </c>
      <c r="DZ21" s="715">
        <v>3.2</v>
      </c>
      <c r="EA21" s="715">
        <v>3.4</v>
      </c>
      <c r="EB21" s="715">
        <v>3.5</v>
      </c>
      <c r="EC21" s="715">
        <v>2.1</v>
      </c>
      <c r="ED21" s="715">
        <v>2.2</v>
      </c>
      <c r="EE21" s="715">
        <v>2.3</v>
      </c>
      <c r="EF21" s="715">
        <v>2.5</v>
      </c>
      <c r="EG21" s="715">
        <v>2.7</v>
      </c>
      <c r="EH21" s="715">
        <v>2.9</v>
      </c>
      <c r="EI21" s="715">
        <v>3</v>
      </c>
      <c r="EJ21" s="715">
        <v>3.1</v>
      </c>
      <c r="EK21" s="715">
        <v>3.2</v>
      </c>
      <c r="EL21" s="715">
        <v>3.4</v>
      </c>
      <c r="EM21" s="715">
        <v>3.6</v>
      </c>
      <c r="EN21" s="715">
        <v>2.3</v>
      </c>
      <c r="EO21" s="715">
        <v>2.4</v>
      </c>
      <c r="EP21" s="715">
        <v>2.4</v>
      </c>
      <c r="EQ21" s="715">
        <v>2.7</v>
      </c>
      <c r="ER21" s="715">
        <v>3</v>
      </c>
      <c r="ES21" s="715">
        <v>3.2</v>
      </c>
      <c r="ET21" s="715">
        <v>3.3</v>
      </c>
      <c r="EU21" s="715">
        <v>3.5</v>
      </c>
      <c r="EV21" s="715">
        <v>3.7</v>
      </c>
      <c r="EW21" s="715">
        <v>3.9</v>
      </c>
      <c r="EX21" s="715">
        <v>4.1</v>
      </c>
      <c r="EY21" s="715">
        <v>-1.3</v>
      </c>
      <c r="EZ21" s="715">
        <v>-0.6</v>
      </c>
      <c r="FA21" s="715">
        <v>-0.3</v>
      </c>
      <c r="FB21" s="715">
        <v>0.1</v>
      </c>
      <c r="FC21" s="715">
        <v>0.4</v>
      </c>
      <c r="FD21" s="715">
        <v>0.6</v>
      </c>
      <c r="FE21" s="715">
        <v>0.9</v>
      </c>
      <c r="FF21" s="715">
        <v>1.1</v>
      </c>
      <c r="FG21" s="715">
        <v>1.2</v>
      </c>
      <c r="FH21" s="715">
        <v>1.4</v>
      </c>
      <c r="FI21" s="715">
        <v>1.7</v>
      </c>
      <c r="FJ21" s="723">
        <v>-2.45e-6</v>
      </c>
      <c r="FK21" s="723">
        <v>1.63e-8</v>
      </c>
      <c r="FL21" s="723">
        <v>-3.64e-11</v>
      </c>
      <c r="FM21" s="723">
        <v>1.14e-6</v>
      </c>
      <c r="FN21" s="723">
        <v>1.2e-9</v>
      </c>
      <c r="FO21" s="723">
        <v>1.33e-8</v>
      </c>
      <c r="FP21" s="729">
        <v>1</v>
      </c>
      <c r="FQ21" s="729">
        <v>1</v>
      </c>
      <c r="FR21" s="729">
        <v>1</v>
      </c>
      <c r="FS21" s="729">
        <v>1</v>
      </c>
      <c r="FT21" s="729">
        <v>1</v>
      </c>
      <c r="FU21" s="729">
        <v>2</v>
      </c>
      <c r="FV21" s="681">
        <v>1</v>
      </c>
      <c r="FW21" s="729"/>
      <c r="FX21" s="729"/>
      <c r="FY21" s="729"/>
      <c r="FZ21" s="739">
        <v>495</v>
      </c>
      <c r="GA21" s="739">
        <v>549</v>
      </c>
      <c r="GB21" s="681">
        <v>450</v>
      </c>
      <c r="GC21" s="681">
        <v>488</v>
      </c>
      <c r="GD21" s="747">
        <v>1.01</v>
      </c>
      <c r="GE21" s="729"/>
      <c r="GF21" s="681">
        <v>98</v>
      </c>
      <c r="GG21" s="681">
        <v>113</v>
      </c>
      <c r="GH21" s="681">
        <v>83</v>
      </c>
      <c r="GI21" s="681">
        <v>86</v>
      </c>
      <c r="GJ21" s="681">
        <v>88</v>
      </c>
      <c r="GK21" s="681">
        <v>89</v>
      </c>
      <c r="GL21" s="681">
        <v>91</v>
      </c>
      <c r="GM21" s="681">
        <v>92</v>
      </c>
      <c r="GN21" s="681">
        <v>93</v>
      </c>
      <c r="GO21" s="681">
        <v>94</v>
      </c>
      <c r="GP21" s="681">
        <v>94</v>
      </c>
      <c r="GQ21" s="681">
        <v>94</v>
      </c>
      <c r="GR21" s="681">
        <v>95</v>
      </c>
      <c r="GS21" s="681">
        <v>96</v>
      </c>
      <c r="GT21" s="681">
        <v>97</v>
      </c>
      <c r="GU21" s="681">
        <v>99</v>
      </c>
      <c r="GV21" s="681">
        <v>100</v>
      </c>
      <c r="GW21" s="681">
        <v>102</v>
      </c>
      <c r="GX21" s="681">
        <v>104</v>
      </c>
      <c r="GY21" s="681">
        <v>106</v>
      </c>
      <c r="GZ21" s="681">
        <v>108</v>
      </c>
      <c r="HA21" s="681">
        <v>109</v>
      </c>
      <c r="HB21" s="681">
        <v>112</v>
      </c>
      <c r="HC21" s="681"/>
      <c r="HD21" s="681">
        <v>58</v>
      </c>
      <c r="HE21" s="681"/>
      <c r="HF21" s="681">
        <v>485</v>
      </c>
      <c r="HG21" s="681">
        <v>98</v>
      </c>
      <c r="HH21" s="714">
        <v>69.7</v>
      </c>
      <c r="HI21" s="714">
        <v>27.4</v>
      </c>
      <c r="HJ21" s="754">
        <v>0.271</v>
      </c>
      <c r="HK21" s="738">
        <v>79</v>
      </c>
      <c r="HL21" s="685">
        <v>2.75</v>
      </c>
      <c r="HM21" s="747">
        <v>2.73</v>
      </c>
      <c r="HN21" s="729" t="s">
        <v>410</v>
      </c>
      <c r="HO21" s="729" t="s">
        <v>411</v>
      </c>
      <c r="HP21" s="714">
        <v>-0.5</v>
      </c>
      <c r="HQ21" s="755">
        <v>0.874</v>
      </c>
      <c r="HR21" s="755">
        <v>0.898</v>
      </c>
      <c r="HS21" s="755">
        <v>0.955</v>
      </c>
      <c r="HT21" s="755">
        <v>0.977</v>
      </c>
      <c r="HU21" s="755">
        <v>0.994</v>
      </c>
      <c r="HV21" s="755">
        <v>0.999</v>
      </c>
      <c r="HW21" s="755">
        <v>0.999</v>
      </c>
      <c r="HX21" s="755">
        <v>0.999</v>
      </c>
      <c r="HY21" s="755">
        <v>0.999</v>
      </c>
      <c r="HZ21" s="755">
        <v>0.999</v>
      </c>
      <c r="IA21" s="755">
        <v>0.999</v>
      </c>
      <c r="IB21" s="755">
        <v>0.999</v>
      </c>
      <c r="IC21" s="755">
        <v>0.999</v>
      </c>
      <c r="ID21" s="755">
        <v>0.999</v>
      </c>
      <c r="IE21" s="755">
        <v>0.999</v>
      </c>
      <c r="IF21" s="755">
        <v>0.999</v>
      </c>
      <c r="IG21" s="755">
        <v>0.999</v>
      </c>
      <c r="IH21" s="755">
        <v>0.999</v>
      </c>
      <c r="II21" s="755">
        <v>0.999</v>
      </c>
      <c r="IJ21" s="755">
        <v>0.999</v>
      </c>
      <c r="IK21" s="755">
        <v>0.999</v>
      </c>
      <c r="IL21" s="755">
        <v>0.999</v>
      </c>
      <c r="IM21" s="755">
        <v>0.998</v>
      </c>
      <c r="IN21" s="755">
        <v>0.997</v>
      </c>
      <c r="IO21" s="755">
        <v>0.994</v>
      </c>
      <c r="IP21" s="755">
        <v>0.99</v>
      </c>
      <c r="IQ21" s="755">
        <v>0.98</v>
      </c>
      <c r="IR21" s="755">
        <v>0.956</v>
      </c>
      <c r="IS21" s="755">
        <v>0.905</v>
      </c>
      <c r="IT21" s="755">
        <v>0.797</v>
      </c>
      <c r="IU21" s="755">
        <v>0.574</v>
      </c>
      <c r="IV21" s="755">
        <v>0.26</v>
      </c>
      <c r="IW21" s="755"/>
      <c r="IX21" s="755"/>
      <c r="IY21" s="755"/>
      <c r="IZ21" s="755"/>
      <c r="JA21" s="755">
        <v>0.764</v>
      </c>
      <c r="JB21" s="755">
        <v>0.806</v>
      </c>
      <c r="JC21" s="755">
        <v>0.909</v>
      </c>
      <c r="JD21" s="755">
        <v>0.953</v>
      </c>
      <c r="JE21" s="755">
        <v>0.988</v>
      </c>
      <c r="JF21" s="755">
        <v>0.998</v>
      </c>
      <c r="JG21" s="755">
        <v>0.998</v>
      </c>
      <c r="JH21" s="755">
        <v>0.998</v>
      </c>
      <c r="JI21" s="755">
        <v>0.998</v>
      </c>
      <c r="JJ21" s="755">
        <v>0.998</v>
      </c>
      <c r="JK21" s="755">
        <v>0.998</v>
      </c>
      <c r="JL21" s="755">
        <v>0.998</v>
      </c>
      <c r="JM21" s="755">
        <v>0.998</v>
      </c>
      <c r="JN21" s="755">
        <v>0.998</v>
      </c>
      <c r="JO21" s="755">
        <v>0.998</v>
      </c>
      <c r="JP21" s="755">
        <v>0.998</v>
      </c>
      <c r="JQ21" s="755">
        <v>0.998</v>
      </c>
      <c r="JR21" s="755">
        <v>0.998</v>
      </c>
      <c r="JS21" s="755">
        <v>0.998</v>
      </c>
      <c r="JT21" s="755">
        <v>0.998</v>
      </c>
      <c r="JU21" s="755">
        <v>0.998</v>
      </c>
      <c r="JV21" s="755">
        <v>0.998</v>
      </c>
      <c r="JW21" s="755">
        <v>0.996</v>
      </c>
      <c r="JX21" s="755">
        <v>0.994</v>
      </c>
      <c r="JY21" s="755">
        <v>0.989</v>
      </c>
      <c r="JZ21" s="755">
        <v>0.98</v>
      </c>
      <c r="KA21" s="755">
        <v>0.96</v>
      </c>
      <c r="KB21" s="755">
        <v>0.914</v>
      </c>
      <c r="KC21" s="755">
        <v>0.82</v>
      </c>
      <c r="KD21" s="755">
        <v>0.635</v>
      </c>
      <c r="KE21" s="755">
        <v>0.329</v>
      </c>
      <c r="KF21" s="755">
        <v>0.067</v>
      </c>
      <c r="KG21" s="755"/>
      <c r="KH21" s="755"/>
      <c r="KI21" s="755"/>
      <c r="KJ21" s="755"/>
      <c r="KK21" s="765" t="s">
        <v>281</v>
      </c>
      <c r="KL21" s="738">
        <v>30</v>
      </c>
      <c r="KM21" s="738">
        <v>82</v>
      </c>
      <c r="KN21" s="646" t="s">
        <v>412</v>
      </c>
      <c r="KO21" s="646" t="s">
        <v>409</v>
      </c>
      <c r="KP21" s="679">
        <v>534555</v>
      </c>
      <c r="KQ21" s="766"/>
      <c r="KR21" s="750"/>
      <c r="KS21" s="769" t="s">
        <v>409</v>
      </c>
      <c r="KT21" s="770" t="s">
        <v>413</v>
      </c>
      <c r="KU21" s="766"/>
      <c r="KV21" s="750"/>
      <c r="KW21" s="771"/>
      <c r="KX21" s="750"/>
      <c r="KY21" s="769"/>
      <c r="KZ21" s="770"/>
    </row>
    <row r="22" s="628" customFormat="1" customHeight="1" spans="1:312">
      <c r="A22" s="682"/>
      <c r="B22" s="683">
        <v>18</v>
      </c>
      <c r="C22" s="684" t="s">
        <v>414</v>
      </c>
      <c r="D22" s="679">
        <v>523586</v>
      </c>
      <c r="E22" s="685">
        <v>58.63</v>
      </c>
      <c r="F22" s="685">
        <v>58.39</v>
      </c>
      <c r="G22" s="686">
        <v>0.008921</v>
      </c>
      <c r="H22" s="686">
        <v>0.008995</v>
      </c>
      <c r="I22" s="696">
        <v>1.49748</v>
      </c>
      <c r="J22" s="696">
        <v>1.50215</v>
      </c>
      <c r="K22" s="696">
        <v>1.50724</v>
      </c>
      <c r="L22" s="696">
        <v>1.51167</v>
      </c>
      <c r="M22" s="696">
        <v>1.51246</v>
      </c>
      <c r="N22" s="696">
        <v>1.5131</v>
      </c>
      <c r="O22" s="696">
        <v>1.51559</v>
      </c>
      <c r="P22" s="696">
        <v>1.51728</v>
      </c>
      <c r="Q22" s="697">
        <v>1.51883</v>
      </c>
      <c r="R22" s="697">
        <v>1.52037</v>
      </c>
      <c r="S22" s="697">
        <v>1.5208</v>
      </c>
      <c r="T22" s="701">
        <v>1.5212</v>
      </c>
      <c r="U22" s="697">
        <v>1.52299</v>
      </c>
      <c r="V22" s="697">
        <v>1.52307</v>
      </c>
      <c r="W22" s="697">
        <v>1.5252</v>
      </c>
      <c r="X22" s="697">
        <v>1.52929</v>
      </c>
      <c r="Y22" s="697">
        <v>1.5298</v>
      </c>
      <c r="Z22" s="697">
        <v>1.53411</v>
      </c>
      <c r="AA22" s="697">
        <v>1.53811</v>
      </c>
      <c r="AB22" s="697">
        <v>1.54495</v>
      </c>
      <c r="AC22" s="704">
        <v>2.28724008</v>
      </c>
      <c r="AD22" s="705">
        <v>-0.00866259828</v>
      </c>
      <c r="AE22" s="705">
        <v>0.0109312658</v>
      </c>
      <c r="AF22" s="705">
        <v>0.000619326901</v>
      </c>
      <c r="AG22" s="705">
        <v>-6.62977052e-5</v>
      </c>
      <c r="AH22" s="705">
        <v>3.74341463e-6</v>
      </c>
      <c r="AI22" s="709">
        <v>0.3027</v>
      </c>
      <c r="AJ22" s="709">
        <v>0.2388</v>
      </c>
      <c r="AK22" s="709">
        <v>0.5403</v>
      </c>
      <c r="AL22" s="709">
        <v>0.2524</v>
      </c>
      <c r="AM22" s="709">
        <v>0.2368</v>
      </c>
      <c r="AN22" s="709">
        <v>0.4792</v>
      </c>
      <c r="AO22" s="709">
        <v>0.0006</v>
      </c>
      <c r="AP22" s="709">
        <v>-0.0059</v>
      </c>
      <c r="AQ22" s="709">
        <v>-0.0093</v>
      </c>
      <c r="AR22" s="709">
        <v>-0.0053</v>
      </c>
      <c r="AS22" s="714">
        <v>0.9</v>
      </c>
      <c r="AT22" s="714">
        <v>1</v>
      </c>
      <c r="AU22" s="714">
        <v>1.1</v>
      </c>
      <c r="AV22" s="714">
        <v>1.2</v>
      </c>
      <c r="AW22" s="714">
        <v>1.3</v>
      </c>
      <c r="AX22" s="714">
        <v>1.4</v>
      </c>
      <c r="AY22" s="714">
        <v>1.4</v>
      </c>
      <c r="AZ22" s="714">
        <v>1.4</v>
      </c>
      <c r="BA22" s="714">
        <v>1.5</v>
      </c>
      <c r="BB22" s="714">
        <v>1.5</v>
      </c>
      <c r="BC22" s="714">
        <v>1.6</v>
      </c>
      <c r="BD22" s="714">
        <v>1</v>
      </c>
      <c r="BE22" s="714">
        <v>1</v>
      </c>
      <c r="BF22" s="714">
        <v>1.1</v>
      </c>
      <c r="BG22" s="714">
        <v>1.3</v>
      </c>
      <c r="BH22" s="714">
        <v>1.4</v>
      </c>
      <c r="BI22" s="714">
        <v>1.4</v>
      </c>
      <c r="BJ22" s="714">
        <v>1.5</v>
      </c>
      <c r="BK22" s="714">
        <v>1.5</v>
      </c>
      <c r="BL22" s="714">
        <v>1.6</v>
      </c>
      <c r="BM22" s="714">
        <v>1.7</v>
      </c>
      <c r="BN22" s="714">
        <v>1.7</v>
      </c>
      <c r="BO22" s="714">
        <v>1</v>
      </c>
      <c r="BP22" s="714">
        <v>1.1</v>
      </c>
      <c r="BQ22" s="714">
        <v>1.2</v>
      </c>
      <c r="BR22" s="714">
        <v>1.3</v>
      </c>
      <c r="BS22" s="714">
        <v>1.4</v>
      </c>
      <c r="BT22" s="714">
        <v>1.5</v>
      </c>
      <c r="BU22" s="714">
        <v>1.6</v>
      </c>
      <c r="BV22" s="714">
        <v>1.7</v>
      </c>
      <c r="BW22" s="714">
        <v>1.7</v>
      </c>
      <c r="BX22" s="714">
        <v>1.7</v>
      </c>
      <c r="BY22" s="714">
        <v>1.8</v>
      </c>
      <c r="BZ22" s="714">
        <v>1</v>
      </c>
      <c r="CA22" s="714">
        <v>1.1</v>
      </c>
      <c r="CB22" s="714">
        <v>1.2</v>
      </c>
      <c r="CC22" s="714">
        <v>1.3</v>
      </c>
      <c r="CD22" s="714">
        <v>1.4</v>
      </c>
      <c r="CE22" s="714">
        <v>1.5</v>
      </c>
      <c r="CF22" s="714">
        <v>1.6</v>
      </c>
      <c r="CG22" s="714">
        <v>1.7</v>
      </c>
      <c r="CH22" s="714">
        <v>1.7</v>
      </c>
      <c r="CI22" s="714">
        <v>1.8</v>
      </c>
      <c r="CJ22" s="714">
        <v>1.9</v>
      </c>
      <c r="CK22" s="714">
        <v>1.1</v>
      </c>
      <c r="CL22" s="715">
        <v>1.2</v>
      </c>
      <c r="CM22" s="715">
        <v>1.3</v>
      </c>
      <c r="CN22" s="715">
        <v>1.4</v>
      </c>
      <c r="CO22" s="715">
        <v>1.5</v>
      </c>
      <c r="CP22" s="715">
        <v>1.6</v>
      </c>
      <c r="CQ22" s="715">
        <v>1.7</v>
      </c>
      <c r="CR22" s="714">
        <v>1.8</v>
      </c>
      <c r="CS22" s="714">
        <v>1.8</v>
      </c>
      <c r="CT22" s="714">
        <v>1.9</v>
      </c>
      <c r="CU22" s="714">
        <v>2</v>
      </c>
      <c r="CV22" s="714">
        <v>1.4</v>
      </c>
      <c r="CW22" s="715">
        <v>1.5</v>
      </c>
      <c r="CX22" s="715">
        <v>1.6</v>
      </c>
      <c r="CY22" s="715">
        <v>1.7</v>
      </c>
      <c r="CZ22" s="715">
        <v>1.8</v>
      </c>
      <c r="DA22" s="715">
        <v>1.9</v>
      </c>
      <c r="DB22" s="715">
        <v>2</v>
      </c>
      <c r="DC22" s="714">
        <v>2.2</v>
      </c>
      <c r="DD22" s="714">
        <v>2.3</v>
      </c>
      <c r="DE22" s="714">
        <v>2.4</v>
      </c>
      <c r="DF22" s="714">
        <v>2.5</v>
      </c>
      <c r="DG22" s="714">
        <v>1.7</v>
      </c>
      <c r="DH22" s="715">
        <v>1.8</v>
      </c>
      <c r="DI22" s="715">
        <v>2</v>
      </c>
      <c r="DJ22" s="715">
        <v>2.1</v>
      </c>
      <c r="DK22" s="715">
        <v>2.2</v>
      </c>
      <c r="DL22" s="715">
        <v>2.3</v>
      </c>
      <c r="DM22" s="715">
        <v>2.4</v>
      </c>
      <c r="DN22" s="714">
        <v>2.6</v>
      </c>
      <c r="DO22" s="714">
        <v>2.7</v>
      </c>
      <c r="DP22" s="714">
        <v>2.9</v>
      </c>
      <c r="DQ22" s="714">
        <v>2.9</v>
      </c>
      <c r="DR22" s="714">
        <v>1.9</v>
      </c>
      <c r="DS22" s="715">
        <v>2</v>
      </c>
      <c r="DT22" s="715">
        <v>2.2</v>
      </c>
      <c r="DU22" s="715">
        <v>2.4</v>
      </c>
      <c r="DV22" s="715">
        <v>2.6</v>
      </c>
      <c r="DW22" s="715">
        <v>2.7</v>
      </c>
      <c r="DX22" s="715">
        <v>2.8</v>
      </c>
      <c r="DY22" s="714">
        <v>2.9</v>
      </c>
      <c r="DZ22" s="714">
        <v>3</v>
      </c>
      <c r="EA22" s="714">
        <v>3</v>
      </c>
      <c r="EB22" s="714">
        <v>3</v>
      </c>
      <c r="EC22" s="714">
        <v>1.9</v>
      </c>
      <c r="ED22" s="715">
        <v>2</v>
      </c>
      <c r="EE22" s="715">
        <v>2.2</v>
      </c>
      <c r="EF22" s="715">
        <v>2.4</v>
      </c>
      <c r="EG22" s="715">
        <v>2.6</v>
      </c>
      <c r="EH22" s="715">
        <v>2.7</v>
      </c>
      <c r="EI22" s="715">
        <v>2.8</v>
      </c>
      <c r="EJ22" s="714">
        <v>2.9</v>
      </c>
      <c r="EK22" s="714">
        <v>3</v>
      </c>
      <c r="EL22" s="714">
        <v>3.1</v>
      </c>
      <c r="EM22" s="714">
        <v>3.1</v>
      </c>
      <c r="EN22" s="714">
        <v>2.2</v>
      </c>
      <c r="EO22" s="715">
        <v>2.4</v>
      </c>
      <c r="EP22" s="715">
        <v>2.6</v>
      </c>
      <c r="EQ22" s="715">
        <v>2.7</v>
      </c>
      <c r="ER22" s="715">
        <v>2.8</v>
      </c>
      <c r="ES22" s="715">
        <v>3</v>
      </c>
      <c r="ET22" s="715">
        <v>3.1</v>
      </c>
      <c r="EU22" s="714">
        <v>3.2</v>
      </c>
      <c r="EV22" s="714">
        <v>3.3</v>
      </c>
      <c r="EW22" s="714">
        <v>3.5</v>
      </c>
      <c r="EX22" s="714">
        <v>3.5</v>
      </c>
      <c r="EY22" s="714">
        <v>-1.3</v>
      </c>
      <c r="EZ22" s="715">
        <v>-0.9</v>
      </c>
      <c r="FA22" s="715">
        <v>-0.5</v>
      </c>
      <c r="FB22" s="715">
        <v>-0.1</v>
      </c>
      <c r="FC22" s="715">
        <v>0.2</v>
      </c>
      <c r="FD22" s="715">
        <v>0.4</v>
      </c>
      <c r="FE22" s="715">
        <v>0.7</v>
      </c>
      <c r="FF22" s="714">
        <v>0.9</v>
      </c>
      <c r="FG22" s="714">
        <v>1</v>
      </c>
      <c r="FH22" s="714">
        <v>1.2</v>
      </c>
      <c r="FI22" s="714">
        <v>1.3</v>
      </c>
      <c r="FJ22" s="723">
        <v>-1.39e-6</v>
      </c>
      <c r="FK22" s="723">
        <v>1.68e-8</v>
      </c>
      <c r="FL22" s="723">
        <v>-3.96e-11</v>
      </c>
      <c r="FM22" s="723">
        <v>6.34e-7</v>
      </c>
      <c r="FN22" s="723">
        <v>6.47e-10</v>
      </c>
      <c r="FO22" s="723">
        <v>0.223</v>
      </c>
      <c r="FP22" s="729">
        <v>2</v>
      </c>
      <c r="FQ22" s="729">
        <v>1</v>
      </c>
      <c r="FR22" s="729">
        <v>2</v>
      </c>
      <c r="FS22" s="729">
        <v>1</v>
      </c>
      <c r="FT22" s="729">
        <v>1</v>
      </c>
      <c r="FU22" s="729">
        <v>1</v>
      </c>
      <c r="FV22" s="681">
        <v>2</v>
      </c>
      <c r="FW22" s="729"/>
      <c r="FX22" s="729"/>
      <c r="FY22" s="729"/>
      <c r="FZ22" s="739">
        <v>564</v>
      </c>
      <c r="GA22" s="739">
        <v>610</v>
      </c>
      <c r="GB22" s="681">
        <v>497</v>
      </c>
      <c r="GC22" s="681">
        <v>530</v>
      </c>
      <c r="GD22" s="747">
        <v>1.18</v>
      </c>
      <c r="GE22" s="729"/>
      <c r="GF22" s="681">
        <v>80</v>
      </c>
      <c r="GG22" s="681">
        <v>98</v>
      </c>
      <c r="GH22" s="681">
        <v>79</v>
      </c>
      <c r="GI22" s="681">
        <v>80</v>
      </c>
      <c r="GJ22" s="681">
        <v>82</v>
      </c>
      <c r="GK22" s="681">
        <v>83</v>
      </c>
      <c r="GL22" s="681">
        <v>83</v>
      </c>
      <c r="GM22" s="681">
        <v>84</v>
      </c>
      <c r="GN22" s="681">
        <v>84</v>
      </c>
      <c r="GO22" s="681">
        <v>85</v>
      </c>
      <c r="GP22" s="681">
        <v>85</v>
      </c>
      <c r="GQ22" s="681">
        <v>86</v>
      </c>
      <c r="GR22" s="681">
        <v>87</v>
      </c>
      <c r="GS22" s="681">
        <v>87</v>
      </c>
      <c r="GT22" s="681">
        <v>88</v>
      </c>
      <c r="GU22" s="681">
        <v>88</v>
      </c>
      <c r="GV22" s="681">
        <v>90</v>
      </c>
      <c r="GW22" s="681">
        <v>91</v>
      </c>
      <c r="GX22" s="681">
        <v>92</v>
      </c>
      <c r="GY22" s="681">
        <v>92</v>
      </c>
      <c r="GZ22" s="681">
        <v>94</v>
      </c>
      <c r="HA22" s="681">
        <v>95</v>
      </c>
      <c r="HB22" s="681">
        <v>96</v>
      </c>
      <c r="HC22" s="681"/>
      <c r="HD22" s="681">
        <v>46</v>
      </c>
      <c r="HE22" s="681"/>
      <c r="HF22" s="681">
        <v>517</v>
      </c>
      <c r="HG22" s="738">
        <v>102</v>
      </c>
      <c r="HH22" s="714">
        <v>73</v>
      </c>
      <c r="HI22" s="714">
        <v>29.9</v>
      </c>
      <c r="HJ22" s="753">
        <v>0.218</v>
      </c>
      <c r="HK22" s="681">
        <v>52</v>
      </c>
      <c r="HL22" s="685">
        <v>2.5</v>
      </c>
      <c r="HM22" s="747">
        <v>2.52</v>
      </c>
      <c r="HN22" s="729" t="s">
        <v>415</v>
      </c>
      <c r="HO22" s="729" t="s">
        <v>416</v>
      </c>
      <c r="HP22" s="714">
        <v>-2.2</v>
      </c>
      <c r="HQ22" s="754">
        <v>0.9</v>
      </c>
      <c r="HR22" s="753">
        <v>0.915</v>
      </c>
      <c r="HS22" s="753">
        <v>0.963</v>
      </c>
      <c r="HT22" s="753">
        <v>0.984</v>
      </c>
      <c r="HU22" s="753">
        <v>0.998</v>
      </c>
      <c r="HV22" s="753">
        <v>0.998</v>
      </c>
      <c r="HW22" s="753">
        <v>0.998</v>
      </c>
      <c r="HX22" s="753">
        <v>0.998</v>
      </c>
      <c r="HY22" s="753">
        <v>0.998</v>
      </c>
      <c r="HZ22" s="753">
        <v>0.998</v>
      </c>
      <c r="IA22" s="753">
        <v>0.998</v>
      </c>
      <c r="IB22" s="753">
        <v>0.998</v>
      </c>
      <c r="IC22" s="753">
        <v>0.998</v>
      </c>
      <c r="ID22" s="753">
        <v>0.998</v>
      </c>
      <c r="IE22" s="753">
        <v>0.999</v>
      </c>
      <c r="IF22" s="753">
        <v>0.999</v>
      </c>
      <c r="IG22" s="753">
        <v>0.999</v>
      </c>
      <c r="IH22" s="753">
        <v>0.999</v>
      </c>
      <c r="II22" s="753">
        <v>0.999</v>
      </c>
      <c r="IJ22" s="753">
        <v>0.999</v>
      </c>
      <c r="IK22" s="753">
        <v>0.999</v>
      </c>
      <c r="IL22" s="753">
        <v>0.999</v>
      </c>
      <c r="IM22" s="753">
        <v>0.999</v>
      </c>
      <c r="IN22" s="753">
        <v>0.999</v>
      </c>
      <c r="IO22" s="753">
        <v>0.999</v>
      </c>
      <c r="IP22" s="753">
        <v>0.996</v>
      </c>
      <c r="IQ22" s="753">
        <v>0.996</v>
      </c>
      <c r="IR22" s="753">
        <v>0.989</v>
      </c>
      <c r="IS22" s="753">
        <v>0.97</v>
      </c>
      <c r="IT22" s="753">
        <v>0.926</v>
      </c>
      <c r="IU22" s="753">
        <v>0.826</v>
      </c>
      <c r="IV22" s="753">
        <v>0.648</v>
      </c>
      <c r="IW22" s="753">
        <v>0.375</v>
      </c>
      <c r="IX22" s="753">
        <v>0.107</v>
      </c>
      <c r="IY22" s="753"/>
      <c r="IZ22" s="753"/>
      <c r="JA22" s="754">
        <v>0.81</v>
      </c>
      <c r="JB22" s="753">
        <v>0.837</v>
      </c>
      <c r="JC22" s="753">
        <v>0.927</v>
      </c>
      <c r="JD22" s="753">
        <v>0.968</v>
      </c>
      <c r="JE22" s="753">
        <v>0.996</v>
      </c>
      <c r="JF22" s="753">
        <v>0.996</v>
      </c>
      <c r="JG22" s="753">
        <v>0.996</v>
      </c>
      <c r="JH22" s="753">
        <v>0.996</v>
      </c>
      <c r="JI22" s="753">
        <v>0.996</v>
      </c>
      <c r="JJ22" s="753">
        <v>0.996</v>
      </c>
      <c r="JK22" s="753">
        <v>0.996</v>
      </c>
      <c r="JL22" s="753">
        <v>0.996</v>
      </c>
      <c r="JM22" s="753">
        <v>0.996</v>
      </c>
      <c r="JN22" s="753">
        <v>0.997</v>
      </c>
      <c r="JO22" s="753">
        <v>0.998</v>
      </c>
      <c r="JP22" s="753">
        <v>0.998</v>
      </c>
      <c r="JQ22" s="753">
        <v>0.998</v>
      </c>
      <c r="JR22" s="753">
        <v>0.998</v>
      </c>
      <c r="JS22" s="753">
        <v>0.998</v>
      </c>
      <c r="JT22" s="753">
        <v>0.998</v>
      </c>
      <c r="JU22" s="753">
        <v>0.998</v>
      </c>
      <c r="JV22" s="753">
        <v>0.998</v>
      </c>
      <c r="JW22" s="753">
        <v>0.998</v>
      </c>
      <c r="JX22" s="753">
        <v>0.998</v>
      </c>
      <c r="JY22" s="753">
        <v>0.998</v>
      </c>
      <c r="JZ22" s="753">
        <v>0.992</v>
      </c>
      <c r="KA22" s="753">
        <v>0.992</v>
      </c>
      <c r="KB22" s="753">
        <v>0.978</v>
      </c>
      <c r="KC22" s="753">
        <v>0.941</v>
      </c>
      <c r="KD22" s="753">
        <v>0.857</v>
      </c>
      <c r="KE22" s="753">
        <v>0.682</v>
      </c>
      <c r="KF22" s="753">
        <v>0.42</v>
      </c>
      <c r="KG22" s="753">
        <v>0.141</v>
      </c>
      <c r="KH22" s="753">
        <v>0.011</v>
      </c>
      <c r="KI22" s="753"/>
      <c r="KJ22" s="753"/>
      <c r="KK22" s="765" t="s">
        <v>281</v>
      </c>
      <c r="KL22" s="738"/>
      <c r="KM22" s="738"/>
      <c r="KN22" s="646"/>
      <c r="KO22" s="646" t="s">
        <v>414</v>
      </c>
      <c r="KP22" s="679">
        <v>523586</v>
      </c>
      <c r="KQ22" s="766" t="s">
        <v>417</v>
      </c>
      <c r="KR22" s="750" t="s">
        <v>405</v>
      </c>
      <c r="KS22" s="769" t="s">
        <v>414</v>
      </c>
      <c r="KT22" s="770" t="s">
        <v>418</v>
      </c>
      <c r="KU22" s="766" t="s">
        <v>419</v>
      </c>
      <c r="KV22" s="750">
        <v>518590</v>
      </c>
      <c r="KW22" s="771"/>
      <c r="KX22" s="750"/>
      <c r="KY22" s="769" t="s">
        <v>407</v>
      </c>
      <c r="KZ22" s="770" t="s">
        <v>408</v>
      </c>
    </row>
    <row r="23" s="628" customFormat="1" customHeight="1" spans="1:312">
      <c r="A23" s="682" t="s">
        <v>374</v>
      </c>
      <c r="B23" s="683">
        <v>19</v>
      </c>
      <c r="C23" s="684" t="s">
        <v>420</v>
      </c>
      <c r="D23" s="679">
        <v>540597</v>
      </c>
      <c r="E23" s="685">
        <v>59.72</v>
      </c>
      <c r="F23" s="685">
        <v>59.45</v>
      </c>
      <c r="G23" s="686">
        <v>0.009041</v>
      </c>
      <c r="H23" s="686">
        <v>0.009119</v>
      </c>
      <c r="I23" s="696">
        <v>1.51376</v>
      </c>
      <c r="J23" s="696">
        <v>1.51856</v>
      </c>
      <c r="K23" s="696">
        <v>1.52378</v>
      </c>
      <c r="L23" s="696">
        <v>1.52833</v>
      </c>
      <c r="M23" s="696">
        <v>1.52914</v>
      </c>
      <c r="N23" s="696">
        <v>1.52981</v>
      </c>
      <c r="O23" s="696">
        <v>1.53235</v>
      </c>
      <c r="P23" s="696">
        <v>1.53407</v>
      </c>
      <c r="Q23" s="697">
        <v>1.53565</v>
      </c>
      <c r="R23" s="697">
        <v>1.53721</v>
      </c>
      <c r="S23" s="697">
        <v>1.53765</v>
      </c>
      <c r="T23" s="701">
        <v>1.53806</v>
      </c>
      <c r="U23" s="697">
        <v>1.53988</v>
      </c>
      <c r="V23" s="697">
        <v>1.53996</v>
      </c>
      <c r="W23" s="697">
        <v>1.54212</v>
      </c>
      <c r="X23" s="697">
        <v>1.54625</v>
      </c>
      <c r="Y23" s="697">
        <v>1.54677</v>
      </c>
      <c r="Z23" s="697">
        <v>1.55117</v>
      </c>
      <c r="AA23" s="697">
        <v>1.55525</v>
      </c>
      <c r="AB23" s="697">
        <v>1.56225</v>
      </c>
      <c r="AC23" s="704">
        <v>2.33787692</v>
      </c>
      <c r="AD23" s="705">
        <v>-0.00898050049</v>
      </c>
      <c r="AE23" s="705">
        <v>0.0115593975</v>
      </c>
      <c r="AF23" s="705">
        <v>0.000492789833</v>
      </c>
      <c r="AG23" s="705">
        <v>-4.58314132e-5</v>
      </c>
      <c r="AH23" s="705">
        <v>2.77373664e-6</v>
      </c>
      <c r="AI23" s="709">
        <v>0.3042</v>
      </c>
      <c r="AJ23" s="709">
        <v>0.2389</v>
      </c>
      <c r="AK23" s="709">
        <v>0.5442</v>
      </c>
      <c r="AL23" s="709">
        <v>0.2533</v>
      </c>
      <c r="AM23" s="709">
        <v>0.2369</v>
      </c>
      <c r="AN23" s="709">
        <v>0.4825</v>
      </c>
      <c r="AO23" s="709">
        <v>-0.0004</v>
      </c>
      <c r="AP23" s="709">
        <v>-0.0002</v>
      </c>
      <c r="AQ23" s="709">
        <v>-0.011</v>
      </c>
      <c r="AR23" s="709">
        <v>-0.0062</v>
      </c>
      <c r="AS23" s="714">
        <v>0.4</v>
      </c>
      <c r="AT23" s="714">
        <v>0.6</v>
      </c>
      <c r="AU23" s="714">
        <v>0.8</v>
      </c>
      <c r="AV23" s="714">
        <v>0.9</v>
      </c>
      <c r="AW23" s="714">
        <v>1.4</v>
      </c>
      <c r="AX23" s="714">
        <v>1.5</v>
      </c>
      <c r="AY23" s="714">
        <v>1.6</v>
      </c>
      <c r="AZ23" s="714">
        <v>1.7</v>
      </c>
      <c r="BA23" s="714">
        <v>1.9</v>
      </c>
      <c r="BB23" s="714">
        <v>2.1</v>
      </c>
      <c r="BC23" s="714">
        <v>2.2</v>
      </c>
      <c r="BD23" s="714">
        <v>0.6</v>
      </c>
      <c r="BE23" s="714">
        <v>0.8</v>
      </c>
      <c r="BF23" s="714">
        <v>0.9</v>
      </c>
      <c r="BG23" s="714">
        <v>1.1</v>
      </c>
      <c r="BH23" s="714">
        <v>1.4</v>
      </c>
      <c r="BI23" s="714">
        <v>1.6</v>
      </c>
      <c r="BJ23" s="714">
        <v>1.7</v>
      </c>
      <c r="BK23" s="714">
        <v>1.8</v>
      </c>
      <c r="BL23" s="714">
        <v>2</v>
      </c>
      <c r="BM23" s="714">
        <v>2.1</v>
      </c>
      <c r="BN23" s="714">
        <v>2.3</v>
      </c>
      <c r="BO23" s="714">
        <v>0.7</v>
      </c>
      <c r="BP23" s="714">
        <v>0.9</v>
      </c>
      <c r="BQ23" s="714">
        <v>1</v>
      </c>
      <c r="BR23" s="714">
        <v>1.2</v>
      </c>
      <c r="BS23" s="714">
        <v>1.5</v>
      </c>
      <c r="BT23" s="714">
        <v>1.7</v>
      </c>
      <c r="BU23" s="714">
        <v>1.8</v>
      </c>
      <c r="BV23" s="714">
        <v>1.9</v>
      </c>
      <c r="BW23" s="714">
        <v>2.1</v>
      </c>
      <c r="BX23" s="714">
        <v>2.2</v>
      </c>
      <c r="BY23" s="714">
        <v>2.3</v>
      </c>
      <c r="BZ23" s="714">
        <v>0.7</v>
      </c>
      <c r="CA23" s="714">
        <v>0.9</v>
      </c>
      <c r="CB23" s="714">
        <v>1.1</v>
      </c>
      <c r="CC23" s="714">
        <v>1.2</v>
      </c>
      <c r="CD23" s="714">
        <v>1.5</v>
      </c>
      <c r="CE23" s="714">
        <v>1.7</v>
      </c>
      <c r="CF23" s="714">
        <v>1.8</v>
      </c>
      <c r="CG23" s="714">
        <v>2</v>
      </c>
      <c r="CH23" s="714">
        <v>2.2</v>
      </c>
      <c r="CI23" s="714">
        <v>2.3</v>
      </c>
      <c r="CJ23" s="714">
        <v>2.4</v>
      </c>
      <c r="CK23" s="714">
        <v>0.8</v>
      </c>
      <c r="CL23" s="714">
        <v>1</v>
      </c>
      <c r="CM23" s="714">
        <v>1.2</v>
      </c>
      <c r="CN23" s="714">
        <v>1.4</v>
      </c>
      <c r="CO23" s="714">
        <v>1.6</v>
      </c>
      <c r="CP23" s="714">
        <v>1.8</v>
      </c>
      <c r="CQ23" s="714">
        <v>2</v>
      </c>
      <c r="CR23" s="714">
        <v>2.1</v>
      </c>
      <c r="CS23" s="714">
        <v>2.3</v>
      </c>
      <c r="CT23" s="714">
        <v>2.4</v>
      </c>
      <c r="CU23" s="714">
        <v>2.5</v>
      </c>
      <c r="CV23" s="714">
        <v>0.9</v>
      </c>
      <c r="CW23" s="714">
        <v>1.1</v>
      </c>
      <c r="CX23" s="714">
        <v>1.3</v>
      </c>
      <c r="CY23" s="714">
        <v>1.5</v>
      </c>
      <c r="CZ23" s="714">
        <v>1.7</v>
      </c>
      <c r="DA23" s="714">
        <v>1.9</v>
      </c>
      <c r="DB23" s="714">
        <v>2.1</v>
      </c>
      <c r="DC23" s="714">
        <v>2.3</v>
      </c>
      <c r="DD23" s="714">
        <v>2.5</v>
      </c>
      <c r="DE23" s="714">
        <v>2.7</v>
      </c>
      <c r="DF23" s="714">
        <v>2.8</v>
      </c>
      <c r="DG23" s="714">
        <v>1</v>
      </c>
      <c r="DH23" s="714">
        <v>1.2</v>
      </c>
      <c r="DI23" s="714">
        <v>1.5</v>
      </c>
      <c r="DJ23" s="714">
        <v>1.8</v>
      </c>
      <c r="DK23" s="714">
        <v>2</v>
      </c>
      <c r="DL23" s="714">
        <v>2.1</v>
      </c>
      <c r="DM23" s="714">
        <v>2.4</v>
      </c>
      <c r="DN23" s="714">
        <v>2.5</v>
      </c>
      <c r="DO23" s="714">
        <v>2.6</v>
      </c>
      <c r="DP23" s="714">
        <v>2.8</v>
      </c>
      <c r="DQ23" s="714">
        <v>2.9</v>
      </c>
      <c r="DR23" s="714">
        <v>1.3</v>
      </c>
      <c r="DS23" s="714">
        <v>1.4</v>
      </c>
      <c r="DT23" s="714">
        <v>1.5</v>
      </c>
      <c r="DU23" s="714">
        <v>1.9</v>
      </c>
      <c r="DV23" s="714">
        <v>2.2</v>
      </c>
      <c r="DW23" s="714">
        <v>2.3</v>
      </c>
      <c r="DX23" s="714">
        <v>2.5</v>
      </c>
      <c r="DY23" s="714">
        <v>2.6</v>
      </c>
      <c r="DZ23" s="714">
        <v>2.7</v>
      </c>
      <c r="EA23" s="714">
        <v>2.8</v>
      </c>
      <c r="EB23" s="714">
        <v>2.9</v>
      </c>
      <c r="EC23" s="714">
        <v>1.4</v>
      </c>
      <c r="ED23" s="714">
        <v>1.5</v>
      </c>
      <c r="EE23" s="714">
        <v>1.6</v>
      </c>
      <c r="EF23" s="714">
        <v>2.1</v>
      </c>
      <c r="EG23" s="714">
        <v>2.3</v>
      </c>
      <c r="EH23" s="714">
        <v>2.4</v>
      </c>
      <c r="EI23" s="714">
        <v>2.5</v>
      </c>
      <c r="EJ23" s="714">
        <v>2.7</v>
      </c>
      <c r="EK23" s="714">
        <v>2.9</v>
      </c>
      <c r="EL23" s="714">
        <v>2.9</v>
      </c>
      <c r="EM23" s="714">
        <v>3</v>
      </c>
      <c r="EN23" s="714">
        <v>2</v>
      </c>
      <c r="EO23" s="714">
        <v>2.1</v>
      </c>
      <c r="EP23" s="714">
        <v>2.3</v>
      </c>
      <c r="EQ23" s="714">
        <v>2.6</v>
      </c>
      <c r="ER23" s="714">
        <v>2.6</v>
      </c>
      <c r="ES23" s="714">
        <v>2.7</v>
      </c>
      <c r="ET23" s="714">
        <v>2.9</v>
      </c>
      <c r="EU23" s="714">
        <v>3.1</v>
      </c>
      <c r="EV23" s="714">
        <v>3.3</v>
      </c>
      <c r="EW23" s="714">
        <v>3.5</v>
      </c>
      <c r="EX23" s="714">
        <v>3.7</v>
      </c>
      <c r="EY23" s="714">
        <v>-1.7</v>
      </c>
      <c r="EZ23" s="715">
        <v>-1.1</v>
      </c>
      <c r="FA23" s="715">
        <v>-0.6</v>
      </c>
      <c r="FB23" s="715">
        <v>-0.1</v>
      </c>
      <c r="FC23" s="715">
        <v>0.3</v>
      </c>
      <c r="FD23" s="715">
        <v>0.6</v>
      </c>
      <c r="FE23" s="715">
        <v>1</v>
      </c>
      <c r="FF23" s="714">
        <v>1.2</v>
      </c>
      <c r="FG23" s="714">
        <v>1.5</v>
      </c>
      <c r="FH23" s="714">
        <v>1.6</v>
      </c>
      <c r="FI23" s="714">
        <v>1.8</v>
      </c>
      <c r="FJ23" s="723">
        <v>-1.01e-6</v>
      </c>
      <c r="FK23" s="723">
        <v>2.38e-8</v>
      </c>
      <c r="FL23" s="723">
        <v>-4.15e-11</v>
      </c>
      <c r="FM23" s="723">
        <v>3.35e-7</v>
      </c>
      <c r="FN23" s="723">
        <v>-1.37e-10</v>
      </c>
      <c r="FO23" s="723">
        <v>0.301</v>
      </c>
      <c r="FP23" s="729">
        <v>1</v>
      </c>
      <c r="FQ23" s="729">
        <v>2</v>
      </c>
      <c r="FR23" s="729">
        <v>1</v>
      </c>
      <c r="FS23" s="729">
        <v>1</v>
      </c>
      <c r="FT23" s="729">
        <v>2</v>
      </c>
      <c r="FU23" s="729">
        <v>1</v>
      </c>
      <c r="FV23" s="681"/>
      <c r="FW23" s="729"/>
      <c r="FX23" s="729"/>
      <c r="FY23" s="729"/>
      <c r="FZ23" s="740">
        <v>560</v>
      </c>
      <c r="GA23" s="740">
        <v>623</v>
      </c>
      <c r="GB23" s="681">
        <v>491</v>
      </c>
      <c r="GC23" s="681">
        <v>534</v>
      </c>
      <c r="GD23" s="747">
        <v>1.02</v>
      </c>
      <c r="GE23" s="729"/>
      <c r="GF23" s="681">
        <v>78</v>
      </c>
      <c r="GG23" s="681">
        <v>93</v>
      </c>
      <c r="GH23" s="681">
        <v>69</v>
      </c>
      <c r="GI23" s="681">
        <v>71</v>
      </c>
      <c r="GJ23" s="681">
        <v>73</v>
      </c>
      <c r="GK23" s="681">
        <v>74</v>
      </c>
      <c r="GL23" s="681">
        <v>75</v>
      </c>
      <c r="GM23" s="681">
        <v>76</v>
      </c>
      <c r="GN23" s="681">
        <v>77</v>
      </c>
      <c r="GO23" s="681">
        <v>77</v>
      </c>
      <c r="GP23" s="681">
        <v>78</v>
      </c>
      <c r="GQ23" s="681">
        <v>79</v>
      </c>
      <c r="GR23" s="681">
        <v>80</v>
      </c>
      <c r="GS23" s="681">
        <v>80</v>
      </c>
      <c r="GT23" s="681">
        <v>81</v>
      </c>
      <c r="GU23" s="681">
        <v>82</v>
      </c>
      <c r="GV23" s="681">
        <v>83</v>
      </c>
      <c r="GW23" s="681">
        <v>83</v>
      </c>
      <c r="GX23" s="681">
        <v>84</v>
      </c>
      <c r="GY23" s="681">
        <v>88</v>
      </c>
      <c r="GZ23" s="681">
        <v>89</v>
      </c>
      <c r="HA23" s="681">
        <v>90</v>
      </c>
      <c r="HB23" s="681">
        <v>92</v>
      </c>
      <c r="HC23" s="681"/>
      <c r="HD23" s="681">
        <v>70</v>
      </c>
      <c r="HE23" s="681"/>
      <c r="HF23" s="681">
        <v>532</v>
      </c>
      <c r="HG23" s="738">
        <v>103</v>
      </c>
      <c r="HH23" s="714">
        <v>71.1</v>
      </c>
      <c r="HI23" s="714">
        <v>28.1</v>
      </c>
      <c r="HJ23" s="753">
        <v>0.266</v>
      </c>
      <c r="HK23" s="681">
        <v>79</v>
      </c>
      <c r="HL23" s="685">
        <v>2.51</v>
      </c>
      <c r="HM23" s="747">
        <v>2.85</v>
      </c>
      <c r="HN23" s="729" t="s">
        <v>383</v>
      </c>
      <c r="HO23" s="729" t="s">
        <v>421</v>
      </c>
      <c r="HP23" s="714">
        <v>-29</v>
      </c>
      <c r="HQ23" s="753">
        <v>0.917</v>
      </c>
      <c r="HR23" s="753">
        <v>0.937</v>
      </c>
      <c r="HS23" s="753">
        <v>0.974</v>
      </c>
      <c r="HT23" s="753">
        <v>0.987</v>
      </c>
      <c r="HU23" s="753">
        <v>0.999</v>
      </c>
      <c r="HV23" s="753">
        <v>0.999</v>
      </c>
      <c r="HW23" s="753">
        <v>0.999</v>
      </c>
      <c r="HX23" s="753">
        <v>0.999</v>
      </c>
      <c r="HY23" s="753">
        <v>0.999</v>
      </c>
      <c r="HZ23" s="753">
        <v>0.999</v>
      </c>
      <c r="IA23" s="753">
        <v>0.999</v>
      </c>
      <c r="IB23" s="754">
        <v>0.999</v>
      </c>
      <c r="IC23" s="754">
        <v>0.999</v>
      </c>
      <c r="ID23" s="754">
        <v>0.999</v>
      </c>
      <c r="IE23" s="754">
        <v>0.999</v>
      </c>
      <c r="IF23" s="754">
        <v>0.999</v>
      </c>
      <c r="IG23" s="754">
        <v>0.999</v>
      </c>
      <c r="IH23" s="754">
        <v>0.999</v>
      </c>
      <c r="II23" s="754">
        <v>0.999</v>
      </c>
      <c r="IJ23" s="754">
        <v>0.999</v>
      </c>
      <c r="IK23" s="754">
        <v>0.999</v>
      </c>
      <c r="IL23" s="754">
        <v>0.999</v>
      </c>
      <c r="IM23" s="754">
        <v>0.999</v>
      </c>
      <c r="IN23" s="754">
        <v>0.999</v>
      </c>
      <c r="IO23" s="754">
        <v>0.999</v>
      </c>
      <c r="IP23" s="754">
        <v>0.998</v>
      </c>
      <c r="IQ23" s="754">
        <v>0.998</v>
      </c>
      <c r="IR23" s="754">
        <v>0.997</v>
      </c>
      <c r="IS23" s="754">
        <v>0.994</v>
      </c>
      <c r="IT23" s="754">
        <v>0.988</v>
      </c>
      <c r="IU23" s="754">
        <v>0.973</v>
      </c>
      <c r="IV23" s="754">
        <v>0.94</v>
      </c>
      <c r="IW23" s="754">
        <v>0.863</v>
      </c>
      <c r="IX23" s="754">
        <v>0.707</v>
      </c>
      <c r="IY23" s="754">
        <v>0.478</v>
      </c>
      <c r="IZ23" s="753">
        <v>0.26</v>
      </c>
      <c r="JA23" s="753">
        <v>0.842</v>
      </c>
      <c r="JB23" s="753">
        <v>0.88</v>
      </c>
      <c r="JC23" s="753">
        <v>0.947</v>
      </c>
      <c r="JD23" s="753">
        <v>0.976</v>
      </c>
      <c r="JE23" s="753">
        <v>0.998</v>
      </c>
      <c r="JF23" s="753">
        <v>0.998</v>
      </c>
      <c r="JG23" s="753">
        <v>0.998</v>
      </c>
      <c r="JH23" s="753">
        <v>0.998</v>
      </c>
      <c r="JI23" s="753">
        <v>0.998</v>
      </c>
      <c r="JJ23" s="753">
        <v>0.998</v>
      </c>
      <c r="JK23" s="753">
        <v>0.998</v>
      </c>
      <c r="JL23" s="753">
        <v>0.998</v>
      </c>
      <c r="JM23" s="753">
        <v>0.998</v>
      </c>
      <c r="JN23" s="753">
        <v>0.998</v>
      </c>
      <c r="JO23" s="753">
        <v>0.998</v>
      </c>
      <c r="JP23" s="753">
        <v>0.998</v>
      </c>
      <c r="JQ23" s="753">
        <v>0.998</v>
      </c>
      <c r="JR23" s="753">
        <v>0.998</v>
      </c>
      <c r="JS23" s="753">
        <v>0.998</v>
      </c>
      <c r="JT23" s="753">
        <v>0.998</v>
      </c>
      <c r="JU23" s="753">
        <v>0.998</v>
      </c>
      <c r="JV23" s="753">
        <v>0.998</v>
      </c>
      <c r="JW23" s="753">
        <v>0.998</v>
      </c>
      <c r="JX23" s="753">
        <v>0.998</v>
      </c>
      <c r="JY23" s="753">
        <v>0.998</v>
      </c>
      <c r="JZ23" s="753">
        <v>0.997</v>
      </c>
      <c r="KA23" s="753">
        <v>0.996</v>
      </c>
      <c r="KB23" s="753">
        <v>0.993</v>
      </c>
      <c r="KC23" s="753">
        <v>0.988</v>
      </c>
      <c r="KD23" s="753">
        <v>0.976</v>
      </c>
      <c r="KE23" s="753">
        <v>0.947</v>
      </c>
      <c r="KF23" s="753">
        <v>0.885</v>
      </c>
      <c r="KG23" s="753">
        <v>0.745</v>
      </c>
      <c r="KH23" s="753">
        <v>0.5</v>
      </c>
      <c r="KI23" s="753">
        <v>0.228</v>
      </c>
      <c r="KJ23" s="753">
        <v>0.068</v>
      </c>
      <c r="KK23" s="765" t="s">
        <v>281</v>
      </c>
      <c r="KL23" s="738">
        <v>25</v>
      </c>
      <c r="KM23" s="738">
        <v>71</v>
      </c>
      <c r="KN23" s="646" t="s">
        <v>303</v>
      </c>
      <c r="KO23" s="646" t="s">
        <v>420</v>
      </c>
      <c r="KP23" s="679">
        <v>540597</v>
      </c>
      <c r="KQ23" s="766" t="s">
        <v>422</v>
      </c>
      <c r="KR23" s="750" t="s">
        <v>423</v>
      </c>
      <c r="KS23" s="769" t="s">
        <v>420</v>
      </c>
      <c r="KT23" s="770" t="s">
        <v>424</v>
      </c>
      <c r="KU23" s="766"/>
      <c r="KV23" s="750"/>
      <c r="KW23" s="771"/>
      <c r="KX23" s="750"/>
      <c r="KY23" s="769" t="s">
        <v>425</v>
      </c>
      <c r="KZ23" s="770" t="s">
        <v>424</v>
      </c>
    </row>
    <row r="24" s="628" customFormat="1" customHeight="1" spans="1:312">
      <c r="A24" s="682" t="s">
        <v>300</v>
      </c>
      <c r="B24" s="683">
        <v>20</v>
      </c>
      <c r="C24" s="689" t="s">
        <v>426</v>
      </c>
      <c r="D24" s="680">
        <v>569560</v>
      </c>
      <c r="E24" s="685">
        <v>56.04</v>
      </c>
      <c r="F24" s="685">
        <v>55.78</v>
      </c>
      <c r="G24" s="686">
        <v>0.01015</v>
      </c>
      <c r="H24" s="686">
        <v>0.010242</v>
      </c>
      <c r="I24" s="696">
        <v>1.54079</v>
      </c>
      <c r="J24" s="696">
        <v>1.54574</v>
      </c>
      <c r="K24" s="696">
        <v>1.55115</v>
      </c>
      <c r="L24" s="696">
        <v>1.55598</v>
      </c>
      <c r="M24" s="696">
        <v>1.55686</v>
      </c>
      <c r="N24" s="696">
        <v>1.55758</v>
      </c>
      <c r="O24" s="698">
        <v>1.56036</v>
      </c>
      <c r="P24" s="696">
        <v>1.56227</v>
      </c>
      <c r="Q24" s="697">
        <v>1.56401</v>
      </c>
      <c r="R24" s="697">
        <v>1.56575</v>
      </c>
      <c r="S24" s="701">
        <v>1.56624</v>
      </c>
      <c r="T24" s="697">
        <v>1.5667</v>
      </c>
      <c r="U24" s="697">
        <v>1.56874</v>
      </c>
      <c r="V24" s="697">
        <v>1.56883</v>
      </c>
      <c r="W24" s="697">
        <v>1.57125</v>
      </c>
      <c r="X24" s="697">
        <v>1.5759</v>
      </c>
      <c r="Y24" s="697">
        <v>1.57648</v>
      </c>
      <c r="Z24" s="697">
        <v>1.58147</v>
      </c>
      <c r="AA24" s="697">
        <v>1.58611</v>
      </c>
      <c r="AB24" s="697">
        <v>1.59408</v>
      </c>
      <c r="AC24" s="705">
        <v>2.42201339</v>
      </c>
      <c r="AD24" s="705">
        <v>-0.00934171338</v>
      </c>
      <c r="AE24" s="705">
        <v>0.0136739157</v>
      </c>
      <c r="AF24" s="705">
        <v>0.000376328562</v>
      </c>
      <c r="AG24" s="705">
        <v>-1.74732935e-5</v>
      </c>
      <c r="AH24" s="705">
        <v>1.2200127e-6</v>
      </c>
      <c r="AI24" s="709">
        <v>0.3034</v>
      </c>
      <c r="AJ24" s="709">
        <v>0.2384</v>
      </c>
      <c r="AK24" s="709">
        <v>0.5488</v>
      </c>
      <c r="AL24" s="709">
        <v>0.2529</v>
      </c>
      <c r="AM24" s="709">
        <v>0.2363</v>
      </c>
      <c r="AN24" s="709">
        <v>0.4872</v>
      </c>
      <c r="AO24" s="709">
        <v>-0.0011</v>
      </c>
      <c r="AP24" s="709">
        <v>-0.0017</v>
      </c>
      <c r="AQ24" s="709">
        <v>-0.0067</v>
      </c>
      <c r="AR24" s="709">
        <v>-0.0039</v>
      </c>
      <c r="AS24" s="714">
        <v>3</v>
      </c>
      <c r="AT24" s="714">
        <v>3.1</v>
      </c>
      <c r="AU24" s="714">
        <v>3.1</v>
      </c>
      <c r="AV24" s="714">
        <v>3</v>
      </c>
      <c r="AW24" s="714">
        <v>3</v>
      </c>
      <c r="AX24" s="714">
        <v>3</v>
      </c>
      <c r="AY24" s="714">
        <v>3.1</v>
      </c>
      <c r="AZ24" s="714">
        <v>3.2</v>
      </c>
      <c r="BA24" s="714">
        <v>3.2</v>
      </c>
      <c r="BB24" s="714">
        <v>3.2</v>
      </c>
      <c r="BC24" s="714">
        <v>3.2</v>
      </c>
      <c r="BD24" s="714">
        <v>3.2</v>
      </c>
      <c r="BE24" s="714">
        <v>3.3</v>
      </c>
      <c r="BF24" s="714">
        <v>3.3</v>
      </c>
      <c r="BG24" s="714">
        <v>3.4</v>
      </c>
      <c r="BH24" s="714">
        <v>3.3</v>
      </c>
      <c r="BI24" s="714">
        <v>3.3</v>
      </c>
      <c r="BJ24" s="714">
        <v>3.4</v>
      </c>
      <c r="BK24" s="714">
        <v>3.3</v>
      </c>
      <c r="BL24" s="714">
        <v>3.4</v>
      </c>
      <c r="BM24" s="714">
        <v>3.4</v>
      </c>
      <c r="BN24" s="714">
        <v>3.5</v>
      </c>
      <c r="BO24" s="714">
        <v>3.3</v>
      </c>
      <c r="BP24" s="714">
        <v>3.4</v>
      </c>
      <c r="BQ24" s="714">
        <v>3.4</v>
      </c>
      <c r="BR24" s="714">
        <v>3.4</v>
      </c>
      <c r="BS24" s="714">
        <v>3.4</v>
      </c>
      <c r="BT24" s="714">
        <v>3.5</v>
      </c>
      <c r="BU24" s="714">
        <v>3.5</v>
      </c>
      <c r="BV24" s="714">
        <v>3.6</v>
      </c>
      <c r="BW24" s="714">
        <v>3.6</v>
      </c>
      <c r="BX24" s="714">
        <v>3.6</v>
      </c>
      <c r="BY24" s="714">
        <v>3.6</v>
      </c>
      <c r="BZ24" s="714">
        <v>3.4</v>
      </c>
      <c r="CA24" s="714">
        <v>3.4</v>
      </c>
      <c r="CB24" s="714">
        <v>3.5</v>
      </c>
      <c r="CC24" s="714">
        <v>3.5</v>
      </c>
      <c r="CD24" s="714">
        <v>3.5</v>
      </c>
      <c r="CE24" s="714">
        <v>3.6</v>
      </c>
      <c r="CF24" s="714">
        <v>3.6</v>
      </c>
      <c r="CG24" s="714">
        <v>3.6</v>
      </c>
      <c r="CH24" s="714">
        <v>3.7</v>
      </c>
      <c r="CI24" s="714">
        <v>3.7</v>
      </c>
      <c r="CJ24" s="714">
        <v>3.7</v>
      </c>
      <c r="CK24" s="714">
        <v>3.4</v>
      </c>
      <c r="CL24" s="714">
        <v>3.5</v>
      </c>
      <c r="CM24" s="714">
        <v>3.5</v>
      </c>
      <c r="CN24" s="714">
        <v>3.5</v>
      </c>
      <c r="CO24" s="714">
        <v>3.6</v>
      </c>
      <c r="CP24" s="714">
        <v>3.6</v>
      </c>
      <c r="CQ24" s="714">
        <v>3.7</v>
      </c>
      <c r="CR24" s="714">
        <v>3.7</v>
      </c>
      <c r="CS24" s="714">
        <v>3.7</v>
      </c>
      <c r="CT24" s="714">
        <v>3.7</v>
      </c>
      <c r="CU24" s="714">
        <v>3.7</v>
      </c>
      <c r="CV24" s="714">
        <v>3.5</v>
      </c>
      <c r="CW24" s="714">
        <v>3.7</v>
      </c>
      <c r="CX24" s="714">
        <v>3.6</v>
      </c>
      <c r="CY24" s="714">
        <v>3.6</v>
      </c>
      <c r="CZ24" s="714">
        <v>3.6</v>
      </c>
      <c r="DA24" s="714">
        <v>3.6</v>
      </c>
      <c r="DB24" s="714">
        <v>3.7</v>
      </c>
      <c r="DC24" s="714">
        <v>3.9</v>
      </c>
      <c r="DD24" s="714">
        <v>3.8</v>
      </c>
      <c r="DE24" s="714">
        <v>3.8</v>
      </c>
      <c r="DF24" s="714">
        <v>3.9</v>
      </c>
      <c r="DG24" s="714">
        <v>3.8</v>
      </c>
      <c r="DH24" s="714">
        <v>3.9</v>
      </c>
      <c r="DI24" s="714">
        <v>3.8</v>
      </c>
      <c r="DJ24" s="714">
        <v>3.8</v>
      </c>
      <c r="DK24" s="714">
        <v>3.8</v>
      </c>
      <c r="DL24" s="714">
        <v>3.8</v>
      </c>
      <c r="DM24" s="714">
        <v>3.9</v>
      </c>
      <c r="DN24" s="714">
        <v>4.1</v>
      </c>
      <c r="DO24" s="714">
        <v>4</v>
      </c>
      <c r="DP24" s="714">
        <v>4</v>
      </c>
      <c r="DQ24" s="714">
        <v>4.1</v>
      </c>
      <c r="DR24" s="714">
        <v>4.2</v>
      </c>
      <c r="DS24" s="714">
        <v>4.2</v>
      </c>
      <c r="DT24" s="714">
        <v>4.2</v>
      </c>
      <c r="DU24" s="714">
        <v>4.2</v>
      </c>
      <c r="DV24" s="714">
        <v>4.2</v>
      </c>
      <c r="DW24" s="714">
        <v>4.3</v>
      </c>
      <c r="DX24" s="714">
        <v>4.4</v>
      </c>
      <c r="DY24" s="714">
        <v>4.5</v>
      </c>
      <c r="DZ24" s="714">
        <v>4.4</v>
      </c>
      <c r="EA24" s="714">
        <v>4.4</v>
      </c>
      <c r="EB24" s="714">
        <v>4.4</v>
      </c>
      <c r="EC24" s="714">
        <v>4.2</v>
      </c>
      <c r="ED24" s="714">
        <v>4.3</v>
      </c>
      <c r="EE24" s="714">
        <v>4.2</v>
      </c>
      <c r="EF24" s="714">
        <v>4.3</v>
      </c>
      <c r="EG24" s="714">
        <v>4.2</v>
      </c>
      <c r="EH24" s="714">
        <v>4.3</v>
      </c>
      <c r="EI24" s="714">
        <v>4.4</v>
      </c>
      <c r="EJ24" s="714">
        <v>4.5</v>
      </c>
      <c r="EK24" s="714">
        <v>4.5</v>
      </c>
      <c r="EL24" s="714">
        <v>4.5</v>
      </c>
      <c r="EM24" s="714">
        <v>4.6</v>
      </c>
      <c r="EN24" s="714">
        <v>4.4</v>
      </c>
      <c r="EO24" s="714">
        <v>4.5</v>
      </c>
      <c r="EP24" s="714">
        <v>4.5</v>
      </c>
      <c r="EQ24" s="714">
        <v>4.5</v>
      </c>
      <c r="ER24" s="714">
        <v>4.6</v>
      </c>
      <c r="ES24" s="714">
        <v>4.7</v>
      </c>
      <c r="ET24" s="714">
        <v>4.9</v>
      </c>
      <c r="EU24" s="714">
        <v>5</v>
      </c>
      <c r="EV24" s="714">
        <v>5.1</v>
      </c>
      <c r="EW24" s="714">
        <v>5</v>
      </c>
      <c r="EX24" s="714">
        <v>5.2</v>
      </c>
      <c r="EY24" s="714">
        <v>0.9</v>
      </c>
      <c r="EZ24" s="714">
        <v>1.4</v>
      </c>
      <c r="FA24" s="714">
        <v>1.7</v>
      </c>
      <c r="FB24" s="714">
        <v>1.9</v>
      </c>
      <c r="FC24" s="714">
        <v>2.2</v>
      </c>
      <c r="FD24" s="714">
        <v>2.4</v>
      </c>
      <c r="FE24" s="714">
        <v>2.6</v>
      </c>
      <c r="FF24" s="714">
        <v>2.8</v>
      </c>
      <c r="FG24" s="714">
        <v>2.8</v>
      </c>
      <c r="FH24" s="714">
        <v>2.9</v>
      </c>
      <c r="FI24" s="714">
        <v>3</v>
      </c>
      <c r="FJ24" s="725">
        <v>3.18e-6</v>
      </c>
      <c r="FK24" s="725">
        <v>1.21e-8</v>
      </c>
      <c r="FL24" s="725">
        <v>-2.72e-11</v>
      </c>
      <c r="FM24" s="725">
        <v>4.09e-7</v>
      </c>
      <c r="FN24" s="725">
        <v>3.53e-10</v>
      </c>
      <c r="FO24" s="725">
        <v>0.269</v>
      </c>
      <c r="FP24" s="729">
        <v>1</v>
      </c>
      <c r="FQ24" s="729">
        <v>1</v>
      </c>
      <c r="FR24" s="729">
        <v>1</v>
      </c>
      <c r="FS24" s="729">
        <v>1</v>
      </c>
      <c r="FT24" s="729">
        <v>1</v>
      </c>
      <c r="FU24" s="729">
        <v>1</v>
      </c>
      <c r="FV24" s="681">
        <v>2</v>
      </c>
      <c r="FW24" s="729"/>
      <c r="FX24" s="729"/>
      <c r="FY24" s="729"/>
      <c r="FZ24" s="740">
        <v>587</v>
      </c>
      <c r="GA24" s="740">
        <v>646</v>
      </c>
      <c r="GB24" s="681">
        <v>530</v>
      </c>
      <c r="GC24" s="681">
        <v>565</v>
      </c>
      <c r="GD24" s="747">
        <v>1.08</v>
      </c>
      <c r="GE24" s="729"/>
      <c r="GF24" s="681">
        <v>68</v>
      </c>
      <c r="GG24" s="681">
        <v>88</v>
      </c>
      <c r="GH24" s="681">
        <v>62</v>
      </c>
      <c r="GI24" s="681">
        <v>62</v>
      </c>
      <c r="GJ24" s="681">
        <v>63</v>
      </c>
      <c r="GK24" s="681">
        <v>63</v>
      </c>
      <c r="GL24" s="681">
        <v>65</v>
      </c>
      <c r="GM24" s="681">
        <v>66</v>
      </c>
      <c r="GN24" s="681">
        <v>67</v>
      </c>
      <c r="GO24" s="681">
        <v>67</v>
      </c>
      <c r="GP24" s="681">
        <v>68</v>
      </c>
      <c r="GQ24" s="681">
        <v>74</v>
      </c>
      <c r="GR24" s="681">
        <v>74</v>
      </c>
      <c r="GS24" s="681">
        <v>76</v>
      </c>
      <c r="GT24" s="681">
        <v>76</v>
      </c>
      <c r="GU24" s="681">
        <v>78</v>
      </c>
      <c r="GV24" s="681">
        <v>79</v>
      </c>
      <c r="GW24" s="681">
        <v>79</v>
      </c>
      <c r="GX24" s="681">
        <v>80</v>
      </c>
      <c r="GY24" s="681">
        <v>82</v>
      </c>
      <c r="GZ24" s="681">
        <v>83</v>
      </c>
      <c r="HA24" s="681">
        <v>84</v>
      </c>
      <c r="HB24" s="681">
        <v>85</v>
      </c>
      <c r="HC24" s="681"/>
      <c r="HD24" s="681">
        <v>87</v>
      </c>
      <c r="HE24" s="681"/>
      <c r="HF24" s="681">
        <v>553</v>
      </c>
      <c r="HG24" s="681">
        <v>123</v>
      </c>
      <c r="HH24" s="714">
        <v>80.1</v>
      </c>
      <c r="HI24" s="714">
        <v>33.1</v>
      </c>
      <c r="HJ24" s="753">
        <v>0.21</v>
      </c>
      <c r="HK24" s="681">
        <v>78</v>
      </c>
      <c r="HL24" s="685">
        <v>2.52</v>
      </c>
      <c r="HM24" s="747">
        <v>2.85</v>
      </c>
      <c r="HN24" s="729" t="s">
        <v>410</v>
      </c>
      <c r="HO24" s="729" t="s">
        <v>427</v>
      </c>
      <c r="HP24" s="714">
        <v>-0.5</v>
      </c>
      <c r="HQ24" s="754">
        <v>0.934</v>
      </c>
      <c r="HR24" s="754">
        <v>0.953</v>
      </c>
      <c r="HS24" s="754">
        <v>0.979</v>
      </c>
      <c r="HT24" s="754">
        <v>0.988</v>
      </c>
      <c r="HU24" s="754">
        <v>0.997</v>
      </c>
      <c r="HV24" s="754">
        <v>0.999</v>
      </c>
      <c r="HW24" s="754">
        <v>0.999</v>
      </c>
      <c r="HX24" s="754">
        <v>0.999</v>
      </c>
      <c r="HY24" s="754">
        <v>0.999</v>
      </c>
      <c r="HZ24" s="754">
        <v>0.999</v>
      </c>
      <c r="IA24" s="754">
        <v>0.999</v>
      </c>
      <c r="IB24" s="754">
        <v>0.999</v>
      </c>
      <c r="IC24" s="754">
        <v>0.999</v>
      </c>
      <c r="ID24" s="754">
        <v>0.999</v>
      </c>
      <c r="IE24" s="754">
        <v>0.999</v>
      </c>
      <c r="IF24" s="754">
        <v>0.999</v>
      </c>
      <c r="IG24" s="754">
        <v>0.999</v>
      </c>
      <c r="IH24" s="754">
        <v>0.999</v>
      </c>
      <c r="II24" s="754">
        <v>0.999</v>
      </c>
      <c r="IJ24" s="754">
        <v>0.999</v>
      </c>
      <c r="IK24" s="754">
        <v>0.998</v>
      </c>
      <c r="IL24" s="754">
        <v>0.997</v>
      </c>
      <c r="IM24" s="754">
        <v>0.996</v>
      </c>
      <c r="IN24" s="754">
        <v>0.994</v>
      </c>
      <c r="IO24" s="754">
        <v>0.992</v>
      </c>
      <c r="IP24" s="754">
        <v>0.988</v>
      </c>
      <c r="IQ24" s="754">
        <v>0.982</v>
      </c>
      <c r="IR24" s="754">
        <v>0.961</v>
      </c>
      <c r="IS24" s="754">
        <v>0.917</v>
      </c>
      <c r="IT24" s="754">
        <v>0.808</v>
      </c>
      <c r="IU24" s="754">
        <v>0.56</v>
      </c>
      <c r="IV24" s="754">
        <v>0.192</v>
      </c>
      <c r="IW24" s="754"/>
      <c r="IX24" s="754"/>
      <c r="IY24" s="754"/>
      <c r="IZ24" s="754"/>
      <c r="JA24" s="754">
        <v>0.872</v>
      </c>
      <c r="JB24" s="754">
        <v>0.908</v>
      </c>
      <c r="JC24" s="754">
        <v>0.958</v>
      </c>
      <c r="JD24" s="754">
        <v>0.976</v>
      </c>
      <c r="JE24" s="754">
        <v>0.994</v>
      </c>
      <c r="JF24" s="754">
        <v>0.998</v>
      </c>
      <c r="JG24" s="754">
        <v>0.998</v>
      </c>
      <c r="JH24" s="754">
        <v>0.998</v>
      </c>
      <c r="JI24" s="754">
        <v>0.998</v>
      </c>
      <c r="JJ24" s="754">
        <v>0.998</v>
      </c>
      <c r="JK24" s="754">
        <v>0.998</v>
      </c>
      <c r="JL24" s="754">
        <v>0.998</v>
      </c>
      <c r="JM24" s="754">
        <v>0.998</v>
      </c>
      <c r="JN24" s="754">
        <v>0.998</v>
      </c>
      <c r="JO24" s="754">
        <v>0.998</v>
      </c>
      <c r="JP24" s="754">
        <v>0.998</v>
      </c>
      <c r="JQ24" s="754">
        <v>0.998</v>
      </c>
      <c r="JR24" s="754">
        <v>0.998</v>
      </c>
      <c r="JS24" s="754">
        <v>0.998</v>
      </c>
      <c r="JT24" s="754">
        <v>0.998</v>
      </c>
      <c r="JU24" s="754">
        <v>0.996</v>
      </c>
      <c r="JV24" s="754">
        <v>0.994</v>
      </c>
      <c r="JW24" s="754">
        <v>0.992</v>
      </c>
      <c r="JX24" s="754">
        <v>0.99</v>
      </c>
      <c r="JY24" s="754">
        <v>0.986</v>
      </c>
      <c r="JZ24" s="754">
        <v>0.98</v>
      </c>
      <c r="KA24" s="754">
        <v>0.965</v>
      </c>
      <c r="KB24" s="754">
        <v>0.928</v>
      </c>
      <c r="KC24" s="754">
        <v>0.845</v>
      </c>
      <c r="KD24" s="754">
        <v>0.654</v>
      </c>
      <c r="KE24" s="754">
        <v>0.315</v>
      </c>
      <c r="KF24" s="754">
        <v>0.039</v>
      </c>
      <c r="KG24" s="754"/>
      <c r="KH24" s="754"/>
      <c r="KI24" s="754"/>
      <c r="KJ24" s="754"/>
      <c r="KK24" s="765" t="s">
        <v>281</v>
      </c>
      <c r="KL24" s="738">
        <v>10</v>
      </c>
      <c r="KM24" s="738">
        <v>29</v>
      </c>
      <c r="KN24" s="646" t="s">
        <v>339</v>
      </c>
      <c r="KO24" s="646" t="s">
        <v>426</v>
      </c>
      <c r="KP24" s="680">
        <v>569560</v>
      </c>
      <c r="KQ24" s="766" t="s">
        <v>428</v>
      </c>
      <c r="KR24" s="750" t="s">
        <v>429</v>
      </c>
      <c r="KS24" s="769" t="s">
        <v>430</v>
      </c>
      <c r="KT24" s="770" t="s">
        <v>431</v>
      </c>
      <c r="KU24" s="766" t="s">
        <v>432</v>
      </c>
      <c r="KV24" s="750">
        <v>569560</v>
      </c>
      <c r="KW24" s="771"/>
      <c r="KX24" s="750"/>
      <c r="KY24" s="769" t="s">
        <v>433</v>
      </c>
      <c r="KZ24" s="770" t="s">
        <v>431</v>
      </c>
    </row>
    <row r="25" s="628" customFormat="1" customHeight="1" spans="1:312">
      <c r="A25" s="682" t="s">
        <v>374</v>
      </c>
      <c r="B25" s="683">
        <v>21</v>
      </c>
      <c r="C25" s="684" t="s">
        <v>434</v>
      </c>
      <c r="D25" s="679">
        <v>573575</v>
      </c>
      <c r="E25" s="685">
        <v>57.49</v>
      </c>
      <c r="F25" s="685">
        <v>57.2</v>
      </c>
      <c r="G25" s="686">
        <v>0.009959</v>
      </c>
      <c r="H25" s="686">
        <v>0.010051</v>
      </c>
      <c r="I25" s="696">
        <v>1.54549</v>
      </c>
      <c r="J25" s="696">
        <v>1.55016</v>
      </c>
      <c r="K25" s="696">
        <v>1.55531</v>
      </c>
      <c r="L25" s="696">
        <v>1.55993</v>
      </c>
      <c r="M25" s="696">
        <v>1.56078</v>
      </c>
      <c r="N25" s="696">
        <v>1.56148</v>
      </c>
      <c r="O25" s="696">
        <v>1.56419</v>
      </c>
      <c r="P25" s="696">
        <v>1.56606</v>
      </c>
      <c r="Q25" s="697">
        <v>1.56777</v>
      </c>
      <c r="R25" s="697">
        <v>1.56948</v>
      </c>
      <c r="S25" s="697">
        <v>1.56996</v>
      </c>
      <c r="T25" s="701">
        <v>1.57041</v>
      </c>
      <c r="U25" s="697">
        <v>1.57241</v>
      </c>
      <c r="V25" s="697">
        <v>1.5725</v>
      </c>
      <c r="W25" s="697">
        <v>1.57487</v>
      </c>
      <c r="X25" s="697">
        <v>1.57944</v>
      </c>
      <c r="Y25" s="697">
        <v>1.58001</v>
      </c>
      <c r="Z25" s="697">
        <v>1.5849</v>
      </c>
      <c r="AA25" s="697">
        <v>1.58941</v>
      </c>
      <c r="AB25" s="697">
        <v>1.59715</v>
      </c>
      <c r="AC25" s="704">
        <v>2.43375651</v>
      </c>
      <c r="AD25" s="705">
        <v>-0.00882982376</v>
      </c>
      <c r="AE25" s="705">
        <v>0.0135916939</v>
      </c>
      <c r="AF25" s="705">
        <v>0.000360922117</v>
      </c>
      <c r="AG25" s="705">
        <v>-1.79584197e-5</v>
      </c>
      <c r="AH25" s="705">
        <v>1.11930116e-6</v>
      </c>
      <c r="AI25" s="709">
        <v>0.3032</v>
      </c>
      <c r="AJ25" s="709">
        <v>0.238</v>
      </c>
      <c r="AK25" s="709">
        <v>0.5482</v>
      </c>
      <c r="AL25" s="709">
        <v>0.2527</v>
      </c>
      <c r="AM25" s="709">
        <v>0.2358</v>
      </c>
      <c r="AN25" s="709">
        <v>0.4865</v>
      </c>
      <c r="AO25" s="709">
        <v>0.0004</v>
      </c>
      <c r="AP25" s="709">
        <v>0.0001</v>
      </c>
      <c r="AQ25" s="709">
        <v>-0.0154</v>
      </c>
      <c r="AR25" s="709">
        <v>-0.0072</v>
      </c>
      <c r="AS25" s="714">
        <v>2</v>
      </c>
      <c r="AT25" s="714">
        <v>2.1</v>
      </c>
      <c r="AU25" s="714">
        <v>2</v>
      </c>
      <c r="AV25" s="714">
        <v>2</v>
      </c>
      <c r="AW25" s="714">
        <v>2.1</v>
      </c>
      <c r="AX25" s="714">
        <v>2.2</v>
      </c>
      <c r="AY25" s="714">
        <v>2.4</v>
      </c>
      <c r="AZ25" s="714">
        <v>2.5</v>
      </c>
      <c r="BA25" s="714">
        <v>2.6</v>
      </c>
      <c r="BB25" s="714">
        <v>2.8</v>
      </c>
      <c r="BC25" s="714">
        <v>2.9</v>
      </c>
      <c r="BD25" s="714">
        <v>2.2</v>
      </c>
      <c r="BE25" s="714">
        <v>2.2</v>
      </c>
      <c r="BF25" s="714">
        <v>2.2</v>
      </c>
      <c r="BG25" s="714">
        <v>2.1</v>
      </c>
      <c r="BH25" s="714">
        <v>2.3</v>
      </c>
      <c r="BI25" s="714">
        <v>2.5</v>
      </c>
      <c r="BJ25" s="714">
        <v>2.6</v>
      </c>
      <c r="BK25" s="714">
        <v>2.7</v>
      </c>
      <c r="BL25" s="714">
        <v>2.8</v>
      </c>
      <c r="BM25" s="714">
        <v>3</v>
      </c>
      <c r="BN25" s="714">
        <v>3.1</v>
      </c>
      <c r="BO25" s="714">
        <v>2.4</v>
      </c>
      <c r="BP25" s="714">
        <v>2.5</v>
      </c>
      <c r="BQ25" s="714">
        <v>2.5</v>
      </c>
      <c r="BR25" s="714">
        <v>2.5</v>
      </c>
      <c r="BS25" s="714">
        <v>2.6</v>
      </c>
      <c r="BT25" s="714">
        <v>2.7</v>
      </c>
      <c r="BU25" s="714">
        <v>2.8</v>
      </c>
      <c r="BV25" s="714">
        <v>2.9</v>
      </c>
      <c r="BW25" s="714">
        <v>3.1</v>
      </c>
      <c r="BX25" s="714">
        <v>3.2</v>
      </c>
      <c r="BY25" s="714">
        <v>3.3</v>
      </c>
      <c r="BZ25" s="714">
        <v>2.4</v>
      </c>
      <c r="CA25" s="714">
        <v>2.5</v>
      </c>
      <c r="CB25" s="714">
        <v>2.5</v>
      </c>
      <c r="CC25" s="714">
        <v>2.5</v>
      </c>
      <c r="CD25" s="714">
        <v>2.6</v>
      </c>
      <c r="CE25" s="714">
        <v>2.8</v>
      </c>
      <c r="CF25" s="714">
        <v>2.9</v>
      </c>
      <c r="CG25" s="714">
        <v>3</v>
      </c>
      <c r="CH25" s="714">
        <v>3.2</v>
      </c>
      <c r="CI25" s="714">
        <v>3.3</v>
      </c>
      <c r="CJ25" s="714">
        <v>3.3</v>
      </c>
      <c r="CK25" s="714">
        <v>2.4</v>
      </c>
      <c r="CL25" s="714">
        <v>2.5</v>
      </c>
      <c r="CM25" s="714">
        <v>2.5</v>
      </c>
      <c r="CN25" s="714">
        <v>2.5</v>
      </c>
      <c r="CO25" s="714">
        <v>2.7</v>
      </c>
      <c r="CP25" s="714">
        <v>2.8</v>
      </c>
      <c r="CQ25" s="714">
        <v>2.9</v>
      </c>
      <c r="CR25" s="714">
        <v>3</v>
      </c>
      <c r="CS25" s="714">
        <v>3.2</v>
      </c>
      <c r="CT25" s="714">
        <v>3.4</v>
      </c>
      <c r="CU25" s="714">
        <v>3.4</v>
      </c>
      <c r="CV25" s="714">
        <v>2.5</v>
      </c>
      <c r="CW25" s="714">
        <v>2.5</v>
      </c>
      <c r="CX25" s="714">
        <v>2.6</v>
      </c>
      <c r="CY25" s="714">
        <v>2.6</v>
      </c>
      <c r="CZ25" s="714">
        <v>2.8</v>
      </c>
      <c r="DA25" s="714">
        <v>2.9</v>
      </c>
      <c r="DB25" s="714">
        <v>3</v>
      </c>
      <c r="DC25" s="714">
        <v>3.2</v>
      </c>
      <c r="DD25" s="714">
        <v>3.3</v>
      </c>
      <c r="DE25" s="714">
        <v>3.5</v>
      </c>
      <c r="DF25" s="714">
        <v>3.5</v>
      </c>
      <c r="DG25" s="714">
        <v>2.8</v>
      </c>
      <c r="DH25" s="714">
        <v>2.8</v>
      </c>
      <c r="DI25" s="714">
        <v>2.8</v>
      </c>
      <c r="DJ25" s="714">
        <v>2.8</v>
      </c>
      <c r="DK25" s="714">
        <v>2.9</v>
      </c>
      <c r="DL25" s="714">
        <v>3.1</v>
      </c>
      <c r="DM25" s="714">
        <v>3.3</v>
      </c>
      <c r="DN25" s="714">
        <v>3.3</v>
      </c>
      <c r="DO25" s="714">
        <v>3.5</v>
      </c>
      <c r="DP25" s="714">
        <v>3.6</v>
      </c>
      <c r="DQ25" s="714">
        <v>3.6</v>
      </c>
      <c r="DR25" s="714">
        <v>3.1</v>
      </c>
      <c r="DS25" s="714">
        <v>3.1</v>
      </c>
      <c r="DT25" s="714">
        <v>3.1</v>
      </c>
      <c r="DU25" s="714">
        <v>3.1</v>
      </c>
      <c r="DV25" s="714">
        <v>3.3</v>
      </c>
      <c r="DW25" s="714">
        <v>3.4</v>
      </c>
      <c r="DX25" s="714">
        <v>3.5</v>
      </c>
      <c r="DY25" s="714">
        <v>3.6</v>
      </c>
      <c r="DZ25" s="714">
        <v>3.7</v>
      </c>
      <c r="EA25" s="714">
        <v>3.7</v>
      </c>
      <c r="EB25" s="714">
        <v>3.7</v>
      </c>
      <c r="EC25" s="714">
        <v>3.1</v>
      </c>
      <c r="ED25" s="714">
        <v>3.1</v>
      </c>
      <c r="EE25" s="714">
        <v>3.1</v>
      </c>
      <c r="EF25" s="714">
        <v>3.1</v>
      </c>
      <c r="EG25" s="714">
        <v>3.3</v>
      </c>
      <c r="EH25" s="714">
        <v>3.4</v>
      </c>
      <c r="EI25" s="714">
        <v>3.6</v>
      </c>
      <c r="EJ25" s="714">
        <v>3.7</v>
      </c>
      <c r="EK25" s="714">
        <v>3.8</v>
      </c>
      <c r="EL25" s="714">
        <v>3.8</v>
      </c>
      <c r="EM25" s="714">
        <v>3.8</v>
      </c>
      <c r="EN25" s="714">
        <v>3.3</v>
      </c>
      <c r="EO25" s="714">
        <v>3.4</v>
      </c>
      <c r="EP25" s="714">
        <v>3.5</v>
      </c>
      <c r="EQ25" s="714">
        <v>3.6</v>
      </c>
      <c r="ER25" s="714">
        <v>3.6</v>
      </c>
      <c r="ES25" s="714">
        <v>3.8</v>
      </c>
      <c r="ET25" s="714">
        <v>3.9</v>
      </c>
      <c r="EU25" s="714">
        <v>4</v>
      </c>
      <c r="EV25" s="714">
        <v>4.1</v>
      </c>
      <c r="EW25" s="714">
        <v>4.2</v>
      </c>
      <c r="EX25" s="714">
        <v>4.2</v>
      </c>
      <c r="EY25" s="714">
        <v>-0.1</v>
      </c>
      <c r="EZ25" s="714">
        <v>0.4</v>
      </c>
      <c r="FA25" s="714">
        <v>0.7</v>
      </c>
      <c r="FB25" s="714">
        <v>0.9</v>
      </c>
      <c r="FC25" s="714">
        <v>1.3</v>
      </c>
      <c r="FD25" s="714">
        <v>1.6</v>
      </c>
      <c r="FE25" s="714">
        <v>1.8</v>
      </c>
      <c r="FF25" s="714">
        <v>2.1</v>
      </c>
      <c r="FG25" s="714">
        <v>2.3</v>
      </c>
      <c r="FH25" s="714">
        <v>2.6</v>
      </c>
      <c r="FI25" s="714">
        <v>2.7</v>
      </c>
      <c r="FJ25" s="723">
        <v>9.63e-7</v>
      </c>
      <c r="FK25" s="723">
        <v>1.65e-8</v>
      </c>
      <c r="FL25" s="723">
        <v>-1.99e-11</v>
      </c>
      <c r="FM25" s="723">
        <v>5.81e-7</v>
      </c>
      <c r="FN25" s="723">
        <v>-1.28e-10</v>
      </c>
      <c r="FO25" s="723">
        <v>0.129</v>
      </c>
      <c r="FP25" s="729">
        <v>1</v>
      </c>
      <c r="FQ25" s="729">
        <v>3</v>
      </c>
      <c r="FR25" s="729">
        <v>1</v>
      </c>
      <c r="FS25" s="729">
        <v>2</v>
      </c>
      <c r="FT25" s="729">
        <v>1</v>
      </c>
      <c r="FU25" s="729">
        <v>1</v>
      </c>
      <c r="FV25" s="681"/>
      <c r="FW25" s="729"/>
      <c r="FX25" s="729"/>
      <c r="FY25" s="729"/>
      <c r="FZ25" s="740">
        <v>614</v>
      </c>
      <c r="GA25" s="740">
        <v>664</v>
      </c>
      <c r="GB25" s="681">
        <v>549</v>
      </c>
      <c r="GC25" s="681">
        <v>592</v>
      </c>
      <c r="GD25" s="747">
        <v>0.94</v>
      </c>
      <c r="GE25" s="729"/>
      <c r="GF25" s="681">
        <v>73</v>
      </c>
      <c r="GG25" s="681">
        <v>86</v>
      </c>
      <c r="GH25" s="681">
        <v>66</v>
      </c>
      <c r="GI25" s="681">
        <v>68</v>
      </c>
      <c r="GJ25" s="681">
        <v>69</v>
      </c>
      <c r="GK25" s="681">
        <v>70</v>
      </c>
      <c r="GL25" s="681">
        <v>71</v>
      </c>
      <c r="GM25" s="681">
        <v>72</v>
      </c>
      <c r="GN25" s="681">
        <v>72</v>
      </c>
      <c r="GO25" s="681">
        <v>73</v>
      </c>
      <c r="GP25" s="681">
        <v>74</v>
      </c>
      <c r="GQ25" s="681">
        <v>74</v>
      </c>
      <c r="GR25" s="681">
        <v>74</v>
      </c>
      <c r="GS25" s="681">
        <v>75</v>
      </c>
      <c r="GT25" s="681">
        <v>75</v>
      </c>
      <c r="GU25" s="681">
        <v>76</v>
      </c>
      <c r="GV25" s="681">
        <v>77</v>
      </c>
      <c r="GW25" s="681">
        <v>77</v>
      </c>
      <c r="GX25" s="681">
        <v>78</v>
      </c>
      <c r="GY25" s="681">
        <v>79</v>
      </c>
      <c r="GZ25" s="681">
        <v>80</v>
      </c>
      <c r="HA25" s="681">
        <v>82</v>
      </c>
      <c r="HB25" s="681">
        <v>83</v>
      </c>
      <c r="HC25" s="681"/>
      <c r="HD25" s="681">
        <v>85</v>
      </c>
      <c r="HE25" s="681"/>
      <c r="HF25" s="681">
        <v>527</v>
      </c>
      <c r="HG25" s="681">
        <v>127</v>
      </c>
      <c r="HH25" s="714">
        <v>72.3</v>
      </c>
      <c r="HI25" s="714">
        <v>29.1</v>
      </c>
      <c r="HJ25" s="753">
        <v>0.243</v>
      </c>
      <c r="HK25" s="681">
        <v>78</v>
      </c>
      <c r="HL25" s="685">
        <v>2.56</v>
      </c>
      <c r="HM25" s="747">
        <v>3.17</v>
      </c>
      <c r="HN25" s="729" t="s">
        <v>435</v>
      </c>
      <c r="HO25" s="729" t="s">
        <v>436</v>
      </c>
      <c r="HP25" s="714">
        <v>-13.3</v>
      </c>
      <c r="HQ25" s="753">
        <v>0.931</v>
      </c>
      <c r="HR25" s="753">
        <v>0.952</v>
      </c>
      <c r="HS25" s="753">
        <v>0.984</v>
      </c>
      <c r="HT25" s="753">
        <v>0.992</v>
      </c>
      <c r="HU25" s="753">
        <v>0.999</v>
      </c>
      <c r="HV25" s="753">
        <v>0.999</v>
      </c>
      <c r="HW25" s="753">
        <v>0.999</v>
      </c>
      <c r="HX25" s="753">
        <v>0.999</v>
      </c>
      <c r="HY25" s="753">
        <v>0.999</v>
      </c>
      <c r="HZ25" s="753">
        <v>0.999</v>
      </c>
      <c r="IA25" s="753">
        <v>0.999</v>
      </c>
      <c r="IB25" s="753">
        <v>0.999</v>
      </c>
      <c r="IC25" s="753">
        <v>0.999</v>
      </c>
      <c r="ID25" s="753">
        <v>0.999</v>
      </c>
      <c r="IE25" s="753">
        <v>0.999</v>
      </c>
      <c r="IF25" s="753">
        <v>0.999</v>
      </c>
      <c r="IG25" s="753">
        <v>0.999</v>
      </c>
      <c r="IH25" s="753">
        <v>0.999</v>
      </c>
      <c r="II25" s="753">
        <v>0.999</v>
      </c>
      <c r="IJ25" s="753">
        <v>0.999</v>
      </c>
      <c r="IK25" s="753">
        <v>0.999</v>
      </c>
      <c r="IL25" s="753">
        <v>0.999</v>
      </c>
      <c r="IM25" s="753">
        <v>0.999</v>
      </c>
      <c r="IN25" s="753">
        <v>0.999</v>
      </c>
      <c r="IO25" s="753">
        <v>0.999</v>
      </c>
      <c r="IP25" s="753">
        <v>0.997</v>
      </c>
      <c r="IQ25" s="753">
        <v>0.995</v>
      </c>
      <c r="IR25" s="753">
        <v>0.991</v>
      </c>
      <c r="IS25" s="753">
        <v>0.983</v>
      </c>
      <c r="IT25" s="753">
        <v>0.964</v>
      </c>
      <c r="IU25" s="753">
        <v>0.93</v>
      </c>
      <c r="IV25" s="753">
        <v>0.863</v>
      </c>
      <c r="IW25" s="753">
        <v>0.751</v>
      </c>
      <c r="IX25" s="753">
        <v>0.576</v>
      </c>
      <c r="IY25" s="754">
        <v>0.344</v>
      </c>
      <c r="IZ25" s="754"/>
      <c r="JA25" s="753">
        <v>0.866</v>
      </c>
      <c r="JB25" s="753">
        <v>0.91</v>
      </c>
      <c r="JC25" s="753">
        <v>0.966</v>
      </c>
      <c r="JD25" s="753">
        <v>0.985</v>
      </c>
      <c r="JE25" s="753">
        <v>0.998</v>
      </c>
      <c r="JF25" s="753">
        <v>0.998</v>
      </c>
      <c r="JG25" s="753">
        <v>0.998</v>
      </c>
      <c r="JH25" s="753">
        <v>0.998</v>
      </c>
      <c r="JI25" s="753">
        <v>0.998</v>
      </c>
      <c r="JJ25" s="753">
        <v>0.998</v>
      </c>
      <c r="JK25" s="753">
        <v>0.998</v>
      </c>
      <c r="JL25" s="753">
        <v>0.998</v>
      </c>
      <c r="JM25" s="753">
        <v>0.998</v>
      </c>
      <c r="JN25" s="753">
        <v>0.998</v>
      </c>
      <c r="JO25" s="753">
        <v>0.998</v>
      </c>
      <c r="JP25" s="753">
        <v>0.998</v>
      </c>
      <c r="JQ25" s="753">
        <v>0.998</v>
      </c>
      <c r="JR25" s="753">
        <v>0.998</v>
      </c>
      <c r="JS25" s="753">
        <v>0.998</v>
      </c>
      <c r="JT25" s="753">
        <v>0.998</v>
      </c>
      <c r="JU25" s="753">
        <v>0.998</v>
      </c>
      <c r="JV25" s="753">
        <v>0.998</v>
      </c>
      <c r="JW25" s="753">
        <v>0.998</v>
      </c>
      <c r="JX25" s="753">
        <v>0.998</v>
      </c>
      <c r="JY25" s="753">
        <v>0.998</v>
      </c>
      <c r="JZ25" s="753">
        <v>0.995</v>
      </c>
      <c r="KA25" s="753">
        <v>0.99</v>
      </c>
      <c r="KB25" s="753">
        <v>0.983</v>
      </c>
      <c r="KC25" s="753">
        <v>0.967</v>
      </c>
      <c r="KD25" s="753">
        <v>0.93</v>
      </c>
      <c r="KE25" s="753">
        <v>0.866</v>
      </c>
      <c r="KF25" s="753">
        <v>0.744</v>
      </c>
      <c r="KG25" s="753">
        <v>0.558</v>
      </c>
      <c r="KH25" s="753">
        <v>0.329</v>
      </c>
      <c r="KI25" s="754">
        <v>0.12</v>
      </c>
      <c r="KJ25" s="754"/>
      <c r="KK25" s="765" t="s">
        <v>281</v>
      </c>
      <c r="KL25" s="738">
        <v>25</v>
      </c>
      <c r="KM25" s="738">
        <v>79</v>
      </c>
      <c r="KN25" s="646" t="s">
        <v>303</v>
      </c>
      <c r="KO25" s="646" t="s">
        <v>434</v>
      </c>
      <c r="KP25" s="679">
        <v>573575</v>
      </c>
      <c r="KQ25" s="766"/>
      <c r="KR25" s="750"/>
      <c r="KS25" s="769" t="s">
        <v>434</v>
      </c>
      <c r="KT25" s="770" t="s">
        <v>437</v>
      </c>
      <c r="KU25" s="766"/>
      <c r="KV25" s="750"/>
      <c r="KW25" s="771"/>
      <c r="KX25" s="750"/>
      <c r="KY25" s="769" t="s">
        <v>438</v>
      </c>
      <c r="KZ25" s="770" t="s">
        <v>439</v>
      </c>
    </row>
    <row r="26" s="628" customFormat="1" customHeight="1" spans="1:312">
      <c r="A26" s="682" t="s">
        <v>277</v>
      </c>
      <c r="B26" s="683">
        <v>22</v>
      </c>
      <c r="C26" s="684" t="s">
        <v>440</v>
      </c>
      <c r="D26" s="679">
        <v>589613</v>
      </c>
      <c r="E26" s="685">
        <v>61.25</v>
      </c>
      <c r="F26" s="685">
        <v>61.01</v>
      </c>
      <c r="G26" s="686">
        <v>0.009618</v>
      </c>
      <c r="H26" s="686">
        <v>0.009694</v>
      </c>
      <c r="I26" s="696">
        <v>1.55975</v>
      </c>
      <c r="J26" s="696">
        <v>1.56532</v>
      </c>
      <c r="K26" s="696">
        <v>1.57133</v>
      </c>
      <c r="L26" s="696">
        <v>1.5765</v>
      </c>
      <c r="M26" s="696">
        <v>1.57741</v>
      </c>
      <c r="N26" s="696">
        <v>1.57815</v>
      </c>
      <c r="O26" s="696">
        <v>1.58095</v>
      </c>
      <c r="P26" s="699">
        <v>1.58282</v>
      </c>
      <c r="Q26" s="697">
        <v>1.58451</v>
      </c>
      <c r="R26" s="697">
        <v>1.58619</v>
      </c>
      <c r="S26" s="697">
        <v>1.58666</v>
      </c>
      <c r="T26" s="701">
        <v>1.58709</v>
      </c>
      <c r="U26" s="697">
        <v>1.58903</v>
      </c>
      <c r="V26" s="697">
        <v>1.58913</v>
      </c>
      <c r="W26" s="697">
        <v>1.59142</v>
      </c>
      <c r="X26" s="697">
        <v>1.59581</v>
      </c>
      <c r="Y26" s="697">
        <v>1.59635</v>
      </c>
      <c r="Z26" s="697">
        <v>1.60102</v>
      </c>
      <c r="AA26" s="697">
        <v>1.60533</v>
      </c>
      <c r="AB26" s="697">
        <v>1.61266</v>
      </c>
      <c r="AC26" s="704">
        <v>2.48859886</v>
      </c>
      <c r="AD26" s="705">
        <v>-0.0107631038</v>
      </c>
      <c r="AE26" s="705">
        <v>0.0130844889</v>
      </c>
      <c r="AF26" s="705">
        <v>0.000333048453</v>
      </c>
      <c r="AG26" s="705">
        <v>-1.29820178e-5</v>
      </c>
      <c r="AH26" s="705">
        <v>6.37252025e-7</v>
      </c>
      <c r="AI26" s="709">
        <v>0.3057</v>
      </c>
      <c r="AJ26" s="709">
        <v>0.2381</v>
      </c>
      <c r="AK26" s="709">
        <v>0.5417</v>
      </c>
      <c r="AL26" s="709">
        <v>0.2548</v>
      </c>
      <c r="AM26" s="709">
        <v>0.2362</v>
      </c>
      <c r="AN26" s="709">
        <v>0.4817</v>
      </c>
      <c r="AO26" s="709">
        <v>0</v>
      </c>
      <c r="AP26" s="709">
        <v>-0.0002</v>
      </c>
      <c r="AQ26" s="709">
        <v>-0.001</v>
      </c>
      <c r="AR26" s="709">
        <v>-0.0026</v>
      </c>
      <c r="AS26" s="714">
        <v>3</v>
      </c>
      <c r="AT26" s="715">
        <v>3</v>
      </c>
      <c r="AU26" s="715">
        <v>3.1</v>
      </c>
      <c r="AV26" s="715">
        <v>3.1</v>
      </c>
      <c r="AW26" s="715">
        <v>3.1</v>
      </c>
      <c r="AX26" s="715">
        <v>3.2</v>
      </c>
      <c r="AY26" s="715">
        <v>3.3</v>
      </c>
      <c r="AZ26" s="715">
        <v>3.4</v>
      </c>
      <c r="BA26" s="715">
        <v>3.5</v>
      </c>
      <c r="BB26" s="715">
        <v>3.6</v>
      </c>
      <c r="BC26" s="715">
        <v>3.7</v>
      </c>
      <c r="BD26" s="715">
        <v>3.1</v>
      </c>
      <c r="BE26" s="715">
        <v>3.2</v>
      </c>
      <c r="BF26" s="715">
        <v>3.3</v>
      </c>
      <c r="BG26" s="715">
        <v>3.3</v>
      </c>
      <c r="BH26" s="715">
        <v>3.3</v>
      </c>
      <c r="BI26" s="715">
        <v>3.3</v>
      </c>
      <c r="BJ26" s="715">
        <v>3.5</v>
      </c>
      <c r="BK26" s="715">
        <v>3.6</v>
      </c>
      <c r="BL26" s="715">
        <v>3.6</v>
      </c>
      <c r="BM26" s="715">
        <v>3.8</v>
      </c>
      <c r="BN26" s="715">
        <v>3.9</v>
      </c>
      <c r="BO26" s="715">
        <v>3.3</v>
      </c>
      <c r="BP26" s="715">
        <v>3.3</v>
      </c>
      <c r="BQ26" s="715">
        <v>3.4</v>
      </c>
      <c r="BR26" s="715">
        <v>3.4</v>
      </c>
      <c r="BS26" s="715">
        <v>3.4</v>
      </c>
      <c r="BT26" s="715">
        <v>3.5</v>
      </c>
      <c r="BU26" s="715">
        <v>3.6</v>
      </c>
      <c r="BV26" s="715">
        <v>3.7</v>
      </c>
      <c r="BW26" s="715">
        <v>3.8</v>
      </c>
      <c r="BX26" s="715">
        <v>4</v>
      </c>
      <c r="BY26" s="715">
        <v>4.1</v>
      </c>
      <c r="BZ26" s="715">
        <v>3.3</v>
      </c>
      <c r="CA26" s="715">
        <v>3.3</v>
      </c>
      <c r="CB26" s="715">
        <v>3.4</v>
      </c>
      <c r="CC26" s="715">
        <v>3.4</v>
      </c>
      <c r="CD26" s="715">
        <v>3.4</v>
      </c>
      <c r="CE26" s="715">
        <v>3.5</v>
      </c>
      <c r="CF26" s="715">
        <v>3.7</v>
      </c>
      <c r="CG26" s="715">
        <v>3.8</v>
      </c>
      <c r="CH26" s="715">
        <v>3.9</v>
      </c>
      <c r="CI26" s="715">
        <v>4.1</v>
      </c>
      <c r="CJ26" s="715">
        <v>4.2</v>
      </c>
      <c r="CK26" s="715">
        <v>3.4</v>
      </c>
      <c r="CL26" s="715">
        <v>3.3</v>
      </c>
      <c r="CM26" s="715">
        <v>3.4</v>
      </c>
      <c r="CN26" s="715">
        <v>3.5</v>
      </c>
      <c r="CO26" s="715">
        <v>3.5</v>
      </c>
      <c r="CP26" s="715">
        <v>3.6</v>
      </c>
      <c r="CQ26" s="715">
        <v>3.8</v>
      </c>
      <c r="CR26" s="715">
        <v>3.9</v>
      </c>
      <c r="CS26" s="715">
        <v>4</v>
      </c>
      <c r="CT26" s="715">
        <v>4.2</v>
      </c>
      <c r="CU26" s="715">
        <v>4.3</v>
      </c>
      <c r="CV26" s="715">
        <v>3.5</v>
      </c>
      <c r="CW26" s="715">
        <v>3.5</v>
      </c>
      <c r="CX26" s="715">
        <v>3.5</v>
      </c>
      <c r="CY26" s="715">
        <v>3.5</v>
      </c>
      <c r="CZ26" s="715">
        <v>3.6</v>
      </c>
      <c r="DA26" s="715">
        <v>3.7</v>
      </c>
      <c r="DB26" s="715">
        <v>3.9</v>
      </c>
      <c r="DC26" s="715">
        <v>4.1</v>
      </c>
      <c r="DD26" s="715">
        <v>4.3</v>
      </c>
      <c r="DE26" s="715">
        <v>4.4</v>
      </c>
      <c r="DF26" s="715">
        <v>4.6</v>
      </c>
      <c r="DG26" s="715">
        <v>3.5</v>
      </c>
      <c r="DH26" s="715">
        <v>3.7</v>
      </c>
      <c r="DI26" s="715">
        <v>3.7</v>
      </c>
      <c r="DJ26" s="715">
        <v>3.6</v>
      </c>
      <c r="DK26" s="715">
        <v>3.7</v>
      </c>
      <c r="DL26" s="715">
        <v>3.8</v>
      </c>
      <c r="DM26" s="715">
        <v>4</v>
      </c>
      <c r="DN26" s="715">
        <v>4.2</v>
      </c>
      <c r="DO26" s="715">
        <v>4.5</v>
      </c>
      <c r="DP26" s="715">
        <v>4.6</v>
      </c>
      <c r="DQ26" s="715">
        <v>4.9</v>
      </c>
      <c r="DR26" s="715">
        <v>3.8</v>
      </c>
      <c r="DS26" s="715">
        <v>3.8</v>
      </c>
      <c r="DT26" s="715">
        <v>3.9</v>
      </c>
      <c r="DU26" s="715">
        <v>3.9</v>
      </c>
      <c r="DV26" s="715">
        <v>4</v>
      </c>
      <c r="DW26" s="715">
        <v>4.1</v>
      </c>
      <c r="DX26" s="715">
        <v>4.3</v>
      </c>
      <c r="DY26" s="715">
        <v>4.4</v>
      </c>
      <c r="DZ26" s="715">
        <v>4.6</v>
      </c>
      <c r="EA26" s="715">
        <v>4.8</v>
      </c>
      <c r="EB26" s="715">
        <v>5.1</v>
      </c>
      <c r="EC26" s="715">
        <v>3.9</v>
      </c>
      <c r="ED26" s="715">
        <v>3.9</v>
      </c>
      <c r="EE26" s="715">
        <v>3.9</v>
      </c>
      <c r="EF26" s="715">
        <v>3.9</v>
      </c>
      <c r="EG26" s="715">
        <v>4</v>
      </c>
      <c r="EH26" s="715">
        <v>4.2</v>
      </c>
      <c r="EI26" s="715">
        <v>4.4</v>
      </c>
      <c r="EJ26" s="715">
        <v>4.5</v>
      </c>
      <c r="EK26" s="715">
        <v>4.7</v>
      </c>
      <c r="EL26" s="715">
        <v>4.9</v>
      </c>
      <c r="EM26" s="715">
        <v>5.2</v>
      </c>
      <c r="EN26" s="715">
        <v>4.2</v>
      </c>
      <c r="EO26" s="715">
        <v>4.2</v>
      </c>
      <c r="EP26" s="715">
        <v>4.2</v>
      </c>
      <c r="EQ26" s="715">
        <v>4.3</v>
      </c>
      <c r="ER26" s="715">
        <v>4.4</v>
      </c>
      <c r="ES26" s="715">
        <v>4.5</v>
      </c>
      <c r="ET26" s="715">
        <v>4.7</v>
      </c>
      <c r="EU26" s="715">
        <v>4.9</v>
      </c>
      <c r="EV26" s="715">
        <v>5.2</v>
      </c>
      <c r="EW26" s="715">
        <v>5.4</v>
      </c>
      <c r="EX26" s="715">
        <v>5.7</v>
      </c>
      <c r="EY26" s="715">
        <v>0.8</v>
      </c>
      <c r="EZ26" s="715">
        <v>1.2</v>
      </c>
      <c r="FA26" s="715">
        <v>1.6</v>
      </c>
      <c r="FB26" s="715">
        <v>1.9</v>
      </c>
      <c r="FC26" s="715">
        <v>2.1</v>
      </c>
      <c r="FD26" s="715">
        <v>2.4</v>
      </c>
      <c r="FE26" s="715">
        <v>2.7</v>
      </c>
      <c r="FF26" s="715">
        <v>2.9</v>
      </c>
      <c r="FG26" s="715">
        <v>3.1</v>
      </c>
      <c r="FH26" s="715">
        <v>3.4</v>
      </c>
      <c r="FI26" s="715">
        <v>3.6</v>
      </c>
      <c r="FJ26" s="723">
        <v>3e-6</v>
      </c>
      <c r="FK26" s="723">
        <v>1.29e-8</v>
      </c>
      <c r="FL26" s="723">
        <v>-9.66e-12</v>
      </c>
      <c r="FM26" s="723">
        <v>3.8e-7</v>
      </c>
      <c r="FN26" s="723">
        <v>7.2e-10</v>
      </c>
      <c r="FO26" s="723">
        <v>0.231</v>
      </c>
      <c r="FP26" s="729">
        <v>1</v>
      </c>
      <c r="FQ26" s="729">
        <v>3</v>
      </c>
      <c r="FR26" s="729">
        <v>2</v>
      </c>
      <c r="FS26" s="729">
        <v>3</v>
      </c>
      <c r="FT26" s="729">
        <v>2</v>
      </c>
      <c r="FU26" s="729">
        <v>1</v>
      </c>
      <c r="FV26" s="681" t="s">
        <v>441</v>
      </c>
      <c r="FW26" s="729"/>
      <c r="FX26" s="729"/>
      <c r="FY26" s="729"/>
      <c r="FZ26" s="741">
        <v>678</v>
      </c>
      <c r="GA26" s="741">
        <v>733</v>
      </c>
      <c r="GB26" s="681">
        <v>609</v>
      </c>
      <c r="GC26" s="681">
        <v>650</v>
      </c>
      <c r="GD26" s="747">
        <v>1.05</v>
      </c>
      <c r="GE26" s="729"/>
      <c r="GF26" s="681">
        <v>55</v>
      </c>
      <c r="GG26" s="681">
        <v>67</v>
      </c>
      <c r="GH26" s="681">
        <v>48</v>
      </c>
      <c r="GI26" s="681">
        <v>50</v>
      </c>
      <c r="GJ26" s="681">
        <v>53</v>
      </c>
      <c r="GK26" s="681">
        <v>54</v>
      </c>
      <c r="GL26" s="681">
        <v>56</v>
      </c>
      <c r="GM26" s="681">
        <v>56</v>
      </c>
      <c r="GN26" s="681">
        <v>56</v>
      </c>
      <c r="GO26" s="681">
        <v>57</v>
      </c>
      <c r="GP26" s="681">
        <v>57</v>
      </c>
      <c r="GQ26" s="681">
        <v>58</v>
      </c>
      <c r="GR26" s="681">
        <v>58</v>
      </c>
      <c r="GS26" s="681">
        <v>59</v>
      </c>
      <c r="GT26" s="681">
        <v>59</v>
      </c>
      <c r="GU26" s="681">
        <v>60</v>
      </c>
      <c r="GV26" s="681">
        <v>61</v>
      </c>
      <c r="GW26" s="681">
        <v>62</v>
      </c>
      <c r="GX26" s="681">
        <v>62</v>
      </c>
      <c r="GY26" s="681">
        <v>63</v>
      </c>
      <c r="GZ26" s="681">
        <v>63</v>
      </c>
      <c r="HA26" s="681">
        <v>65</v>
      </c>
      <c r="HB26" s="681">
        <v>66</v>
      </c>
      <c r="HC26" s="681"/>
      <c r="HD26" s="681">
        <v>118</v>
      </c>
      <c r="HE26" s="681"/>
      <c r="HF26" s="681">
        <v>550</v>
      </c>
      <c r="HG26" s="681">
        <v>119</v>
      </c>
      <c r="HH26" s="714">
        <v>81.3</v>
      </c>
      <c r="HI26" s="714">
        <v>32.7</v>
      </c>
      <c r="HJ26" s="753">
        <v>0.244</v>
      </c>
      <c r="HK26" s="681">
        <v>72</v>
      </c>
      <c r="HL26" s="685">
        <v>2.06</v>
      </c>
      <c r="HM26" s="747">
        <v>3.31</v>
      </c>
      <c r="HN26" s="729" t="s">
        <v>442</v>
      </c>
      <c r="HO26" s="729" t="s">
        <v>443</v>
      </c>
      <c r="HP26" s="714">
        <v>-5.9</v>
      </c>
      <c r="HQ26" s="753">
        <v>0.917</v>
      </c>
      <c r="HR26" s="753">
        <v>0.973</v>
      </c>
      <c r="HS26" s="753">
        <v>0.991</v>
      </c>
      <c r="HT26" s="753">
        <v>0.999</v>
      </c>
      <c r="HU26" s="753">
        <v>0.999</v>
      </c>
      <c r="HV26" s="753">
        <v>0.999</v>
      </c>
      <c r="HW26" s="753">
        <v>0.999</v>
      </c>
      <c r="HX26" s="753">
        <v>0.999</v>
      </c>
      <c r="HY26" s="753">
        <v>0.999</v>
      </c>
      <c r="HZ26" s="753">
        <v>0.999</v>
      </c>
      <c r="IA26" s="753">
        <v>0.999</v>
      </c>
      <c r="IB26" s="753">
        <v>0.999</v>
      </c>
      <c r="IC26" s="753">
        <v>0.999</v>
      </c>
      <c r="ID26" s="753">
        <v>0.999</v>
      </c>
      <c r="IE26" s="753">
        <v>0.999</v>
      </c>
      <c r="IF26" s="753">
        <v>0.999</v>
      </c>
      <c r="IG26" s="753">
        <v>0.999</v>
      </c>
      <c r="IH26" s="753">
        <v>0.999</v>
      </c>
      <c r="II26" s="753">
        <v>0.999</v>
      </c>
      <c r="IJ26" s="753">
        <v>0.999</v>
      </c>
      <c r="IK26" s="753">
        <v>0.999</v>
      </c>
      <c r="IL26" s="753">
        <v>0.998</v>
      </c>
      <c r="IM26" s="753">
        <v>0.998</v>
      </c>
      <c r="IN26" s="753">
        <v>0.997</v>
      </c>
      <c r="IO26" s="753">
        <v>0.992</v>
      </c>
      <c r="IP26" s="753">
        <v>0.99</v>
      </c>
      <c r="IQ26" s="753">
        <v>0.989</v>
      </c>
      <c r="IR26" s="753">
        <v>0.972</v>
      </c>
      <c r="IS26" s="753">
        <v>0.949</v>
      </c>
      <c r="IT26" s="753">
        <v>0.906</v>
      </c>
      <c r="IU26" s="753">
        <v>0.833</v>
      </c>
      <c r="IV26" s="753">
        <v>0.72</v>
      </c>
      <c r="IW26" s="753">
        <v>0.564</v>
      </c>
      <c r="IX26" s="753">
        <v>0.387</v>
      </c>
      <c r="IY26" s="753">
        <v>0.21</v>
      </c>
      <c r="IZ26" s="754">
        <v>0.114</v>
      </c>
      <c r="JA26" s="753">
        <v>0.842</v>
      </c>
      <c r="JB26" s="753">
        <v>0.947</v>
      </c>
      <c r="JC26" s="753">
        <v>0.982</v>
      </c>
      <c r="JD26" s="753">
        <v>0.998</v>
      </c>
      <c r="JE26" s="753">
        <v>0.998</v>
      </c>
      <c r="JF26" s="753">
        <v>0.998</v>
      </c>
      <c r="JG26" s="753">
        <v>0.998</v>
      </c>
      <c r="JH26" s="753">
        <v>0.998</v>
      </c>
      <c r="JI26" s="753">
        <v>0.998</v>
      </c>
      <c r="JJ26" s="753">
        <v>0.998</v>
      </c>
      <c r="JK26" s="753">
        <v>0.998</v>
      </c>
      <c r="JL26" s="753">
        <v>0.998</v>
      </c>
      <c r="JM26" s="753">
        <v>0.998</v>
      </c>
      <c r="JN26" s="753">
        <v>0.998</v>
      </c>
      <c r="JO26" s="753">
        <v>0.998</v>
      </c>
      <c r="JP26" s="753">
        <v>0.998</v>
      </c>
      <c r="JQ26" s="753">
        <v>0.998</v>
      </c>
      <c r="JR26" s="753">
        <v>0.998</v>
      </c>
      <c r="JS26" s="753">
        <v>0.998</v>
      </c>
      <c r="JT26" s="753">
        <v>0.998</v>
      </c>
      <c r="JU26" s="753">
        <v>0.998</v>
      </c>
      <c r="JV26" s="753">
        <v>0.996</v>
      </c>
      <c r="JW26" s="753">
        <v>0.996</v>
      </c>
      <c r="JX26" s="753">
        <v>0.994</v>
      </c>
      <c r="JY26" s="753">
        <v>0.985</v>
      </c>
      <c r="JZ26" s="753">
        <v>0.98</v>
      </c>
      <c r="KA26" s="753">
        <v>0.978</v>
      </c>
      <c r="KB26" s="753">
        <v>0.945</v>
      </c>
      <c r="KC26" s="753">
        <v>0.9</v>
      </c>
      <c r="KD26" s="753">
        <v>0.821</v>
      </c>
      <c r="KE26" s="753">
        <v>0.694</v>
      </c>
      <c r="KF26" s="753">
        <v>0.518</v>
      </c>
      <c r="KG26" s="753">
        <v>0.318</v>
      </c>
      <c r="KH26" s="753">
        <v>0.15</v>
      </c>
      <c r="KI26" s="753">
        <v>0.044</v>
      </c>
      <c r="KJ26" s="754">
        <v>0.013</v>
      </c>
      <c r="KK26" s="765" t="s">
        <v>281</v>
      </c>
      <c r="KL26" s="738">
        <v>10</v>
      </c>
      <c r="KM26" s="738">
        <v>33</v>
      </c>
      <c r="KN26" s="646" t="s">
        <v>282</v>
      </c>
      <c r="KO26" s="646" t="s">
        <v>440</v>
      </c>
      <c r="KP26" s="679">
        <v>589613</v>
      </c>
      <c r="KQ26" s="766" t="s">
        <v>444</v>
      </c>
      <c r="KR26" s="750" t="s">
        <v>445</v>
      </c>
      <c r="KS26" s="769" t="s">
        <v>440</v>
      </c>
      <c r="KT26" s="770" t="s">
        <v>446</v>
      </c>
      <c r="KU26" s="766" t="s">
        <v>447</v>
      </c>
      <c r="KV26" s="750">
        <v>589613</v>
      </c>
      <c r="KW26" s="771" t="s">
        <v>448</v>
      </c>
      <c r="KX26" s="750" t="s">
        <v>445</v>
      </c>
      <c r="KY26" s="769" t="s">
        <v>449</v>
      </c>
      <c r="KZ26" s="770" t="s">
        <v>446</v>
      </c>
    </row>
    <row r="27" s="628" customFormat="1" customHeight="1" spans="1:312">
      <c r="A27" s="682"/>
      <c r="B27" s="683">
        <v>23</v>
      </c>
      <c r="C27" s="684" t="s">
        <v>450</v>
      </c>
      <c r="D27" s="679">
        <v>613586</v>
      </c>
      <c r="E27" s="685">
        <v>58.58</v>
      </c>
      <c r="F27" s="685">
        <v>58.3</v>
      </c>
      <c r="G27" s="686">
        <v>0.01046</v>
      </c>
      <c r="H27" s="686">
        <v>0.010552</v>
      </c>
      <c r="I27" s="696">
        <v>1.5837</v>
      </c>
      <c r="J27" s="696">
        <v>1.58884</v>
      </c>
      <c r="K27" s="696">
        <v>1.59446</v>
      </c>
      <c r="L27" s="696">
        <v>1.59947</v>
      </c>
      <c r="M27" s="696">
        <v>1.60038</v>
      </c>
      <c r="N27" s="696">
        <v>1.60112</v>
      </c>
      <c r="O27" s="696">
        <v>1.60399</v>
      </c>
      <c r="P27" s="696">
        <v>1.60595</v>
      </c>
      <c r="Q27" s="697">
        <v>1.60774</v>
      </c>
      <c r="R27" s="697">
        <v>1.60954</v>
      </c>
      <c r="S27" s="697">
        <v>1.61005</v>
      </c>
      <c r="T27" s="701">
        <v>1.61052</v>
      </c>
      <c r="U27" s="697">
        <v>1.61263</v>
      </c>
      <c r="V27" s="697">
        <v>1.61272</v>
      </c>
      <c r="W27" s="697">
        <v>1.61521</v>
      </c>
      <c r="X27" s="697">
        <v>1.62</v>
      </c>
      <c r="Y27" s="697">
        <v>1.6206</v>
      </c>
      <c r="Z27" s="697">
        <v>1.62571</v>
      </c>
      <c r="AA27" s="697">
        <v>1.63044</v>
      </c>
      <c r="AB27" s="697">
        <v>1.63849</v>
      </c>
      <c r="AC27" s="704">
        <v>2.5595514</v>
      </c>
      <c r="AD27" s="705">
        <v>-0.0100093149</v>
      </c>
      <c r="AE27" s="705">
        <v>0.0142930361</v>
      </c>
      <c r="AF27" s="705">
        <v>0.000466646324</v>
      </c>
      <c r="AG27" s="705">
        <v>-2.70113303e-5</v>
      </c>
      <c r="AH27" s="705">
        <v>1.35057919e-6</v>
      </c>
      <c r="AI27" s="709">
        <v>0.304</v>
      </c>
      <c r="AJ27" s="709">
        <v>0.238</v>
      </c>
      <c r="AK27" s="709">
        <v>0.5459</v>
      </c>
      <c r="AL27" s="709">
        <v>0.253</v>
      </c>
      <c r="AM27" s="709">
        <v>0.236</v>
      </c>
      <c r="AN27" s="709">
        <v>0.4843</v>
      </c>
      <c r="AO27" s="709">
        <v>0.0001</v>
      </c>
      <c r="AP27" s="709">
        <v>-0.0004</v>
      </c>
      <c r="AQ27" s="709">
        <v>-0.019</v>
      </c>
      <c r="AR27" s="709">
        <v>-0.0104</v>
      </c>
      <c r="AS27" s="714">
        <v>1.6</v>
      </c>
      <c r="AT27" s="714">
        <v>1.6</v>
      </c>
      <c r="AU27" s="714">
        <v>1.9</v>
      </c>
      <c r="AV27" s="714">
        <v>1.9</v>
      </c>
      <c r="AW27" s="714">
        <v>2</v>
      </c>
      <c r="AX27" s="714">
        <v>1.9</v>
      </c>
      <c r="AY27" s="714">
        <v>2.1</v>
      </c>
      <c r="AZ27" s="714">
        <v>2.3</v>
      </c>
      <c r="BA27" s="714">
        <v>2.4</v>
      </c>
      <c r="BB27" s="714">
        <v>2.5</v>
      </c>
      <c r="BC27" s="714">
        <v>2.6</v>
      </c>
      <c r="BD27" s="714">
        <v>1.6</v>
      </c>
      <c r="BE27" s="714">
        <v>1.7</v>
      </c>
      <c r="BF27" s="714">
        <v>1.8</v>
      </c>
      <c r="BG27" s="714">
        <v>1.9</v>
      </c>
      <c r="BH27" s="714">
        <v>2</v>
      </c>
      <c r="BI27" s="714">
        <v>2</v>
      </c>
      <c r="BJ27" s="714">
        <v>2.3</v>
      </c>
      <c r="BK27" s="714">
        <v>2.5</v>
      </c>
      <c r="BL27" s="714">
        <v>2.7</v>
      </c>
      <c r="BM27" s="714">
        <v>2.8</v>
      </c>
      <c r="BN27" s="714">
        <v>2.9</v>
      </c>
      <c r="BO27" s="714">
        <v>1.7</v>
      </c>
      <c r="BP27" s="714">
        <v>1.8</v>
      </c>
      <c r="BQ27" s="714">
        <v>1.9</v>
      </c>
      <c r="BR27" s="714">
        <v>1.9</v>
      </c>
      <c r="BS27" s="714">
        <v>2.1</v>
      </c>
      <c r="BT27" s="714">
        <v>2.2</v>
      </c>
      <c r="BU27" s="714">
        <v>2.5</v>
      </c>
      <c r="BV27" s="714">
        <v>2.7</v>
      </c>
      <c r="BW27" s="714">
        <v>2.9</v>
      </c>
      <c r="BX27" s="714">
        <v>3.1</v>
      </c>
      <c r="BY27" s="714">
        <v>3.3</v>
      </c>
      <c r="BZ27" s="714">
        <v>1.7</v>
      </c>
      <c r="CA27" s="714">
        <v>1.8</v>
      </c>
      <c r="CB27" s="714">
        <v>1.9</v>
      </c>
      <c r="CC27" s="714">
        <v>1.9</v>
      </c>
      <c r="CD27" s="714">
        <v>2.1</v>
      </c>
      <c r="CE27" s="714">
        <v>2.2</v>
      </c>
      <c r="CF27" s="714">
        <v>2.5</v>
      </c>
      <c r="CG27" s="714">
        <v>2.7</v>
      </c>
      <c r="CH27" s="714">
        <v>3</v>
      </c>
      <c r="CI27" s="714">
        <v>3.2</v>
      </c>
      <c r="CJ27" s="714">
        <v>3.4</v>
      </c>
      <c r="CK27" s="714">
        <v>1.8</v>
      </c>
      <c r="CL27" s="715">
        <v>1.9</v>
      </c>
      <c r="CM27" s="715">
        <v>2</v>
      </c>
      <c r="CN27" s="715">
        <v>2</v>
      </c>
      <c r="CO27" s="715">
        <v>2.2</v>
      </c>
      <c r="CP27" s="715">
        <v>2.3</v>
      </c>
      <c r="CQ27" s="715">
        <v>2.6</v>
      </c>
      <c r="CR27" s="714">
        <v>2.8</v>
      </c>
      <c r="CS27" s="714">
        <v>3.1</v>
      </c>
      <c r="CT27" s="714">
        <v>3.3</v>
      </c>
      <c r="CU27" s="714">
        <v>3.4</v>
      </c>
      <c r="CV27" s="714">
        <v>1.9</v>
      </c>
      <c r="CW27" s="715">
        <v>2.1</v>
      </c>
      <c r="CX27" s="715">
        <v>2.1</v>
      </c>
      <c r="CY27" s="715">
        <v>2.2</v>
      </c>
      <c r="CZ27" s="715">
        <v>2.4</v>
      </c>
      <c r="DA27" s="715">
        <v>2.5</v>
      </c>
      <c r="DB27" s="715">
        <v>2.8</v>
      </c>
      <c r="DC27" s="714">
        <v>3.1</v>
      </c>
      <c r="DD27" s="714">
        <v>3.4</v>
      </c>
      <c r="DE27" s="714">
        <v>3.6</v>
      </c>
      <c r="DF27" s="714">
        <v>3.8</v>
      </c>
      <c r="DG27" s="714">
        <v>2.3</v>
      </c>
      <c r="DH27" s="715">
        <v>2.4</v>
      </c>
      <c r="DI27" s="715">
        <v>2.5</v>
      </c>
      <c r="DJ27" s="715">
        <v>2.6</v>
      </c>
      <c r="DK27" s="715">
        <v>2.7</v>
      </c>
      <c r="DL27" s="715">
        <v>2.8</v>
      </c>
      <c r="DM27" s="715">
        <v>3.1</v>
      </c>
      <c r="DN27" s="714">
        <v>3.4</v>
      </c>
      <c r="DO27" s="714">
        <v>3.7</v>
      </c>
      <c r="DP27" s="714">
        <v>3.9</v>
      </c>
      <c r="DQ27" s="714">
        <v>4</v>
      </c>
      <c r="DR27" s="714">
        <v>2.5</v>
      </c>
      <c r="DS27" s="715">
        <v>2.7</v>
      </c>
      <c r="DT27" s="715">
        <v>2.8</v>
      </c>
      <c r="DU27" s="715">
        <v>2.9</v>
      </c>
      <c r="DV27" s="715">
        <v>3</v>
      </c>
      <c r="DW27" s="715">
        <v>3.3</v>
      </c>
      <c r="DX27" s="715">
        <v>3.5</v>
      </c>
      <c r="DY27" s="714">
        <v>3.9</v>
      </c>
      <c r="DZ27" s="714">
        <v>4.2</v>
      </c>
      <c r="EA27" s="714">
        <v>4.4</v>
      </c>
      <c r="EB27" s="714">
        <v>4.5</v>
      </c>
      <c r="EC27" s="714">
        <v>2.6</v>
      </c>
      <c r="ED27" s="715">
        <v>2.8</v>
      </c>
      <c r="EE27" s="715">
        <v>2.9</v>
      </c>
      <c r="EF27" s="715">
        <v>2.9</v>
      </c>
      <c r="EG27" s="715">
        <v>3.1</v>
      </c>
      <c r="EH27" s="715">
        <v>3.4</v>
      </c>
      <c r="EI27" s="715">
        <v>3.6</v>
      </c>
      <c r="EJ27" s="714">
        <v>4</v>
      </c>
      <c r="EK27" s="714">
        <v>4.3</v>
      </c>
      <c r="EL27" s="714">
        <v>4.5</v>
      </c>
      <c r="EM27" s="714">
        <v>4.6</v>
      </c>
      <c r="EN27" s="714">
        <v>3</v>
      </c>
      <c r="EO27" s="715">
        <v>3.1</v>
      </c>
      <c r="EP27" s="715">
        <v>3.2</v>
      </c>
      <c r="EQ27" s="715">
        <v>3.3</v>
      </c>
      <c r="ER27" s="715">
        <v>3.6</v>
      </c>
      <c r="ES27" s="715">
        <v>3.9</v>
      </c>
      <c r="ET27" s="715">
        <v>4.2</v>
      </c>
      <c r="EU27" s="714">
        <v>4.6</v>
      </c>
      <c r="EV27" s="714">
        <v>4.9</v>
      </c>
      <c r="EW27" s="714">
        <v>5.1</v>
      </c>
      <c r="EX27" s="714">
        <v>5.3</v>
      </c>
      <c r="EY27" s="714">
        <v>-0.8</v>
      </c>
      <c r="EZ27" s="715">
        <v>-0.3</v>
      </c>
      <c r="FA27" s="715">
        <v>0.1</v>
      </c>
      <c r="FB27" s="715">
        <v>0.4</v>
      </c>
      <c r="FC27" s="715">
        <v>0.8</v>
      </c>
      <c r="FD27" s="715">
        <v>1.1</v>
      </c>
      <c r="FE27" s="715">
        <v>1.5</v>
      </c>
      <c r="FF27" s="714">
        <v>1.8</v>
      </c>
      <c r="FG27" s="714">
        <v>2.2</v>
      </c>
      <c r="FH27" s="714">
        <v>2.5</v>
      </c>
      <c r="FI27" s="714">
        <v>2.7</v>
      </c>
      <c r="FJ27" s="723">
        <v>-6.1e-8</v>
      </c>
      <c r="FK27" s="723">
        <v>1.58e-8</v>
      </c>
      <c r="FL27" s="723">
        <v>-1.22e-11</v>
      </c>
      <c r="FM27" s="723">
        <v>4.83e-7</v>
      </c>
      <c r="FN27" s="723">
        <v>8.41e-10</v>
      </c>
      <c r="FO27" s="723">
        <v>0.269</v>
      </c>
      <c r="FP27" s="729">
        <v>1</v>
      </c>
      <c r="FQ27" s="729">
        <v>3</v>
      </c>
      <c r="FR27" s="729">
        <v>1</v>
      </c>
      <c r="FS27" s="729">
        <v>3</v>
      </c>
      <c r="FT27" s="729">
        <v>2</v>
      </c>
      <c r="FU27" s="729">
        <v>2</v>
      </c>
      <c r="FV27" s="681">
        <v>2</v>
      </c>
      <c r="FW27" s="729"/>
      <c r="FX27" s="729"/>
      <c r="FY27" s="729"/>
      <c r="FZ27" s="741">
        <v>672</v>
      </c>
      <c r="GA27" s="741">
        <v>713</v>
      </c>
      <c r="GB27" s="681">
        <v>597</v>
      </c>
      <c r="GC27" s="681">
        <v>644</v>
      </c>
      <c r="GD27" s="747">
        <v>0.94</v>
      </c>
      <c r="GE27" s="729"/>
      <c r="GF27" s="681">
        <v>63</v>
      </c>
      <c r="GG27" s="681">
        <v>81</v>
      </c>
      <c r="GH27" s="681">
        <v>58</v>
      </c>
      <c r="GI27" s="681">
        <v>60</v>
      </c>
      <c r="GJ27" s="681">
        <v>61</v>
      </c>
      <c r="GK27" s="681">
        <v>62</v>
      </c>
      <c r="GL27" s="681">
        <v>63</v>
      </c>
      <c r="GM27" s="681">
        <v>63</v>
      </c>
      <c r="GN27" s="681">
        <v>64</v>
      </c>
      <c r="GO27" s="681">
        <v>64</v>
      </c>
      <c r="GP27" s="681">
        <v>65</v>
      </c>
      <c r="GQ27" s="681">
        <v>65</v>
      </c>
      <c r="GR27" s="681">
        <v>65</v>
      </c>
      <c r="GS27" s="681">
        <v>66</v>
      </c>
      <c r="GT27" s="681">
        <v>66</v>
      </c>
      <c r="GU27" s="681">
        <v>67</v>
      </c>
      <c r="GV27" s="681">
        <v>67</v>
      </c>
      <c r="GW27" s="681">
        <v>67</v>
      </c>
      <c r="GX27" s="681">
        <v>68</v>
      </c>
      <c r="GY27" s="681">
        <v>69</v>
      </c>
      <c r="GZ27" s="681">
        <v>70</v>
      </c>
      <c r="HA27" s="681">
        <v>71</v>
      </c>
      <c r="HB27" s="681">
        <v>71</v>
      </c>
      <c r="HC27" s="681"/>
      <c r="HD27" s="681">
        <v>115</v>
      </c>
      <c r="HE27" s="681"/>
      <c r="HF27" s="681">
        <v>520</v>
      </c>
      <c r="HG27" s="681">
        <v>140</v>
      </c>
      <c r="HH27" s="714">
        <v>81.9</v>
      </c>
      <c r="HI27" s="714">
        <v>31.6</v>
      </c>
      <c r="HJ27" s="753">
        <v>0.296</v>
      </c>
      <c r="HK27" s="681">
        <v>65</v>
      </c>
      <c r="HL27" s="685">
        <v>1.73</v>
      </c>
      <c r="HM27" s="747">
        <v>3.59</v>
      </c>
      <c r="HN27" s="729" t="s">
        <v>451</v>
      </c>
      <c r="HO27" s="729" t="s">
        <v>452</v>
      </c>
      <c r="HP27" s="714">
        <v>-7.7</v>
      </c>
      <c r="HQ27" s="753">
        <v>0.922</v>
      </c>
      <c r="HR27" s="753">
        <v>0.967</v>
      </c>
      <c r="HS27" s="753">
        <v>0.993</v>
      </c>
      <c r="HT27" s="753">
        <v>0.999</v>
      </c>
      <c r="HU27" s="753">
        <v>0.999</v>
      </c>
      <c r="HV27" s="753">
        <v>0.999</v>
      </c>
      <c r="HW27" s="753">
        <v>0.999</v>
      </c>
      <c r="HX27" s="753">
        <v>0.999</v>
      </c>
      <c r="HY27" s="753">
        <v>0.999</v>
      </c>
      <c r="HZ27" s="753">
        <v>0.999</v>
      </c>
      <c r="IA27" s="753">
        <v>0.999</v>
      </c>
      <c r="IB27" s="753">
        <v>0.999</v>
      </c>
      <c r="IC27" s="753">
        <v>0.999</v>
      </c>
      <c r="ID27" s="753">
        <v>0.999</v>
      </c>
      <c r="IE27" s="753">
        <v>0.999</v>
      </c>
      <c r="IF27" s="753">
        <v>0.999</v>
      </c>
      <c r="IG27" s="753">
        <v>0.999</v>
      </c>
      <c r="IH27" s="753">
        <v>0.999</v>
      </c>
      <c r="II27" s="753">
        <v>0.999</v>
      </c>
      <c r="IJ27" s="753">
        <v>0.999</v>
      </c>
      <c r="IK27" s="753">
        <v>0.999</v>
      </c>
      <c r="IL27" s="753">
        <v>0.999</v>
      </c>
      <c r="IM27" s="753">
        <v>0.999</v>
      </c>
      <c r="IN27" s="753">
        <v>0.997</v>
      </c>
      <c r="IO27" s="753">
        <v>0.995</v>
      </c>
      <c r="IP27" s="753">
        <v>0.989</v>
      </c>
      <c r="IQ27" s="753">
        <v>0.98</v>
      </c>
      <c r="IR27" s="753">
        <v>0.958</v>
      </c>
      <c r="IS27" s="753">
        <v>0.911</v>
      </c>
      <c r="IT27" s="753">
        <v>0.842</v>
      </c>
      <c r="IU27" s="753">
        <v>0.73</v>
      </c>
      <c r="IV27" s="753">
        <v>0.57</v>
      </c>
      <c r="IW27" s="753">
        <v>0.377</v>
      </c>
      <c r="IX27" s="753">
        <v>0.197</v>
      </c>
      <c r="IY27" s="753"/>
      <c r="IZ27" s="753"/>
      <c r="JA27" s="753">
        <v>0.844</v>
      </c>
      <c r="JB27" s="753">
        <v>0.927</v>
      </c>
      <c r="JC27" s="753">
        <v>0.986</v>
      </c>
      <c r="JD27" s="753">
        <v>0.998</v>
      </c>
      <c r="JE27" s="753">
        <v>0.998</v>
      </c>
      <c r="JF27" s="753">
        <v>0.998</v>
      </c>
      <c r="JG27" s="753">
        <v>0.998</v>
      </c>
      <c r="JH27" s="753">
        <v>0.998</v>
      </c>
      <c r="JI27" s="753">
        <v>0.998</v>
      </c>
      <c r="JJ27" s="753">
        <v>0.998</v>
      </c>
      <c r="JK27" s="753">
        <v>0.998</v>
      </c>
      <c r="JL27" s="753">
        <v>0.998</v>
      </c>
      <c r="JM27" s="753">
        <v>0.998</v>
      </c>
      <c r="JN27" s="753">
        <v>0.998</v>
      </c>
      <c r="JO27" s="753">
        <v>0.998</v>
      </c>
      <c r="JP27" s="753">
        <v>0.998</v>
      </c>
      <c r="JQ27" s="753">
        <v>0.998</v>
      </c>
      <c r="JR27" s="753">
        <v>0.998</v>
      </c>
      <c r="JS27" s="753">
        <v>0.998</v>
      </c>
      <c r="JT27" s="753">
        <v>0.998</v>
      </c>
      <c r="JU27" s="753">
        <v>0.998</v>
      </c>
      <c r="JV27" s="753">
        <v>0.998</v>
      </c>
      <c r="JW27" s="753">
        <v>0.995</v>
      </c>
      <c r="JX27" s="753">
        <v>0.99</v>
      </c>
      <c r="JY27" s="753">
        <v>0.982</v>
      </c>
      <c r="JZ27" s="753">
        <v>0.971</v>
      </c>
      <c r="KA27" s="753">
        <v>0.952</v>
      </c>
      <c r="KB27" s="753">
        <v>0.908</v>
      </c>
      <c r="KC27" s="753">
        <v>0.83</v>
      </c>
      <c r="KD27" s="753">
        <v>0.709</v>
      </c>
      <c r="KE27" s="753">
        <v>0.536</v>
      </c>
      <c r="KF27" s="753">
        <v>0.326</v>
      </c>
      <c r="KG27" s="753">
        <v>0.145</v>
      </c>
      <c r="KH27" s="753">
        <v>0.041</v>
      </c>
      <c r="KI27" s="753"/>
      <c r="KJ27" s="753"/>
      <c r="KK27" s="765" t="s">
        <v>281</v>
      </c>
      <c r="KL27" s="738"/>
      <c r="KM27" s="738"/>
      <c r="KN27" s="646"/>
      <c r="KO27" s="646" t="s">
        <v>450</v>
      </c>
      <c r="KP27" s="679">
        <v>613586</v>
      </c>
      <c r="KQ27" s="766"/>
      <c r="KR27" s="750"/>
      <c r="KS27" s="769" t="s">
        <v>450</v>
      </c>
      <c r="KT27" s="770" t="s">
        <v>453</v>
      </c>
      <c r="KU27" s="766" t="s">
        <v>454</v>
      </c>
      <c r="KV27" s="750">
        <v>613586</v>
      </c>
      <c r="KW27" s="771" t="s">
        <v>455</v>
      </c>
      <c r="KX27" s="750" t="s">
        <v>453</v>
      </c>
      <c r="KY27" s="769" t="s">
        <v>456</v>
      </c>
      <c r="KZ27" s="770" t="s">
        <v>453</v>
      </c>
    </row>
    <row r="28" s="628" customFormat="1" customHeight="1" spans="1:312">
      <c r="A28" s="682" t="s">
        <v>374</v>
      </c>
      <c r="B28" s="683">
        <v>24</v>
      </c>
      <c r="C28" s="684" t="s">
        <v>457</v>
      </c>
      <c r="D28" s="679">
        <v>613606</v>
      </c>
      <c r="E28" s="685">
        <v>60.58</v>
      </c>
      <c r="F28" s="685">
        <v>60.34</v>
      </c>
      <c r="G28" s="686">
        <v>0.01012</v>
      </c>
      <c r="H28" s="686">
        <v>0.010201</v>
      </c>
      <c r="I28" s="696">
        <v>1.58169</v>
      </c>
      <c r="J28" s="696">
        <v>1.58773</v>
      </c>
      <c r="K28" s="696">
        <v>1.59423</v>
      </c>
      <c r="L28" s="696">
        <v>1.59978</v>
      </c>
      <c r="M28" s="696">
        <v>1.60074</v>
      </c>
      <c r="N28" s="696">
        <v>1.60153</v>
      </c>
      <c r="O28" s="696">
        <v>1.60449</v>
      </c>
      <c r="P28" s="696">
        <v>1.60646</v>
      </c>
      <c r="Q28" s="697">
        <v>1.60824</v>
      </c>
      <c r="R28" s="697">
        <v>1.61001</v>
      </c>
      <c r="S28" s="697">
        <v>1.6105</v>
      </c>
      <c r="T28" s="701">
        <v>1.61096</v>
      </c>
      <c r="U28" s="697">
        <v>1.613</v>
      </c>
      <c r="V28" s="697">
        <v>1.61309</v>
      </c>
      <c r="W28" s="697">
        <v>1.61551</v>
      </c>
      <c r="X28" s="697">
        <v>1.62013</v>
      </c>
      <c r="Y28" s="697">
        <v>1.6207</v>
      </c>
      <c r="Z28" s="697">
        <v>1.6256</v>
      </c>
      <c r="AA28" s="697">
        <v>1.63013</v>
      </c>
      <c r="AB28" s="697">
        <v>1.63783</v>
      </c>
      <c r="AC28" s="704">
        <v>2.56343719</v>
      </c>
      <c r="AD28" s="705">
        <v>-0.0118778982</v>
      </c>
      <c r="AE28" s="705">
        <v>0.0136592937</v>
      </c>
      <c r="AF28" s="705">
        <v>0.000436395177</v>
      </c>
      <c r="AG28" s="705">
        <v>-2.37642691e-5</v>
      </c>
      <c r="AH28" s="705">
        <v>1.12532867e-6</v>
      </c>
      <c r="AI28" s="709">
        <v>0.3043</v>
      </c>
      <c r="AJ28" s="709">
        <v>0.2391</v>
      </c>
      <c r="AK28" s="709">
        <v>0.5405</v>
      </c>
      <c r="AL28" s="709">
        <v>0.2539</v>
      </c>
      <c r="AM28" s="709">
        <v>0.2372</v>
      </c>
      <c r="AN28" s="709">
        <v>0.4803</v>
      </c>
      <c r="AO28" s="709">
        <v>-0.0002</v>
      </c>
      <c r="AP28" s="709">
        <v>-0.0025</v>
      </c>
      <c r="AQ28" s="709">
        <v>0.0043</v>
      </c>
      <c r="AR28" s="709">
        <v>-0.0003</v>
      </c>
      <c r="AS28" s="714">
        <v>1</v>
      </c>
      <c r="AT28" s="714">
        <v>1</v>
      </c>
      <c r="AU28" s="714">
        <v>1.1</v>
      </c>
      <c r="AV28" s="714">
        <v>1.2</v>
      </c>
      <c r="AW28" s="714">
        <v>1.3</v>
      </c>
      <c r="AX28" s="714">
        <v>1.3</v>
      </c>
      <c r="AY28" s="714">
        <v>1.5</v>
      </c>
      <c r="AZ28" s="714">
        <v>1.6</v>
      </c>
      <c r="BA28" s="714">
        <v>1.6</v>
      </c>
      <c r="BB28" s="714">
        <v>1.6</v>
      </c>
      <c r="BC28" s="714">
        <v>1.6</v>
      </c>
      <c r="BD28" s="714">
        <v>1.1</v>
      </c>
      <c r="BE28" s="714">
        <v>1.1</v>
      </c>
      <c r="BF28" s="714">
        <v>1.1</v>
      </c>
      <c r="BG28" s="714">
        <v>1.3</v>
      </c>
      <c r="BH28" s="714">
        <v>1.4</v>
      </c>
      <c r="BI28" s="714">
        <v>1.4</v>
      </c>
      <c r="BJ28" s="714">
        <v>1.5</v>
      </c>
      <c r="BK28" s="714">
        <v>1.6</v>
      </c>
      <c r="BL28" s="714">
        <v>1.7</v>
      </c>
      <c r="BM28" s="714">
        <v>1.8</v>
      </c>
      <c r="BN28" s="714">
        <v>1.8</v>
      </c>
      <c r="BO28" s="714">
        <v>1.1</v>
      </c>
      <c r="BP28" s="714">
        <v>1.1</v>
      </c>
      <c r="BQ28" s="714">
        <v>1.2</v>
      </c>
      <c r="BR28" s="714">
        <v>1.3</v>
      </c>
      <c r="BS28" s="714">
        <v>1.4</v>
      </c>
      <c r="BT28" s="714">
        <v>1.5</v>
      </c>
      <c r="BU28" s="714">
        <v>1.6</v>
      </c>
      <c r="BV28" s="714">
        <v>1.7</v>
      </c>
      <c r="BW28" s="714">
        <v>1.8</v>
      </c>
      <c r="BX28" s="714">
        <v>1.9</v>
      </c>
      <c r="BY28" s="714">
        <v>1.9</v>
      </c>
      <c r="BZ28" s="714">
        <v>1.1</v>
      </c>
      <c r="CA28" s="714">
        <v>1.1</v>
      </c>
      <c r="CB28" s="714">
        <v>1.3</v>
      </c>
      <c r="CC28" s="714">
        <v>1.4</v>
      </c>
      <c r="CD28" s="714">
        <v>1.5</v>
      </c>
      <c r="CE28" s="714">
        <v>1.6</v>
      </c>
      <c r="CF28" s="714">
        <v>1.7</v>
      </c>
      <c r="CG28" s="714">
        <v>1.7</v>
      </c>
      <c r="CH28" s="714">
        <v>1.8</v>
      </c>
      <c r="CI28" s="714">
        <v>1.9</v>
      </c>
      <c r="CJ28" s="714">
        <v>1.9</v>
      </c>
      <c r="CK28" s="714">
        <v>1.2</v>
      </c>
      <c r="CL28" s="715">
        <v>1.2</v>
      </c>
      <c r="CM28" s="715">
        <v>1.4</v>
      </c>
      <c r="CN28" s="715">
        <v>1.5</v>
      </c>
      <c r="CO28" s="715">
        <v>1.6</v>
      </c>
      <c r="CP28" s="715">
        <v>1.7</v>
      </c>
      <c r="CQ28" s="715">
        <v>1.8</v>
      </c>
      <c r="CR28" s="714">
        <v>1.8</v>
      </c>
      <c r="CS28" s="714">
        <v>1.9</v>
      </c>
      <c r="CT28" s="714">
        <v>1.9</v>
      </c>
      <c r="CU28" s="714">
        <v>2</v>
      </c>
      <c r="CV28" s="714">
        <v>1.3</v>
      </c>
      <c r="CW28" s="715">
        <v>1.3</v>
      </c>
      <c r="CX28" s="715">
        <v>1.6</v>
      </c>
      <c r="CY28" s="715">
        <v>1.6</v>
      </c>
      <c r="CZ28" s="715">
        <v>1.7</v>
      </c>
      <c r="DA28" s="715">
        <v>1.9</v>
      </c>
      <c r="DB28" s="715">
        <v>2</v>
      </c>
      <c r="DC28" s="714">
        <v>2</v>
      </c>
      <c r="DD28" s="714">
        <v>2.1</v>
      </c>
      <c r="DE28" s="714">
        <v>2.1</v>
      </c>
      <c r="DF28" s="714">
        <v>2.2</v>
      </c>
      <c r="DG28" s="714">
        <v>1.4</v>
      </c>
      <c r="DH28" s="715">
        <v>1.5</v>
      </c>
      <c r="DI28" s="715">
        <v>1.8</v>
      </c>
      <c r="DJ28" s="715">
        <v>1.9</v>
      </c>
      <c r="DK28" s="715">
        <v>1.9</v>
      </c>
      <c r="DL28" s="715">
        <v>2</v>
      </c>
      <c r="DM28" s="715">
        <v>2.1</v>
      </c>
      <c r="DN28" s="714">
        <v>2.2</v>
      </c>
      <c r="DO28" s="714">
        <v>2.4</v>
      </c>
      <c r="DP28" s="714">
        <v>2.6</v>
      </c>
      <c r="DQ28" s="714">
        <v>2.7</v>
      </c>
      <c r="DR28" s="714">
        <v>1.6</v>
      </c>
      <c r="DS28" s="715">
        <v>1.8</v>
      </c>
      <c r="DT28" s="715">
        <v>1.9</v>
      </c>
      <c r="DU28" s="715">
        <v>2</v>
      </c>
      <c r="DV28" s="715">
        <v>2.1</v>
      </c>
      <c r="DW28" s="715">
        <v>2.3</v>
      </c>
      <c r="DX28" s="715">
        <v>2.4</v>
      </c>
      <c r="DY28" s="714">
        <v>2.5</v>
      </c>
      <c r="DZ28" s="714">
        <v>2.7</v>
      </c>
      <c r="EA28" s="714">
        <v>2.8</v>
      </c>
      <c r="EB28" s="714">
        <v>3</v>
      </c>
      <c r="EC28" s="714">
        <v>1.7</v>
      </c>
      <c r="ED28" s="715">
        <v>1.9</v>
      </c>
      <c r="EE28" s="715">
        <v>2</v>
      </c>
      <c r="EF28" s="715">
        <v>2.1</v>
      </c>
      <c r="EG28" s="715">
        <v>2.2</v>
      </c>
      <c r="EH28" s="715">
        <v>2.4</v>
      </c>
      <c r="EI28" s="715">
        <v>2.5</v>
      </c>
      <c r="EJ28" s="714">
        <v>2.6</v>
      </c>
      <c r="EK28" s="714">
        <v>2.8</v>
      </c>
      <c r="EL28" s="714">
        <v>2.9</v>
      </c>
      <c r="EM28" s="714">
        <v>3.1</v>
      </c>
      <c r="EN28" s="714">
        <v>2</v>
      </c>
      <c r="EO28" s="715">
        <v>2.3</v>
      </c>
      <c r="EP28" s="715">
        <v>2.4</v>
      </c>
      <c r="EQ28" s="715">
        <v>2.6</v>
      </c>
      <c r="ER28" s="715">
        <v>2.8</v>
      </c>
      <c r="ES28" s="715">
        <v>2.9</v>
      </c>
      <c r="ET28" s="715">
        <v>3.1</v>
      </c>
      <c r="EU28" s="714">
        <v>3.3</v>
      </c>
      <c r="EV28" s="714">
        <v>3.5</v>
      </c>
      <c r="EW28" s="714">
        <v>3.6</v>
      </c>
      <c r="EX28" s="714">
        <v>3.7</v>
      </c>
      <c r="EY28" s="714">
        <v>-1.4</v>
      </c>
      <c r="EZ28" s="715">
        <v>-1</v>
      </c>
      <c r="FA28" s="715">
        <v>-0.5</v>
      </c>
      <c r="FB28" s="715">
        <v>-0.1</v>
      </c>
      <c r="FC28" s="715">
        <v>0.2</v>
      </c>
      <c r="FD28" s="715">
        <v>0.5</v>
      </c>
      <c r="FE28" s="715">
        <v>0.7</v>
      </c>
      <c r="FF28" s="714">
        <v>0.8</v>
      </c>
      <c r="FG28" s="714">
        <v>1</v>
      </c>
      <c r="FH28" s="714">
        <v>1.1</v>
      </c>
      <c r="FI28" s="714">
        <v>1.3</v>
      </c>
      <c r="FJ28" s="723">
        <v>-9.28e-7</v>
      </c>
      <c r="FK28" s="723">
        <v>1.47e-8</v>
      </c>
      <c r="FL28" s="723">
        <v>-3.06e-11</v>
      </c>
      <c r="FM28" s="723">
        <v>2.76e-7</v>
      </c>
      <c r="FN28" s="723">
        <v>5.01e-10</v>
      </c>
      <c r="FO28" s="723">
        <v>0.319</v>
      </c>
      <c r="FP28" s="729">
        <v>1</v>
      </c>
      <c r="FQ28" s="729">
        <v>3</v>
      </c>
      <c r="FR28" s="729">
        <v>2</v>
      </c>
      <c r="FS28" s="729">
        <v>4</v>
      </c>
      <c r="FT28" s="729">
        <v>2</v>
      </c>
      <c r="FU28" s="729">
        <v>2</v>
      </c>
      <c r="FV28" s="681">
        <v>3</v>
      </c>
      <c r="FW28" s="729"/>
      <c r="FX28" s="729"/>
      <c r="FY28" s="729"/>
      <c r="FZ28" s="741">
        <v>651</v>
      </c>
      <c r="GA28" s="741">
        <v>685</v>
      </c>
      <c r="GB28" s="681">
        <v>582</v>
      </c>
      <c r="GC28" s="681">
        <v>623</v>
      </c>
      <c r="GD28" s="747">
        <v>1.03</v>
      </c>
      <c r="GE28" s="729"/>
      <c r="GF28" s="681">
        <v>59</v>
      </c>
      <c r="GG28" s="681">
        <v>73</v>
      </c>
      <c r="GH28" s="681">
        <v>52</v>
      </c>
      <c r="GI28" s="681">
        <v>54</v>
      </c>
      <c r="GJ28" s="681">
        <v>56</v>
      </c>
      <c r="GK28" s="681">
        <v>57</v>
      </c>
      <c r="GL28" s="681">
        <v>57</v>
      </c>
      <c r="GM28" s="681">
        <v>58</v>
      </c>
      <c r="GN28" s="681">
        <v>59</v>
      </c>
      <c r="GO28" s="681">
        <v>60</v>
      </c>
      <c r="GP28" s="681">
        <v>61</v>
      </c>
      <c r="GQ28" s="681">
        <v>61</v>
      </c>
      <c r="GR28" s="681">
        <v>62</v>
      </c>
      <c r="GS28" s="681">
        <v>63</v>
      </c>
      <c r="GT28" s="681">
        <v>63</v>
      </c>
      <c r="GU28" s="681">
        <v>64</v>
      </c>
      <c r="GV28" s="681">
        <v>64</v>
      </c>
      <c r="GW28" s="681">
        <v>65</v>
      </c>
      <c r="GX28" s="681">
        <v>65</v>
      </c>
      <c r="GY28" s="681">
        <v>66</v>
      </c>
      <c r="GZ28" s="681">
        <v>68</v>
      </c>
      <c r="HA28" s="681">
        <v>69</v>
      </c>
      <c r="HB28" s="681">
        <v>71</v>
      </c>
      <c r="HC28" s="681"/>
      <c r="HD28" s="681">
        <v>120</v>
      </c>
      <c r="HE28" s="681"/>
      <c r="HF28" s="681">
        <v>539</v>
      </c>
      <c r="HG28" s="681">
        <v>149</v>
      </c>
      <c r="HH28" s="714">
        <v>86.2</v>
      </c>
      <c r="HI28" s="714">
        <v>33.8</v>
      </c>
      <c r="HJ28" s="753">
        <v>0.275</v>
      </c>
      <c r="HK28" s="681">
        <v>74</v>
      </c>
      <c r="HL28" s="685">
        <v>2</v>
      </c>
      <c r="HM28" s="747">
        <v>3.5</v>
      </c>
      <c r="HN28" s="729" t="s">
        <v>458</v>
      </c>
      <c r="HO28" s="729" t="s">
        <v>459</v>
      </c>
      <c r="HP28" s="714">
        <v>-2.1</v>
      </c>
      <c r="HQ28" s="753">
        <v>0.841</v>
      </c>
      <c r="HR28" s="753">
        <v>0.925</v>
      </c>
      <c r="HS28" s="753">
        <v>0.981</v>
      </c>
      <c r="HT28" s="753">
        <v>0.992</v>
      </c>
      <c r="HU28" s="753">
        <v>0.999</v>
      </c>
      <c r="HV28" s="753">
        <v>0.999</v>
      </c>
      <c r="HW28" s="753">
        <v>0.999</v>
      </c>
      <c r="HX28" s="753">
        <v>0.999</v>
      </c>
      <c r="HY28" s="753">
        <v>0.999</v>
      </c>
      <c r="HZ28" s="753">
        <v>0.999</v>
      </c>
      <c r="IA28" s="753">
        <v>0.999</v>
      </c>
      <c r="IB28" s="753">
        <v>0.999</v>
      </c>
      <c r="IC28" s="753">
        <v>0.999</v>
      </c>
      <c r="ID28" s="753">
        <v>0.999</v>
      </c>
      <c r="IE28" s="753">
        <v>0.999</v>
      </c>
      <c r="IF28" s="753">
        <v>0.999</v>
      </c>
      <c r="IG28" s="753">
        <v>0.999</v>
      </c>
      <c r="IH28" s="753">
        <v>0.999</v>
      </c>
      <c r="II28" s="753">
        <v>0.999</v>
      </c>
      <c r="IJ28" s="753">
        <v>0.999</v>
      </c>
      <c r="IK28" s="753">
        <v>0.998</v>
      </c>
      <c r="IL28" s="753">
        <v>0.998</v>
      </c>
      <c r="IM28" s="753">
        <v>0.997</v>
      </c>
      <c r="IN28" s="753">
        <v>0.997</v>
      </c>
      <c r="IO28" s="753">
        <v>0.994</v>
      </c>
      <c r="IP28" s="753">
        <v>0.989</v>
      </c>
      <c r="IQ28" s="753">
        <v>0.983</v>
      </c>
      <c r="IR28" s="753">
        <v>0.967</v>
      </c>
      <c r="IS28" s="753">
        <v>0.936</v>
      </c>
      <c r="IT28" s="753">
        <v>0.885</v>
      </c>
      <c r="IU28" s="753">
        <v>0.806</v>
      </c>
      <c r="IV28" s="753">
        <v>0.687</v>
      </c>
      <c r="IW28" s="753">
        <v>0.529</v>
      </c>
      <c r="IX28" s="753">
        <v>0.348</v>
      </c>
      <c r="IY28" s="754">
        <v>0.181</v>
      </c>
      <c r="IZ28" s="754"/>
      <c r="JA28" s="753">
        <v>0.707</v>
      </c>
      <c r="JB28" s="753">
        <v>0.857</v>
      </c>
      <c r="JC28" s="753">
        <v>0.963</v>
      </c>
      <c r="JD28" s="753">
        <v>0.986</v>
      </c>
      <c r="JE28" s="753">
        <v>0.998</v>
      </c>
      <c r="JF28" s="753">
        <v>0.998</v>
      </c>
      <c r="JG28" s="753">
        <v>0.998</v>
      </c>
      <c r="JH28" s="753">
        <v>0.998</v>
      </c>
      <c r="JI28" s="753">
        <v>0.998</v>
      </c>
      <c r="JJ28" s="753">
        <v>0.998</v>
      </c>
      <c r="JK28" s="753">
        <v>0.998</v>
      </c>
      <c r="JL28" s="753">
        <v>0.998</v>
      </c>
      <c r="JM28" s="753">
        <v>0.998</v>
      </c>
      <c r="JN28" s="753">
        <v>0.998</v>
      </c>
      <c r="JO28" s="753">
        <v>0.998</v>
      </c>
      <c r="JP28" s="753">
        <v>0.998</v>
      </c>
      <c r="JQ28" s="753">
        <v>0.998</v>
      </c>
      <c r="JR28" s="753">
        <v>0.998</v>
      </c>
      <c r="JS28" s="753">
        <v>0.998</v>
      </c>
      <c r="JT28" s="753">
        <v>0.998</v>
      </c>
      <c r="JU28" s="753">
        <v>0.996</v>
      </c>
      <c r="JV28" s="753">
        <v>0.996</v>
      </c>
      <c r="JW28" s="753">
        <v>0.995</v>
      </c>
      <c r="JX28" s="753">
        <v>0.994</v>
      </c>
      <c r="JY28" s="753">
        <v>0.989</v>
      </c>
      <c r="JZ28" s="753">
        <v>0.979</v>
      </c>
      <c r="KA28" s="753">
        <v>0.966</v>
      </c>
      <c r="KB28" s="753">
        <v>0.935</v>
      </c>
      <c r="KC28" s="753">
        <v>0.877</v>
      </c>
      <c r="KD28" s="753">
        <v>0.784</v>
      </c>
      <c r="KE28" s="753">
        <v>0.65</v>
      </c>
      <c r="KF28" s="753">
        <v>0.472</v>
      </c>
      <c r="KG28" s="753">
        <v>0.28</v>
      </c>
      <c r="KH28" s="753">
        <v>0.123</v>
      </c>
      <c r="KI28" s="754">
        <v>0.037</v>
      </c>
      <c r="KJ28" s="754"/>
      <c r="KK28" s="765" t="s">
        <v>281</v>
      </c>
      <c r="KL28" s="738">
        <v>11</v>
      </c>
      <c r="KM28" s="738">
        <v>39</v>
      </c>
      <c r="KN28" s="646" t="s">
        <v>339</v>
      </c>
      <c r="KO28" s="646" t="s">
        <v>457</v>
      </c>
      <c r="KP28" s="679">
        <v>613606</v>
      </c>
      <c r="KQ28" s="766"/>
      <c r="KR28" s="750"/>
      <c r="KS28" s="769" t="s">
        <v>460</v>
      </c>
      <c r="KT28" s="770" t="s">
        <v>461</v>
      </c>
      <c r="KU28" s="766"/>
      <c r="KV28" s="750"/>
      <c r="KW28" s="771"/>
      <c r="KX28" s="750"/>
      <c r="KY28" s="769"/>
      <c r="KZ28" s="770"/>
    </row>
    <row r="29" s="628" customFormat="1" customHeight="1" spans="1:312">
      <c r="A29" s="682" t="s">
        <v>277</v>
      </c>
      <c r="B29" s="683">
        <v>25</v>
      </c>
      <c r="C29" s="684" t="s">
        <v>462</v>
      </c>
      <c r="D29" s="679">
        <v>620603</v>
      </c>
      <c r="E29" s="685">
        <v>60.34</v>
      </c>
      <c r="F29" s="685">
        <v>60.1</v>
      </c>
      <c r="G29" s="686">
        <v>0.010281</v>
      </c>
      <c r="H29" s="686">
        <v>0.010363</v>
      </c>
      <c r="I29" s="696">
        <v>1.58878</v>
      </c>
      <c r="J29" s="696">
        <v>1.59483</v>
      </c>
      <c r="K29" s="696">
        <v>1.60134</v>
      </c>
      <c r="L29" s="696">
        <v>1.60692</v>
      </c>
      <c r="M29" s="696">
        <v>1.60789</v>
      </c>
      <c r="N29" s="696">
        <v>1.60868</v>
      </c>
      <c r="O29" s="696">
        <v>1.61168</v>
      </c>
      <c r="P29" s="696">
        <v>1.61367</v>
      </c>
      <c r="Q29" s="697">
        <v>1.61548</v>
      </c>
      <c r="R29" s="697">
        <v>1.61727</v>
      </c>
      <c r="S29" s="697">
        <v>1.61777</v>
      </c>
      <c r="T29" s="701">
        <v>1.61824</v>
      </c>
      <c r="U29" s="697">
        <v>1.62032</v>
      </c>
      <c r="V29" s="697">
        <v>1.62041</v>
      </c>
      <c r="W29" s="697">
        <v>1.62286</v>
      </c>
      <c r="X29" s="697">
        <v>1.62755</v>
      </c>
      <c r="Y29" s="697">
        <v>1.62813</v>
      </c>
      <c r="Z29" s="697">
        <v>1.6331</v>
      </c>
      <c r="AA29" s="697">
        <v>1.63768</v>
      </c>
      <c r="AB29" s="697">
        <v>1.64549</v>
      </c>
      <c r="AC29" s="704">
        <v>2.58626893</v>
      </c>
      <c r="AD29" s="704">
        <v>-0.0119483745</v>
      </c>
      <c r="AE29" s="704">
        <v>0.0137737392</v>
      </c>
      <c r="AF29" s="704">
        <v>0.000549112685</v>
      </c>
      <c r="AG29" s="704">
        <v>-4.52101305e-5</v>
      </c>
      <c r="AH29" s="704">
        <v>2.4454279e-6</v>
      </c>
      <c r="AI29" s="709">
        <v>0.3054</v>
      </c>
      <c r="AJ29" s="709">
        <v>0.2383</v>
      </c>
      <c r="AK29" s="709">
        <v>0.5398</v>
      </c>
      <c r="AL29" s="709">
        <v>0.2548</v>
      </c>
      <c r="AM29" s="709">
        <v>0.2364</v>
      </c>
      <c r="AN29" s="709">
        <v>0.4796</v>
      </c>
      <c r="AO29" s="709">
        <v>-0.0007</v>
      </c>
      <c r="AP29" s="709">
        <v>-0.0035</v>
      </c>
      <c r="AQ29" s="709">
        <v>0.003</v>
      </c>
      <c r="AR29" s="709">
        <v>-0.0015</v>
      </c>
      <c r="AS29" s="714">
        <v>1.8</v>
      </c>
      <c r="AT29" s="714">
        <v>1.9</v>
      </c>
      <c r="AU29" s="714">
        <v>1.9</v>
      </c>
      <c r="AV29" s="714">
        <v>2</v>
      </c>
      <c r="AW29" s="714">
        <v>2</v>
      </c>
      <c r="AX29" s="714">
        <v>2.1</v>
      </c>
      <c r="AY29" s="714">
        <v>2.2</v>
      </c>
      <c r="AZ29" s="714">
        <v>2.2</v>
      </c>
      <c r="BA29" s="714">
        <v>2.4</v>
      </c>
      <c r="BB29" s="714">
        <v>2.5</v>
      </c>
      <c r="BC29" s="714">
        <v>2.5</v>
      </c>
      <c r="BD29" s="714">
        <v>2.1</v>
      </c>
      <c r="BE29" s="714">
        <v>2.2</v>
      </c>
      <c r="BF29" s="714">
        <v>2.2</v>
      </c>
      <c r="BG29" s="714">
        <v>2.3</v>
      </c>
      <c r="BH29" s="714">
        <v>2.3</v>
      </c>
      <c r="BI29" s="714">
        <v>2.3</v>
      </c>
      <c r="BJ29" s="714">
        <v>2.3</v>
      </c>
      <c r="BK29" s="714">
        <v>2.5</v>
      </c>
      <c r="BL29" s="714">
        <v>2.6</v>
      </c>
      <c r="BM29" s="714">
        <v>2.6</v>
      </c>
      <c r="BN29" s="714">
        <v>2.6</v>
      </c>
      <c r="BO29" s="714">
        <v>2.2</v>
      </c>
      <c r="BP29" s="714">
        <v>2.2</v>
      </c>
      <c r="BQ29" s="714">
        <v>2.3</v>
      </c>
      <c r="BR29" s="714">
        <v>2.4</v>
      </c>
      <c r="BS29" s="714">
        <v>2.4</v>
      </c>
      <c r="BT29" s="714">
        <v>2.5</v>
      </c>
      <c r="BU29" s="714">
        <v>2.5</v>
      </c>
      <c r="BV29" s="714">
        <v>2.5</v>
      </c>
      <c r="BW29" s="714">
        <v>2.6</v>
      </c>
      <c r="BX29" s="714">
        <v>2.7</v>
      </c>
      <c r="BY29" s="714">
        <v>2.7</v>
      </c>
      <c r="BZ29" s="714">
        <v>2.2</v>
      </c>
      <c r="CA29" s="714">
        <v>2.2</v>
      </c>
      <c r="CB29" s="714">
        <v>2.3</v>
      </c>
      <c r="CC29" s="714">
        <v>2.4</v>
      </c>
      <c r="CD29" s="714">
        <v>2.4</v>
      </c>
      <c r="CE29" s="714">
        <v>2.5</v>
      </c>
      <c r="CF29" s="714">
        <v>2.5</v>
      </c>
      <c r="CG29" s="714">
        <v>2.5</v>
      </c>
      <c r="CH29" s="714">
        <v>2.6</v>
      </c>
      <c r="CI29" s="714">
        <v>2.7</v>
      </c>
      <c r="CJ29" s="714">
        <v>2.7</v>
      </c>
      <c r="CK29" s="714">
        <v>2.2</v>
      </c>
      <c r="CL29" s="715">
        <v>2.3</v>
      </c>
      <c r="CM29" s="715">
        <v>2.4</v>
      </c>
      <c r="CN29" s="715">
        <v>2.4</v>
      </c>
      <c r="CO29" s="715">
        <v>2.4</v>
      </c>
      <c r="CP29" s="715">
        <v>2.5</v>
      </c>
      <c r="CQ29" s="715">
        <v>2.6</v>
      </c>
      <c r="CR29" s="714">
        <v>2.6</v>
      </c>
      <c r="CS29" s="714">
        <v>2.7</v>
      </c>
      <c r="CT29" s="714">
        <v>2.7</v>
      </c>
      <c r="CU29" s="714">
        <v>2.7</v>
      </c>
      <c r="CV29" s="714">
        <v>2.4</v>
      </c>
      <c r="CW29" s="715">
        <v>2.4</v>
      </c>
      <c r="CX29" s="715">
        <v>2.5</v>
      </c>
      <c r="CY29" s="715">
        <v>2.5</v>
      </c>
      <c r="CZ29" s="715">
        <v>2.6</v>
      </c>
      <c r="DA29" s="715">
        <v>2.6</v>
      </c>
      <c r="DB29" s="715">
        <v>2.7</v>
      </c>
      <c r="DC29" s="714">
        <v>2.8</v>
      </c>
      <c r="DD29" s="714">
        <v>2.8</v>
      </c>
      <c r="DE29" s="714">
        <v>2.8</v>
      </c>
      <c r="DF29" s="714">
        <v>2.9</v>
      </c>
      <c r="DG29" s="714">
        <v>2.5</v>
      </c>
      <c r="DH29" s="715">
        <v>2.6</v>
      </c>
      <c r="DI29" s="715">
        <v>2.7</v>
      </c>
      <c r="DJ29" s="715">
        <v>2.7</v>
      </c>
      <c r="DK29" s="715">
        <v>2.7</v>
      </c>
      <c r="DL29" s="715">
        <v>2.8</v>
      </c>
      <c r="DM29" s="715">
        <v>2.9</v>
      </c>
      <c r="DN29" s="714">
        <v>3</v>
      </c>
      <c r="DO29" s="714">
        <v>3</v>
      </c>
      <c r="DP29" s="714">
        <v>3.2</v>
      </c>
      <c r="DQ29" s="714">
        <v>3.3</v>
      </c>
      <c r="DR29" s="714">
        <v>2.6</v>
      </c>
      <c r="DS29" s="715">
        <v>2.6</v>
      </c>
      <c r="DT29" s="715">
        <v>2.7</v>
      </c>
      <c r="DU29" s="715">
        <v>2.8</v>
      </c>
      <c r="DV29" s="715">
        <v>2.8</v>
      </c>
      <c r="DW29" s="715">
        <v>3</v>
      </c>
      <c r="DX29" s="715">
        <v>3</v>
      </c>
      <c r="DY29" s="714">
        <v>3.2</v>
      </c>
      <c r="DZ29" s="714">
        <v>3.3</v>
      </c>
      <c r="EA29" s="714">
        <v>3.3</v>
      </c>
      <c r="EB29" s="714">
        <v>3.5</v>
      </c>
      <c r="EC29" s="714">
        <v>2.6</v>
      </c>
      <c r="ED29" s="715">
        <v>2.7</v>
      </c>
      <c r="EE29" s="715">
        <v>2.8</v>
      </c>
      <c r="EF29" s="715">
        <v>2.8</v>
      </c>
      <c r="EG29" s="715">
        <v>2.9</v>
      </c>
      <c r="EH29" s="715">
        <v>3.1</v>
      </c>
      <c r="EI29" s="715">
        <v>3.2</v>
      </c>
      <c r="EJ29" s="714">
        <v>3.4</v>
      </c>
      <c r="EK29" s="714">
        <v>3.5</v>
      </c>
      <c r="EL29" s="714">
        <v>3.5</v>
      </c>
      <c r="EM29" s="714">
        <v>3.7</v>
      </c>
      <c r="EN29" s="714">
        <v>2.7</v>
      </c>
      <c r="EO29" s="715">
        <v>2.7</v>
      </c>
      <c r="EP29" s="715">
        <v>2.8</v>
      </c>
      <c r="EQ29" s="715">
        <v>2.9</v>
      </c>
      <c r="ER29" s="715">
        <v>2.9</v>
      </c>
      <c r="ES29" s="715">
        <v>3.1</v>
      </c>
      <c r="ET29" s="715">
        <v>3.3</v>
      </c>
      <c r="EU29" s="714">
        <v>3.6</v>
      </c>
      <c r="EV29" s="714">
        <v>3.6</v>
      </c>
      <c r="EW29" s="714">
        <v>3.7</v>
      </c>
      <c r="EX29" s="714">
        <v>3.9</v>
      </c>
      <c r="EY29" s="714">
        <v>-0.4</v>
      </c>
      <c r="EZ29" s="715">
        <v>0.1</v>
      </c>
      <c r="FA29" s="715">
        <v>0.5</v>
      </c>
      <c r="FB29" s="715">
        <v>0.8</v>
      </c>
      <c r="FC29" s="715">
        <v>1</v>
      </c>
      <c r="FD29" s="715">
        <v>1.3</v>
      </c>
      <c r="FE29" s="715">
        <v>1.5</v>
      </c>
      <c r="FF29" s="714">
        <v>1.6</v>
      </c>
      <c r="FG29" s="714">
        <v>1.8</v>
      </c>
      <c r="FH29" s="714">
        <v>1.9</v>
      </c>
      <c r="FI29" s="714">
        <v>2</v>
      </c>
      <c r="FJ29" s="723">
        <v>7.48e-7</v>
      </c>
      <c r="FK29" s="723">
        <v>1.25e-8</v>
      </c>
      <c r="FL29" s="723">
        <v>-2.5e-11</v>
      </c>
      <c r="FM29" s="723">
        <v>4.11e-7</v>
      </c>
      <c r="FN29" s="723">
        <v>7.77e-10</v>
      </c>
      <c r="FO29" s="723">
        <v>0.0784</v>
      </c>
      <c r="FP29" s="729">
        <v>1</v>
      </c>
      <c r="FQ29" s="729">
        <v>2</v>
      </c>
      <c r="FR29" s="729">
        <v>2</v>
      </c>
      <c r="FS29" s="729">
        <v>4</v>
      </c>
      <c r="FT29" s="646">
        <v>3</v>
      </c>
      <c r="FU29" s="646">
        <v>2</v>
      </c>
      <c r="FV29" s="681" t="s">
        <v>441</v>
      </c>
      <c r="FW29" s="729"/>
      <c r="FX29" s="729"/>
      <c r="FY29" s="729"/>
      <c r="FZ29" s="741">
        <v>663</v>
      </c>
      <c r="GA29" s="741">
        <v>695</v>
      </c>
      <c r="GB29" s="681">
        <v>600</v>
      </c>
      <c r="GC29" s="681">
        <v>640</v>
      </c>
      <c r="GD29" s="747">
        <v>1.02</v>
      </c>
      <c r="GE29" s="729"/>
      <c r="GF29" s="681">
        <v>64</v>
      </c>
      <c r="GG29" s="681">
        <v>75</v>
      </c>
      <c r="GH29" s="681">
        <v>56</v>
      </c>
      <c r="GI29" s="681">
        <v>59</v>
      </c>
      <c r="GJ29" s="681">
        <v>61</v>
      </c>
      <c r="GK29" s="681">
        <v>62</v>
      </c>
      <c r="GL29" s="738">
        <v>63</v>
      </c>
      <c r="GM29" s="738">
        <v>64</v>
      </c>
      <c r="GN29" s="738">
        <v>64</v>
      </c>
      <c r="GO29" s="738">
        <v>65</v>
      </c>
      <c r="GP29" s="738">
        <v>65</v>
      </c>
      <c r="GQ29" s="738">
        <v>66</v>
      </c>
      <c r="GR29" s="738">
        <v>66</v>
      </c>
      <c r="GS29" s="738">
        <v>67</v>
      </c>
      <c r="GT29" s="738">
        <v>67</v>
      </c>
      <c r="GU29" s="738">
        <v>68</v>
      </c>
      <c r="GV29" s="738">
        <v>68</v>
      </c>
      <c r="GW29" s="738">
        <v>69</v>
      </c>
      <c r="GX29" s="738">
        <v>70</v>
      </c>
      <c r="GY29" s="738">
        <v>71</v>
      </c>
      <c r="GZ29" s="738">
        <v>72</v>
      </c>
      <c r="HA29" s="738">
        <v>73</v>
      </c>
      <c r="HB29" s="738">
        <v>74</v>
      </c>
      <c r="HC29" s="738"/>
      <c r="HD29" s="681">
        <v>125</v>
      </c>
      <c r="HE29" s="681"/>
      <c r="HF29" s="681">
        <v>550</v>
      </c>
      <c r="HG29" s="681">
        <v>105</v>
      </c>
      <c r="HH29" s="714">
        <v>89.5</v>
      </c>
      <c r="HI29" s="714">
        <v>34.5</v>
      </c>
      <c r="HJ29" s="753">
        <v>0.297</v>
      </c>
      <c r="HK29" s="681">
        <v>87</v>
      </c>
      <c r="HL29" s="685">
        <v>1.82</v>
      </c>
      <c r="HM29" s="747">
        <v>3.55</v>
      </c>
      <c r="HN29" s="729" t="s">
        <v>458</v>
      </c>
      <c r="HO29" s="729" t="s">
        <v>463</v>
      </c>
      <c r="HP29" s="714">
        <v>-2</v>
      </c>
      <c r="HQ29" s="753">
        <v>0.864</v>
      </c>
      <c r="HR29" s="753">
        <v>0.944</v>
      </c>
      <c r="HS29" s="753">
        <v>0.995</v>
      </c>
      <c r="HT29" s="753">
        <v>0.999</v>
      </c>
      <c r="HU29" s="753">
        <v>0.999</v>
      </c>
      <c r="HV29" s="753">
        <v>0.999</v>
      </c>
      <c r="HW29" s="753">
        <v>0.999</v>
      </c>
      <c r="HX29" s="753">
        <v>0.999</v>
      </c>
      <c r="HY29" s="753">
        <v>0.999</v>
      </c>
      <c r="HZ29" s="753">
        <v>0.999</v>
      </c>
      <c r="IA29" s="753">
        <v>0.999</v>
      </c>
      <c r="IB29" s="753">
        <v>0.999</v>
      </c>
      <c r="IC29" s="753">
        <v>0.999</v>
      </c>
      <c r="ID29" s="753">
        <v>0.999</v>
      </c>
      <c r="IE29" s="753">
        <v>0.999</v>
      </c>
      <c r="IF29" s="753">
        <v>0.999</v>
      </c>
      <c r="IG29" s="753">
        <v>0.999</v>
      </c>
      <c r="IH29" s="753">
        <v>0.999</v>
      </c>
      <c r="II29" s="753">
        <v>0.999</v>
      </c>
      <c r="IJ29" s="753">
        <v>0.998</v>
      </c>
      <c r="IK29" s="753">
        <v>0.997</v>
      </c>
      <c r="IL29" s="753">
        <v>0.996</v>
      </c>
      <c r="IM29" s="753">
        <v>0.996</v>
      </c>
      <c r="IN29" s="753">
        <v>0.994</v>
      </c>
      <c r="IO29" s="753">
        <v>0.991</v>
      </c>
      <c r="IP29" s="753">
        <v>0.986</v>
      </c>
      <c r="IQ29" s="753">
        <v>0.976</v>
      </c>
      <c r="IR29" s="753">
        <v>0.955</v>
      </c>
      <c r="IS29" s="753">
        <v>0.917</v>
      </c>
      <c r="IT29" s="753">
        <v>0.857</v>
      </c>
      <c r="IU29" s="753">
        <v>0.757</v>
      </c>
      <c r="IV29" s="753">
        <v>0.62</v>
      </c>
      <c r="IW29" s="753">
        <v>0.447</v>
      </c>
      <c r="IX29" s="753">
        <v>0.272</v>
      </c>
      <c r="IY29" s="753"/>
      <c r="IZ29" s="753"/>
      <c r="JA29" s="753">
        <v>0.746</v>
      </c>
      <c r="JB29" s="753">
        <v>0.891</v>
      </c>
      <c r="JC29" s="753">
        <v>0.99</v>
      </c>
      <c r="JD29" s="753">
        <v>0.998</v>
      </c>
      <c r="JE29" s="753">
        <v>0.998</v>
      </c>
      <c r="JF29" s="753">
        <v>0.998</v>
      </c>
      <c r="JG29" s="753">
        <v>0.998</v>
      </c>
      <c r="JH29" s="753">
        <v>0.998</v>
      </c>
      <c r="JI29" s="753">
        <v>0.998</v>
      </c>
      <c r="JJ29" s="753">
        <v>0.998</v>
      </c>
      <c r="JK29" s="753">
        <v>0.998</v>
      </c>
      <c r="JL29" s="753">
        <v>0.998</v>
      </c>
      <c r="JM29" s="753">
        <v>0.998</v>
      </c>
      <c r="JN29" s="753">
        <v>0.998</v>
      </c>
      <c r="JO29" s="753">
        <v>0.998</v>
      </c>
      <c r="JP29" s="753">
        <v>0.998</v>
      </c>
      <c r="JQ29" s="753">
        <v>0.998</v>
      </c>
      <c r="JR29" s="753">
        <v>0.998</v>
      </c>
      <c r="JS29" s="753">
        <v>0.998</v>
      </c>
      <c r="JT29" s="753">
        <v>0.996</v>
      </c>
      <c r="JU29" s="753">
        <v>0.995</v>
      </c>
      <c r="JV29" s="753">
        <v>0.993</v>
      </c>
      <c r="JW29" s="753">
        <v>0.992</v>
      </c>
      <c r="JX29" s="753">
        <v>0.988</v>
      </c>
      <c r="JY29" s="753">
        <v>0.982</v>
      </c>
      <c r="JZ29" s="753">
        <v>0.972</v>
      </c>
      <c r="KA29" s="753">
        <v>0.952</v>
      </c>
      <c r="KB29" s="753">
        <v>0.912</v>
      </c>
      <c r="KC29" s="753">
        <v>0.841</v>
      </c>
      <c r="KD29" s="753">
        <v>0.734</v>
      </c>
      <c r="KE29" s="753">
        <v>0.573</v>
      </c>
      <c r="KF29" s="753">
        <v>0.385</v>
      </c>
      <c r="KG29" s="753">
        <v>0.2</v>
      </c>
      <c r="KH29" s="753">
        <v>0.074</v>
      </c>
      <c r="KI29" s="753"/>
      <c r="KJ29" s="753"/>
      <c r="KK29" s="765" t="s">
        <v>281</v>
      </c>
      <c r="KL29" s="738">
        <v>11</v>
      </c>
      <c r="KM29" s="738">
        <v>39</v>
      </c>
      <c r="KN29" s="646" t="s">
        <v>339</v>
      </c>
      <c r="KO29" s="646" t="s">
        <v>462</v>
      </c>
      <c r="KP29" s="679">
        <v>620603</v>
      </c>
      <c r="KQ29" s="766" t="s">
        <v>464</v>
      </c>
      <c r="KR29" s="750" t="s">
        <v>465</v>
      </c>
      <c r="KS29" s="769" t="s">
        <v>462</v>
      </c>
      <c r="KT29" s="770" t="s">
        <v>465</v>
      </c>
      <c r="KU29" s="766" t="s">
        <v>466</v>
      </c>
      <c r="KV29" s="750">
        <v>620604</v>
      </c>
      <c r="KW29" s="771" t="s">
        <v>467</v>
      </c>
      <c r="KX29" s="750" t="s">
        <v>465</v>
      </c>
      <c r="KY29" s="769" t="s">
        <v>468</v>
      </c>
      <c r="KZ29" s="770" t="s">
        <v>465</v>
      </c>
    </row>
    <row r="30" s="628" customFormat="1" customHeight="1" spans="1:312">
      <c r="A30" s="682" t="s">
        <v>277</v>
      </c>
      <c r="B30" s="683">
        <v>26</v>
      </c>
      <c r="C30" s="684" t="s">
        <v>469</v>
      </c>
      <c r="D30" s="679">
        <v>622567</v>
      </c>
      <c r="E30" s="685">
        <v>56.71</v>
      </c>
      <c r="F30" s="685">
        <v>56.38</v>
      </c>
      <c r="G30" s="686">
        <v>0.01097</v>
      </c>
      <c r="H30" s="686">
        <v>0.01108</v>
      </c>
      <c r="I30" s="696">
        <v>1.59235</v>
      </c>
      <c r="J30" s="696">
        <v>1.59753</v>
      </c>
      <c r="K30" s="696">
        <v>1.60321</v>
      </c>
      <c r="L30" s="696">
        <v>1.6083</v>
      </c>
      <c r="M30" s="696">
        <v>1.60923</v>
      </c>
      <c r="N30" s="696">
        <v>1.61</v>
      </c>
      <c r="O30" s="696">
        <v>1.61297</v>
      </c>
      <c r="P30" s="696">
        <v>1.61501</v>
      </c>
      <c r="Q30" s="697">
        <v>1.61689</v>
      </c>
      <c r="R30" s="697">
        <v>1.61877</v>
      </c>
      <c r="S30" s="697">
        <v>1.61929</v>
      </c>
      <c r="T30" s="701">
        <v>1.61979</v>
      </c>
      <c r="U30" s="697">
        <v>1.62199</v>
      </c>
      <c r="V30" s="697">
        <v>1.6221</v>
      </c>
      <c r="W30" s="697">
        <v>1.6247</v>
      </c>
      <c r="X30" s="697">
        <v>1.62974</v>
      </c>
      <c r="Y30" s="697">
        <v>1.63037</v>
      </c>
      <c r="Z30" s="697">
        <v>1.63575</v>
      </c>
      <c r="AA30" s="697">
        <v>1.64074</v>
      </c>
      <c r="AB30" s="696">
        <v>1.64931</v>
      </c>
      <c r="AC30" s="704">
        <v>2.58741488</v>
      </c>
      <c r="AD30" s="705">
        <v>-0.0101011954</v>
      </c>
      <c r="AE30" s="705">
        <v>0.0149670832</v>
      </c>
      <c r="AF30" s="705">
        <v>0.000568916443</v>
      </c>
      <c r="AG30" s="705">
        <v>-4.40176529e-5</v>
      </c>
      <c r="AH30" s="705">
        <v>2.64008379e-6</v>
      </c>
      <c r="AI30" s="709">
        <v>0.3036</v>
      </c>
      <c r="AJ30" s="709">
        <v>0.237</v>
      </c>
      <c r="AK30" s="709">
        <v>0.5479</v>
      </c>
      <c r="AL30" s="709">
        <v>0.2536</v>
      </c>
      <c r="AM30" s="709">
        <v>0.2347</v>
      </c>
      <c r="AN30" s="709">
        <v>0.4856</v>
      </c>
      <c r="AO30" s="709">
        <v>0.0005</v>
      </c>
      <c r="AP30" s="709">
        <v>-0.0015</v>
      </c>
      <c r="AQ30" s="709">
        <v>-0.0155</v>
      </c>
      <c r="AR30" s="709">
        <v>-0.0078</v>
      </c>
      <c r="AS30" s="714">
        <v>1.3</v>
      </c>
      <c r="AT30" s="714">
        <v>1.3</v>
      </c>
      <c r="AU30" s="714">
        <v>1.3</v>
      </c>
      <c r="AV30" s="714">
        <v>1.3</v>
      </c>
      <c r="AW30" s="714">
        <v>1.3</v>
      </c>
      <c r="AX30" s="714">
        <v>1.5</v>
      </c>
      <c r="AY30" s="714">
        <v>1.6</v>
      </c>
      <c r="AZ30" s="714">
        <v>1.6</v>
      </c>
      <c r="BA30" s="714">
        <v>1.6</v>
      </c>
      <c r="BB30" s="714">
        <v>1.7</v>
      </c>
      <c r="BC30" s="714">
        <v>1.7</v>
      </c>
      <c r="BD30" s="714">
        <v>1.5</v>
      </c>
      <c r="BE30" s="714">
        <v>1.5</v>
      </c>
      <c r="BF30" s="714">
        <v>1.5</v>
      </c>
      <c r="BG30" s="714">
        <v>1.5</v>
      </c>
      <c r="BH30" s="714">
        <v>1.6</v>
      </c>
      <c r="BI30" s="714">
        <v>1.7</v>
      </c>
      <c r="BJ30" s="714">
        <v>1.8</v>
      </c>
      <c r="BK30" s="714">
        <v>1.9</v>
      </c>
      <c r="BL30" s="714">
        <v>1.9</v>
      </c>
      <c r="BM30" s="714">
        <v>1.9</v>
      </c>
      <c r="BN30" s="714">
        <v>1.9</v>
      </c>
      <c r="BO30" s="714">
        <v>1.7</v>
      </c>
      <c r="BP30" s="714">
        <v>1.7</v>
      </c>
      <c r="BQ30" s="714">
        <v>1.7</v>
      </c>
      <c r="BR30" s="714">
        <v>1.7</v>
      </c>
      <c r="BS30" s="714">
        <v>1.8</v>
      </c>
      <c r="BT30" s="714">
        <v>1.8</v>
      </c>
      <c r="BU30" s="714">
        <v>1.9</v>
      </c>
      <c r="BV30" s="714">
        <v>2</v>
      </c>
      <c r="BW30" s="714">
        <v>2</v>
      </c>
      <c r="BX30" s="714">
        <v>2</v>
      </c>
      <c r="BY30" s="714">
        <v>2.1</v>
      </c>
      <c r="BZ30" s="714">
        <v>1.8</v>
      </c>
      <c r="CA30" s="714">
        <v>1.8</v>
      </c>
      <c r="CB30" s="714">
        <v>1.8</v>
      </c>
      <c r="CC30" s="714">
        <v>1.8</v>
      </c>
      <c r="CD30" s="714">
        <v>1.9</v>
      </c>
      <c r="CE30" s="714">
        <v>1.9</v>
      </c>
      <c r="CF30" s="714">
        <v>2</v>
      </c>
      <c r="CG30" s="714">
        <v>2.1</v>
      </c>
      <c r="CH30" s="714">
        <v>2.1</v>
      </c>
      <c r="CI30" s="714">
        <v>2.2</v>
      </c>
      <c r="CJ30" s="714">
        <v>2.2</v>
      </c>
      <c r="CK30" s="714">
        <v>1.9</v>
      </c>
      <c r="CL30" s="715">
        <v>1.9</v>
      </c>
      <c r="CM30" s="715">
        <v>2</v>
      </c>
      <c r="CN30" s="715">
        <v>2</v>
      </c>
      <c r="CO30" s="715">
        <v>2</v>
      </c>
      <c r="CP30" s="715">
        <v>2</v>
      </c>
      <c r="CQ30" s="715">
        <v>2.1</v>
      </c>
      <c r="CR30" s="714">
        <v>2.2</v>
      </c>
      <c r="CS30" s="714">
        <v>2.2</v>
      </c>
      <c r="CT30" s="714">
        <v>2.3</v>
      </c>
      <c r="CU30" s="714">
        <v>2.3</v>
      </c>
      <c r="CV30" s="714">
        <v>2</v>
      </c>
      <c r="CW30" s="715">
        <v>2.1</v>
      </c>
      <c r="CX30" s="715">
        <v>2.1</v>
      </c>
      <c r="CY30" s="715">
        <v>2.1</v>
      </c>
      <c r="CZ30" s="715">
        <v>2.2</v>
      </c>
      <c r="DA30" s="715">
        <v>2.2</v>
      </c>
      <c r="DB30" s="715">
        <v>2.3</v>
      </c>
      <c r="DC30" s="714">
        <v>2.4</v>
      </c>
      <c r="DD30" s="714">
        <v>2.4</v>
      </c>
      <c r="DE30" s="714">
        <v>2.4</v>
      </c>
      <c r="DF30" s="714">
        <v>2.5</v>
      </c>
      <c r="DG30" s="714">
        <v>2.1</v>
      </c>
      <c r="DH30" s="715">
        <v>2.2</v>
      </c>
      <c r="DI30" s="715">
        <v>2.3</v>
      </c>
      <c r="DJ30" s="715">
        <v>2.3</v>
      </c>
      <c r="DK30" s="715">
        <v>2.4</v>
      </c>
      <c r="DL30" s="715">
        <v>2.4</v>
      </c>
      <c r="DM30" s="715">
        <v>2.6</v>
      </c>
      <c r="DN30" s="714">
        <v>2.7</v>
      </c>
      <c r="DO30" s="714">
        <v>2.8</v>
      </c>
      <c r="DP30" s="714">
        <v>2.8</v>
      </c>
      <c r="DQ30" s="714">
        <v>2.9</v>
      </c>
      <c r="DR30" s="714">
        <v>2.5</v>
      </c>
      <c r="DS30" s="715">
        <v>2.6</v>
      </c>
      <c r="DT30" s="715">
        <v>2.6</v>
      </c>
      <c r="DU30" s="715">
        <v>2.6</v>
      </c>
      <c r="DV30" s="715">
        <v>2.7</v>
      </c>
      <c r="DW30" s="715">
        <v>2.8</v>
      </c>
      <c r="DX30" s="715">
        <v>2.8</v>
      </c>
      <c r="DY30" s="714">
        <v>2.9</v>
      </c>
      <c r="DZ30" s="714">
        <v>3</v>
      </c>
      <c r="EA30" s="714">
        <v>3</v>
      </c>
      <c r="EB30" s="714">
        <v>3.1</v>
      </c>
      <c r="EC30" s="714">
        <v>2.6</v>
      </c>
      <c r="ED30" s="715">
        <v>2.7</v>
      </c>
      <c r="EE30" s="715">
        <v>2.7</v>
      </c>
      <c r="EF30" s="715">
        <v>2.7</v>
      </c>
      <c r="EG30" s="715">
        <v>2.8</v>
      </c>
      <c r="EH30" s="715">
        <v>2.8</v>
      </c>
      <c r="EI30" s="715">
        <v>2.9</v>
      </c>
      <c r="EJ30" s="714">
        <v>3</v>
      </c>
      <c r="EK30" s="714">
        <v>3.1</v>
      </c>
      <c r="EL30" s="714">
        <v>3.1</v>
      </c>
      <c r="EM30" s="714">
        <v>3.2</v>
      </c>
      <c r="EN30" s="714">
        <v>3</v>
      </c>
      <c r="EO30" s="715">
        <v>3.2</v>
      </c>
      <c r="EP30" s="715">
        <v>3.2</v>
      </c>
      <c r="EQ30" s="715">
        <v>3.2</v>
      </c>
      <c r="ER30" s="715">
        <v>3.3</v>
      </c>
      <c r="ES30" s="715">
        <v>3.4</v>
      </c>
      <c r="ET30" s="715">
        <v>3.6</v>
      </c>
      <c r="EU30" s="714">
        <v>3.7</v>
      </c>
      <c r="EV30" s="714">
        <v>3.8</v>
      </c>
      <c r="EW30" s="714">
        <v>3.8</v>
      </c>
      <c r="EX30" s="714">
        <v>4</v>
      </c>
      <c r="EY30" s="714">
        <v>-0.7</v>
      </c>
      <c r="EZ30" s="715">
        <v>-0.3</v>
      </c>
      <c r="FA30" s="715">
        <v>0.1</v>
      </c>
      <c r="FB30" s="715">
        <v>0.4</v>
      </c>
      <c r="FC30" s="715">
        <v>0.6</v>
      </c>
      <c r="FD30" s="715">
        <v>0.8</v>
      </c>
      <c r="FE30" s="715">
        <v>1</v>
      </c>
      <c r="FF30" s="714">
        <v>1.2</v>
      </c>
      <c r="FG30" s="714">
        <v>1.3</v>
      </c>
      <c r="FH30" s="714">
        <v>1.5</v>
      </c>
      <c r="FI30" s="714">
        <v>1.6</v>
      </c>
      <c r="FJ30" s="723">
        <v>-7.55e-7</v>
      </c>
      <c r="FK30" s="723">
        <v>1.29e-8</v>
      </c>
      <c r="FL30" s="723">
        <v>-2.51e-11</v>
      </c>
      <c r="FM30" s="723">
        <v>5.33e-7</v>
      </c>
      <c r="FN30" s="723">
        <v>3.07e-10</v>
      </c>
      <c r="FO30" s="723">
        <v>0.248</v>
      </c>
      <c r="FP30" s="729">
        <v>1</v>
      </c>
      <c r="FQ30" s="729">
        <v>3</v>
      </c>
      <c r="FR30" s="729">
        <v>1</v>
      </c>
      <c r="FS30" s="729">
        <v>4</v>
      </c>
      <c r="FT30" s="729">
        <v>2</v>
      </c>
      <c r="FU30" s="729">
        <v>1</v>
      </c>
      <c r="FV30" s="681" t="s">
        <v>441</v>
      </c>
      <c r="FW30" s="729"/>
      <c r="FX30" s="729"/>
      <c r="FY30" s="729"/>
      <c r="FZ30" s="741">
        <v>664</v>
      </c>
      <c r="GA30" s="741">
        <v>704</v>
      </c>
      <c r="GB30" s="681">
        <v>597</v>
      </c>
      <c r="GC30" s="681">
        <v>635</v>
      </c>
      <c r="GD30" s="747">
        <v>0.94</v>
      </c>
      <c r="GE30" s="729"/>
      <c r="GF30" s="681">
        <v>64</v>
      </c>
      <c r="GG30" s="681">
        <v>78</v>
      </c>
      <c r="GH30" s="681">
        <v>55</v>
      </c>
      <c r="GI30" s="681">
        <v>57</v>
      </c>
      <c r="GJ30" s="681">
        <v>58</v>
      </c>
      <c r="GK30" s="681">
        <v>59</v>
      </c>
      <c r="GL30" s="681">
        <v>60</v>
      </c>
      <c r="GM30" s="681">
        <v>61</v>
      </c>
      <c r="GN30" s="681">
        <v>62</v>
      </c>
      <c r="GO30" s="681">
        <v>63</v>
      </c>
      <c r="GP30" s="681">
        <v>64</v>
      </c>
      <c r="GQ30" s="681">
        <v>65</v>
      </c>
      <c r="GR30" s="681">
        <v>65</v>
      </c>
      <c r="GS30" s="681">
        <v>66</v>
      </c>
      <c r="GT30" s="681">
        <v>67</v>
      </c>
      <c r="GU30" s="681">
        <v>68</v>
      </c>
      <c r="GV30" s="681">
        <v>69</v>
      </c>
      <c r="GW30" s="681">
        <v>69</v>
      </c>
      <c r="GX30" s="681">
        <v>70</v>
      </c>
      <c r="GY30" s="681">
        <v>71</v>
      </c>
      <c r="GZ30" s="681">
        <v>72</v>
      </c>
      <c r="HA30" s="681">
        <v>73</v>
      </c>
      <c r="HB30" s="681">
        <v>74</v>
      </c>
      <c r="HC30" s="681"/>
      <c r="HD30" s="681">
        <v>120</v>
      </c>
      <c r="HE30" s="681"/>
      <c r="HF30" s="681">
        <v>528</v>
      </c>
      <c r="HG30" s="738">
        <v>147</v>
      </c>
      <c r="HH30" s="714">
        <v>79.5</v>
      </c>
      <c r="HI30" s="714">
        <v>31.9</v>
      </c>
      <c r="HJ30" s="753">
        <v>0.248</v>
      </c>
      <c r="HK30" s="681">
        <v>75</v>
      </c>
      <c r="HL30" s="685">
        <v>1.8</v>
      </c>
      <c r="HM30" s="747">
        <v>3.63</v>
      </c>
      <c r="HN30" s="729" t="s">
        <v>470</v>
      </c>
      <c r="HO30" s="729" t="s">
        <v>471</v>
      </c>
      <c r="HP30" s="714">
        <v>-1</v>
      </c>
      <c r="HQ30" s="753">
        <v>0.912</v>
      </c>
      <c r="HR30" s="753">
        <v>0.962</v>
      </c>
      <c r="HS30" s="753">
        <v>0.995</v>
      </c>
      <c r="HT30" s="753">
        <v>0.999</v>
      </c>
      <c r="HU30" s="753">
        <v>0.999</v>
      </c>
      <c r="HV30" s="753">
        <v>0.999</v>
      </c>
      <c r="HW30" s="753">
        <v>0.999</v>
      </c>
      <c r="HX30" s="753">
        <v>0.999</v>
      </c>
      <c r="HY30" s="753">
        <v>0.999</v>
      </c>
      <c r="HZ30" s="753">
        <v>0.999</v>
      </c>
      <c r="IA30" s="753">
        <v>0.999</v>
      </c>
      <c r="IB30" s="753">
        <v>0.999</v>
      </c>
      <c r="IC30" s="753">
        <v>0.999</v>
      </c>
      <c r="ID30" s="753">
        <v>0.999</v>
      </c>
      <c r="IE30" s="753">
        <v>0.999</v>
      </c>
      <c r="IF30" s="753">
        <v>0.999</v>
      </c>
      <c r="IG30" s="753">
        <v>0.999</v>
      </c>
      <c r="IH30" s="753">
        <v>0.999</v>
      </c>
      <c r="II30" s="753">
        <v>0.999</v>
      </c>
      <c r="IJ30" s="753">
        <v>0.999</v>
      </c>
      <c r="IK30" s="753">
        <v>0.999</v>
      </c>
      <c r="IL30" s="753">
        <v>0.999</v>
      </c>
      <c r="IM30" s="753">
        <v>0.997</v>
      </c>
      <c r="IN30" s="753">
        <v>0.995</v>
      </c>
      <c r="IO30" s="753">
        <v>0.99</v>
      </c>
      <c r="IP30" s="753">
        <v>0.983</v>
      </c>
      <c r="IQ30" s="753">
        <v>0.969</v>
      </c>
      <c r="IR30" s="753">
        <v>0.933</v>
      </c>
      <c r="IS30" s="753">
        <v>0.867</v>
      </c>
      <c r="IT30" s="753">
        <v>0.73</v>
      </c>
      <c r="IU30" s="753">
        <v>0.473</v>
      </c>
      <c r="IV30" s="753">
        <v>0.154</v>
      </c>
      <c r="IW30" s="754"/>
      <c r="IX30" s="754"/>
      <c r="IY30" s="754"/>
      <c r="IZ30" s="754"/>
      <c r="JA30" s="753">
        <v>0.832</v>
      </c>
      <c r="JB30" s="753">
        <v>0.925</v>
      </c>
      <c r="JC30" s="753">
        <v>0.99</v>
      </c>
      <c r="JD30" s="753">
        <v>0.998</v>
      </c>
      <c r="JE30" s="753">
        <v>0.998</v>
      </c>
      <c r="JF30" s="753">
        <v>0.998</v>
      </c>
      <c r="JG30" s="753">
        <v>0.998</v>
      </c>
      <c r="JH30" s="753">
        <v>0.998</v>
      </c>
      <c r="JI30" s="753">
        <v>0.998</v>
      </c>
      <c r="JJ30" s="753">
        <v>0.998</v>
      </c>
      <c r="JK30" s="753">
        <v>0.998</v>
      </c>
      <c r="JL30" s="753">
        <v>0.998</v>
      </c>
      <c r="JM30" s="753">
        <v>0.998</v>
      </c>
      <c r="JN30" s="753">
        <v>0.998</v>
      </c>
      <c r="JO30" s="753">
        <v>0.998</v>
      </c>
      <c r="JP30" s="753">
        <v>0.998</v>
      </c>
      <c r="JQ30" s="753">
        <v>0.998</v>
      </c>
      <c r="JR30" s="753">
        <v>0.998</v>
      </c>
      <c r="JS30" s="753">
        <v>0.998</v>
      </c>
      <c r="JT30" s="753">
        <v>0.998</v>
      </c>
      <c r="JU30" s="753">
        <v>0.998</v>
      </c>
      <c r="JV30" s="753">
        <v>0.998</v>
      </c>
      <c r="JW30" s="753">
        <v>0.995</v>
      </c>
      <c r="JX30" s="753">
        <v>0.992</v>
      </c>
      <c r="JY30" s="753">
        <v>0.984</v>
      </c>
      <c r="JZ30" s="753">
        <v>0.968</v>
      </c>
      <c r="KA30" s="753">
        <v>0.941</v>
      </c>
      <c r="KB30" s="753">
        <v>0.876</v>
      </c>
      <c r="KC30" s="753">
        <v>0.757</v>
      </c>
      <c r="KD30" s="753">
        <v>0.537</v>
      </c>
      <c r="KE30" s="753">
        <v>0.228</v>
      </c>
      <c r="KF30" s="753">
        <v>0.027</v>
      </c>
      <c r="KG30" s="754"/>
      <c r="KH30" s="754"/>
      <c r="KI30" s="754"/>
      <c r="KJ30" s="754"/>
      <c r="KK30" s="765" t="s">
        <v>281</v>
      </c>
      <c r="KL30" s="738">
        <v>18</v>
      </c>
      <c r="KM30" s="738">
        <v>65</v>
      </c>
      <c r="KN30" s="646" t="s">
        <v>339</v>
      </c>
      <c r="KO30" s="646" t="s">
        <v>469</v>
      </c>
      <c r="KP30" s="679">
        <v>622567</v>
      </c>
      <c r="KQ30" s="766" t="s">
        <v>472</v>
      </c>
      <c r="KR30" s="750" t="s">
        <v>473</v>
      </c>
      <c r="KS30" s="769" t="s">
        <v>469</v>
      </c>
      <c r="KT30" s="770" t="s">
        <v>474</v>
      </c>
      <c r="KU30" s="766" t="s">
        <v>475</v>
      </c>
      <c r="KV30" s="750">
        <v>623569</v>
      </c>
      <c r="KW30" s="771"/>
      <c r="KX30" s="750"/>
      <c r="KY30" s="769" t="s">
        <v>476</v>
      </c>
      <c r="KZ30" s="770" t="s">
        <v>473</v>
      </c>
    </row>
    <row r="31" s="628" customFormat="1" customHeight="1" spans="1:312">
      <c r="A31" s="682" t="s">
        <v>277</v>
      </c>
      <c r="B31" s="683">
        <v>27</v>
      </c>
      <c r="C31" s="684" t="s">
        <v>477</v>
      </c>
      <c r="D31" s="679">
        <v>623570</v>
      </c>
      <c r="E31" s="685">
        <v>56.98</v>
      </c>
      <c r="F31" s="685">
        <v>56.74</v>
      </c>
      <c r="G31" s="686">
        <v>0.010931</v>
      </c>
      <c r="H31" s="686">
        <v>0.011023</v>
      </c>
      <c r="I31" s="696">
        <v>1.59301</v>
      </c>
      <c r="J31" s="696">
        <v>1.59824</v>
      </c>
      <c r="K31" s="696">
        <v>1.60395</v>
      </c>
      <c r="L31" s="696">
        <v>1.60905</v>
      </c>
      <c r="M31" s="696">
        <v>1.60998</v>
      </c>
      <c r="N31" s="696">
        <v>1.61074</v>
      </c>
      <c r="O31" s="696">
        <v>1.61371</v>
      </c>
      <c r="P31" s="696">
        <v>1.61574</v>
      </c>
      <c r="Q31" s="697">
        <v>1.61761</v>
      </c>
      <c r="R31" s="697">
        <v>1.61948</v>
      </c>
      <c r="S31" s="696">
        <v>1.62002</v>
      </c>
      <c r="T31" s="701">
        <v>1.62051</v>
      </c>
      <c r="U31" s="696">
        <v>1.6227</v>
      </c>
      <c r="V31" s="697">
        <v>1.6228</v>
      </c>
      <c r="W31" s="697">
        <v>1.62541</v>
      </c>
      <c r="X31" s="697">
        <v>1.63042</v>
      </c>
      <c r="Y31" s="697">
        <v>1.63104</v>
      </c>
      <c r="Z31" s="697">
        <v>1.63639</v>
      </c>
      <c r="AA31" s="697">
        <v>1.64136</v>
      </c>
      <c r="AB31" s="697">
        <v>1.64991</v>
      </c>
      <c r="AC31" s="705">
        <v>2.59016969</v>
      </c>
      <c r="AD31" s="705">
        <v>-0.010210368</v>
      </c>
      <c r="AE31" s="705">
        <v>0.0146213934</v>
      </c>
      <c r="AF31" s="705">
        <v>0.000692375177</v>
      </c>
      <c r="AG31" s="705">
        <v>-6.66173315e-5</v>
      </c>
      <c r="AH31" s="705">
        <v>4.03789352e-6</v>
      </c>
      <c r="AI31" s="709">
        <v>0.3037</v>
      </c>
      <c r="AJ31" s="709">
        <v>0.2388</v>
      </c>
      <c r="AK31" s="709">
        <v>0.5462</v>
      </c>
      <c r="AL31" s="709">
        <v>0.2522</v>
      </c>
      <c r="AM31" s="709">
        <v>0.2368</v>
      </c>
      <c r="AN31" s="709">
        <v>0.4853</v>
      </c>
      <c r="AO31" s="709">
        <v>-0.0004</v>
      </c>
      <c r="AP31" s="709">
        <v>-0.0028</v>
      </c>
      <c r="AQ31" s="709">
        <v>-0.0167</v>
      </c>
      <c r="AR31" s="709">
        <v>-0.0093</v>
      </c>
      <c r="AS31" s="714">
        <v>2</v>
      </c>
      <c r="AT31" s="714">
        <v>2.1</v>
      </c>
      <c r="AU31" s="714">
        <v>2.1</v>
      </c>
      <c r="AV31" s="714">
        <v>2.1</v>
      </c>
      <c r="AW31" s="714">
        <v>2.1</v>
      </c>
      <c r="AX31" s="714">
        <v>2.1</v>
      </c>
      <c r="AY31" s="714">
        <v>2.2</v>
      </c>
      <c r="AZ31" s="714">
        <v>2.3</v>
      </c>
      <c r="BA31" s="714">
        <v>2.4</v>
      </c>
      <c r="BB31" s="714">
        <v>2.4</v>
      </c>
      <c r="BC31" s="714">
        <v>2.5</v>
      </c>
      <c r="BD31" s="714">
        <v>2.2</v>
      </c>
      <c r="BE31" s="714">
        <v>2.2</v>
      </c>
      <c r="BF31" s="714">
        <v>2.3</v>
      </c>
      <c r="BG31" s="714">
        <v>2.3</v>
      </c>
      <c r="BH31" s="714">
        <v>2.3</v>
      </c>
      <c r="BI31" s="714">
        <v>2.4</v>
      </c>
      <c r="BJ31" s="714">
        <v>2.5</v>
      </c>
      <c r="BK31" s="714">
        <v>2.6</v>
      </c>
      <c r="BL31" s="714">
        <v>2.7</v>
      </c>
      <c r="BM31" s="714">
        <v>2.7</v>
      </c>
      <c r="BN31" s="714">
        <v>2.8</v>
      </c>
      <c r="BO31" s="714">
        <v>2.3</v>
      </c>
      <c r="BP31" s="714">
        <v>2.3</v>
      </c>
      <c r="BQ31" s="714">
        <v>2.3</v>
      </c>
      <c r="BR31" s="714">
        <v>2.4</v>
      </c>
      <c r="BS31" s="714">
        <v>2.5</v>
      </c>
      <c r="BT31" s="714">
        <v>2.6</v>
      </c>
      <c r="BU31" s="714">
        <v>2.6</v>
      </c>
      <c r="BV31" s="714">
        <v>2.7</v>
      </c>
      <c r="BW31" s="714">
        <v>2.8</v>
      </c>
      <c r="BX31" s="714">
        <v>2.9</v>
      </c>
      <c r="BY31" s="714">
        <v>2.9</v>
      </c>
      <c r="BZ31" s="714">
        <v>2.3</v>
      </c>
      <c r="CA31" s="714">
        <v>2.3</v>
      </c>
      <c r="CB31" s="714">
        <v>2.3</v>
      </c>
      <c r="CC31" s="714">
        <v>2.4</v>
      </c>
      <c r="CD31" s="714">
        <v>2.5</v>
      </c>
      <c r="CE31" s="714">
        <v>2.6</v>
      </c>
      <c r="CF31" s="714">
        <v>2.7</v>
      </c>
      <c r="CG31" s="714">
        <v>2.8</v>
      </c>
      <c r="CH31" s="714">
        <v>2.9</v>
      </c>
      <c r="CI31" s="714">
        <v>2.9</v>
      </c>
      <c r="CJ31" s="714">
        <v>3</v>
      </c>
      <c r="CK31" s="714">
        <v>2.4</v>
      </c>
      <c r="CL31" s="715">
        <v>2.4</v>
      </c>
      <c r="CM31" s="715">
        <v>2.4</v>
      </c>
      <c r="CN31" s="715">
        <v>2.5</v>
      </c>
      <c r="CO31" s="715">
        <v>2.6</v>
      </c>
      <c r="CP31" s="715">
        <v>2.7</v>
      </c>
      <c r="CQ31" s="715">
        <v>2.8</v>
      </c>
      <c r="CR31" s="714">
        <v>2.9</v>
      </c>
      <c r="CS31" s="714">
        <v>3</v>
      </c>
      <c r="CT31" s="714">
        <v>3</v>
      </c>
      <c r="CU31" s="714">
        <v>3.1</v>
      </c>
      <c r="CV31" s="714">
        <v>2.5</v>
      </c>
      <c r="CW31" s="715">
        <v>2.5</v>
      </c>
      <c r="CX31" s="715">
        <v>2.5</v>
      </c>
      <c r="CY31" s="715">
        <v>2.6</v>
      </c>
      <c r="CZ31" s="715">
        <v>2.7</v>
      </c>
      <c r="DA31" s="715">
        <v>2.8</v>
      </c>
      <c r="DB31" s="715">
        <v>3</v>
      </c>
      <c r="DC31" s="714">
        <v>3</v>
      </c>
      <c r="DD31" s="714">
        <v>3.1</v>
      </c>
      <c r="DE31" s="714">
        <v>3.1</v>
      </c>
      <c r="DF31" s="714">
        <v>3.3</v>
      </c>
      <c r="DG31" s="714">
        <v>2.7</v>
      </c>
      <c r="DH31" s="715">
        <v>2.7</v>
      </c>
      <c r="DI31" s="715">
        <v>2.7</v>
      </c>
      <c r="DJ31" s="715">
        <v>2.8</v>
      </c>
      <c r="DK31" s="715">
        <v>2.9</v>
      </c>
      <c r="DL31" s="715">
        <v>2.9</v>
      </c>
      <c r="DM31" s="715">
        <v>3</v>
      </c>
      <c r="DN31" s="714">
        <v>3.1</v>
      </c>
      <c r="DO31" s="714">
        <v>3.2</v>
      </c>
      <c r="DP31" s="714">
        <v>3.2</v>
      </c>
      <c r="DQ31" s="714">
        <v>3.4</v>
      </c>
      <c r="DR31" s="714">
        <v>3</v>
      </c>
      <c r="DS31" s="715">
        <v>3</v>
      </c>
      <c r="DT31" s="715">
        <v>3.1</v>
      </c>
      <c r="DU31" s="715">
        <v>3.2</v>
      </c>
      <c r="DV31" s="715">
        <v>3.2</v>
      </c>
      <c r="DW31" s="715">
        <v>3.4</v>
      </c>
      <c r="DX31" s="715">
        <v>3.4</v>
      </c>
      <c r="DY31" s="714">
        <v>3.5</v>
      </c>
      <c r="DZ31" s="714">
        <v>3.6</v>
      </c>
      <c r="EA31" s="714">
        <v>3.6</v>
      </c>
      <c r="EB31" s="714">
        <v>3.7</v>
      </c>
      <c r="EC31" s="714">
        <v>3.1</v>
      </c>
      <c r="ED31" s="715">
        <v>3.1</v>
      </c>
      <c r="EE31" s="715">
        <v>3.1</v>
      </c>
      <c r="EF31" s="715">
        <v>3.2</v>
      </c>
      <c r="EG31" s="715">
        <v>3.3</v>
      </c>
      <c r="EH31" s="715">
        <v>3.4</v>
      </c>
      <c r="EI31" s="715">
        <v>3.4</v>
      </c>
      <c r="EJ31" s="714">
        <v>3.5</v>
      </c>
      <c r="EK31" s="714">
        <v>3.6</v>
      </c>
      <c r="EL31" s="714">
        <v>3.6</v>
      </c>
      <c r="EM31" s="714">
        <v>3.7</v>
      </c>
      <c r="EN31" s="714">
        <v>3.2</v>
      </c>
      <c r="EO31" s="715">
        <v>3.3</v>
      </c>
      <c r="EP31" s="715">
        <v>3.4</v>
      </c>
      <c r="EQ31" s="715">
        <v>3.5</v>
      </c>
      <c r="ER31" s="715">
        <v>3.6</v>
      </c>
      <c r="ES31" s="715">
        <v>3.7</v>
      </c>
      <c r="ET31" s="715">
        <v>3.7</v>
      </c>
      <c r="EU31" s="714">
        <v>3.8</v>
      </c>
      <c r="EV31" s="714">
        <v>3.8</v>
      </c>
      <c r="EW31" s="714">
        <v>3.8</v>
      </c>
      <c r="EX31" s="714">
        <v>4</v>
      </c>
      <c r="EY31" s="714">
        <v>-0.2</v>
      </c>
      <c r="EZ31" s="715">
        <v>0.2</v>
      </c>
      <c r="FA31" s="715">
        <v>0.5</v>
      </c>
      <c r="FB31" s="715">
        <v>0.9</v>
      </c>
      <c r="FC31" s="715">
        <v>1.2</v>
      </c>
      <c r="FD31" s="715">
        <v>1.5</v>
      </c>
      <c r="FE31" s="715">
        <v>1.7</v>
      </c>
      <c r="FF31" s="714">
        <v>1.9</v>
      </c>
      <c r="FG31" s="714">
        <v>2.1</v>
      </c>
      <c r="FH31" s="714">
        <v>2.2</v>
      </c>
      <c r="FI31" s="714">
        <v>2.4</v>
      </c>
      <c r="FJ31" s="723">
        <v>6.89e-7</v>
      </c>
      <c r="FK31" s="723">
        <v>1.42e-8</v>
      </c>
      <c r="FL31" s="723">
        <v>-2.56e-11</v>
      </c>
      <c r="FM31" s="723">
        <v>5.31e-7</v>
      </c>
      <c r="FN31" s="723">
        <v>1.53e-10</v>
      </c>
      <c r="FO31" s="723">
        <v>0.141</v>
      </c>
      <c r="FP31" s="729">
        <v>1</v>
      </c>
      <c r="FQ31" s="729">
        <v>3</v>
      </c>
      <c r="FR31" s="729">
        <v>1</v>
      </c>
      <c r="FS31" s="729">
        <v>4</v>
      </c>
      <c r="FT31" s="729">
        <v>2</v>
      </c>
      <c r="FU31" s="729">
        <v>2</v>
      </c>
      <c r="FV31" s="681">
        <v>2</v>
      </c>
      <c r="FW31" s="729"/>
      <c r="FX31" s="729"/>
      <c r="FY31" s="729"/>
      <c r="FZ31" s="741">
        <v>661</v>
      </c>
      <c r="GA31" s="741">
        <v>708</v>
      </c>
      <c r="GB31" s="681">
        <v>595</v>
      </c>
      <c r="GC31" s="681">
        <v>638</v>
      </c>
      <c r="GD31" s="747">
        <v>0.8</v>
      </c>
      <c r="GE31" s="729"/>
      <c r="GF31" s="681">
        <v>66</v>
      </c>
      <c r="GG31" s="681">
        <v>80</v>
      </c>
      <c r="GH31" s="681">
        <v>57</v>
      </c>
      <c r="GI31" s="681">
        <v>59</v>
      </c>
      <c r="GJ31" s="681">
        <v>61</v>
      </c>
      <c r="GK31" s="681">
        <v>62</v>
      </c>
      <c r="GL31" s="681">
        <v>62</v>
      </c>
      <c r="GM31" s="681">
        <v>63</v>
      </c>
      <c r="GN31" s="681">
        <v>64</v>
      </c>
      <c r="GO31" s="681">
        <v>64</v>
      </c>
      <c r="GP31" s="681">
        <v>65</v>
      </c>
      <c r="GQ31" s="681">
        <v>66</v>
      </c>
      <c r="GR31" s="681">
        <v>67</v>
      </c>
      <c r="GS31" s="681">
        <v>67</v>
      </c>
      <c r="GT31" s="681">
        <v>68</v>
      </c>
      <c r="GU31" s="681">
        <v>69</v>
      </c>
      <c r="GV31" s="681">
        <v>70</v>
      </c>
      <c r="GW31" s="681">
        <v>71</v>
      </c>
      <c r="GX31" s="681">
        <v>72</v>
      </c>
      <c r="GY31" s="681">
        <v>73</v>
      </c>
      <c r="GZ31" s="681">
        <v>74</v>
      </c>
      <c r="HA31" s="681">
        <v>76</v>
      </c>
      <c r="HB31" s="681">
        <v>77</v>
      </c>
      <c r="HC31" s="681"/>
      <c r="HD31" s="681">
        <v>120</v>
      </c>
      <c r="HE31" s="681"/>
      <c r="HF31" s="681">
        <v>521</v>
      </c>
      <c r="HG31" s="681">
        <v>153</v>
      </c>
      <c r="HH31" s="714">
        <v>81.9</v>
      </c>
      <c r="HI31" s="714">
        <v>32.4</v>
      </c>
      <c r="HJ31" s="753">
        <v>0.265</v>
      </c>
      <c r="HK31" s="681">
        <v>62</v>
      </c>
      <c r="HL31" s="685">
        <v>1.88</v>
      </c>
      <c r="HM31" s="747">
        <v>3.64</v>
      </c>
      <c r="HN31" s="729" t="s">
        <v>470</v>
      </c>
      <c r="HO31" s="729" t="s">
        <v>478</v>
      </c>
      <c r="HP31" s="714">
        <v>-0.7</v>
      </c>
      <c r="HQ31" s="754">
        <v>0.914</v>
      </c>
      <c r="HR31" s="753">
        <v>0.963</v>
      </c>
      <c r="HS31" s="753">
        <v>0.996</v>
      </c>
      <c r="HT31" s="753">
        <v>0.999</v>
      </c>
      <c r="HU31" s="753">
        <v>0.999</v>
      </c>
      <c r="HV31" s="753">
        <v>0.999</v>
      </c>
      <c r="HW31" s="753">
        <v>0.999</v>
      </c>
      <c r="HX31" s="753">
        <v>0.999</v>
      </c>
      <c r="HY31" s="753">
        <v>0.999</v>
      </c>
      <c r="HZ31" s="753">
        <v>0.999</v>
      </c>
      <c r="IA31" s="753">
        <v>0.999</v>
      </c>
      <c r="IB31" s="754">
        <v>0.999</v>
      </c>
      <c r="IC31" s="754">
        <v>0.999</v>
      </c>
      <c r="ID31" s="754">
        <v>0.999</v>
      </c>
      <c r="IE31" s="754">
        <v>0.999</v>
      </c>
      <c r="IF31" s="754">
        <v>0.999</v>
      </c>
      <c r="IG31" s="754">
        <v>0.999</v>
      </c>
      <c r="IH31" s="754">
        <v>0.999</v>
      </c>
      <c r="II31" s="754">
        <v>0.999</v>
      </c>
      <c r="IJ31" s="754">
        <v>0.999</v>
      </c>
      <c r="IK31" s="754">
        <v>0.997</v>
      </c>
      <c r="IL31" s="754">
        <v>0.997</v>
      </c>
      <c r="IM31" s="754">
        <v>0.996</v>
      </c>
      <c r="IN31" s="754">
        <v>0.994</v>
      </c>
      <c r="IO31" s="754">
        <v>0.991</v>
      </c>
      <c r="IP31" s="754">
        <v>0.986</v>
      </c>
      <c r="IQ31" s="754">
        <v>0.971</v>
      </c>
      <c r="IR31" s="754">
        <v>0.942</v>
      </c>
      <c r="IS31" s="754">
        <v>0.86</v>
      </c>
      <c r="IT31" s="754">
        <v>0.74</v>
      </c>
      <c r="IU31" s="754">
        <v>0.515</v>
      </c>
      <c r="IV31" s="754">
        <v>0.221</v>
      </c>
      <c r="IW31" s="754"/>
      <c r="IX31" s="754"/>
      <c r="IY31" s="754"/>
      <c r="IZ31" s="754"/>
      <c r="JA31" s="753">
        <v>0.825</v>
      </c>
      <c r="JB31" s="753">
        <v>0.923</v>
      </c>
      <c r="JC31" s="753">
        <v>0.984</v>
      </c>
      <c r="JD31" s="753">
        <v>0.998</v>
      </c>
      <c r="JE31" s="753">
        <v>0.998</v>
      </c>
      <c r="JF31" s="753">
        <v>0.998</v>
      </c>
      <c r="JG31" s="753">
        <v>0.998</v>
      </c>
      <c r="JH31" s="753">
        <v>0.998</v>
      </c>
      <c r="JI31" s="753">
        <v>0.998</v>
      </c>
      <c r="JJ31" s="753">
        <v>0.998</v>
      </c>
      <c r="JK31" s="753">
        <v>0.998</v>
      </c>
      <c r="JL31" s="754">
        <v>0.998</v>
      </c>
      <c r="JM31" s="754">
        <v>0.998</v>
      </c>
      <c r="JN31" s="754">
        <v>0.998</v>
      </c>
      <c r="JO31" s="754">
        <v>0.998</v>
      </c>
      <c r="JP31" s="754">
        <v>0.998</v>
      </c>
      <c r="JQ31" s="754">
        <v>0.998</v>
      </c>
      <c r="JR31" s="754">
        <v>0.998</v>
      </c>
      <c r="JS31" s="754">
        <v>0.998</v>
      </c>
      <c r="JT31" s="754">
        <v>0.998</v>
      </c>
      <c r="JU31" s="753">
        <v>0.995</v>
      </c>
      <c r="JV31" s="753">
        <v>0.995</v>
      </c>
      <c r="JW31" s="754">
        <v>0.993</v>
      </c>
      <c r="JX31" s="754">
        <v>0.992</v>
      </c>
      <c r="JY31" s="754">
        <v>0.981</v>
      </c>
      <c r="JZ31" s="754">
        <v>0.972</v>
      </c>
      <c r="KA31" s="754">
        <v>0.943</v>
      </c>
      <c r="KB31" s="754">
        <v>0.888</v>
      </c>
      <c r="KC31" s="754">
        <v>0.74</v>
      </c>
      <c r="KD31" s="754">
        <v>0.547</v>
      </c>
      <c r="KE31" s="754">
        <v>0.265</v>
      </c>
      <c r="KF31" s="754">
        <v>0.049</v>
      </c>
      <c r="KG31" s="754"/>
      <c r="KH31" s="754"/>
      <c r="KI31" s="754"/>
      <c r="KJ31" s="754"/>
      <c r="KK31" s="765" t="s">
        <v>281</v>
      </c>
      <c r="KL31" s="738">
        <v>16</v>
      </c>
      <c r="KM31" s="738">
        <v>58</v>
      </c>
      <c r="KN31" s="646" t="s">
        <v>339</v>
      </c>
      <c r="KO31" s="646" t="s">
        <v>477</v>
      </c>
      <c r="KP31" s="679">
        <v>623570</v>
      </c>
      <c r="KQ31" s="766" t="s">
        <v>479</v>
      </c>
      <c r="KR31" s="750" t="s">
        <v>473</v>
      </c>
      <c r="KS31" s="769" t="s">
        <v>480</v>
      </c>
      <c r="KT31" s="770" t="s">
        <v>481</v>
      </c>
      <c r="KU31" s="766" t="s">
        <v>482</v>
      </c>
      <c r="KV31" s="750">
        <v>623569</v>
      </c>
      <c r="KW31" s="771"/>
      <c r="KX31" s="750"/>
      <c r="KY31" s="769" t="s">
        <v>483</v>
      </c>
      <c r="KZ31" s="770" t="s">
        <v>473</v>
      </c>
    </row>
    <row r="32" s="628" customFormat="1" customHeight="1" spans="1:312">
      <c r="A32" s="682" t="s">
        <v>277</v>
      </c>
      <c r="B32" s="683">
        <v>28</v>
      </c>
      <c r="C32" s="684" t="s">
        <v>484</v>
      </c>
      <c r="D32" s="679">
        <v>639555</v>
      </c>
      <c r="E32" s="685">
        <v>55.45</v>
      </c>
      <c r="F32" s="685">
        <v>55.18</v>
      </c>
      <c r="G32" s="686">
        <v>0.011516</v>
      </c>
      <c r="H32" s="686">
        <v>0.011621</v>
      </c>
      <c r="I32" s="696">
        <v>1.60803</v>
      </c>
      <c r="J32" s="696">
        <v>1.61325</v>
      </c>
      <c r="K32" s="696">
        <v>1.619</v>
      </c>
      <c r="L32" s="696">
        <v>1.62419</v>
      </c>
      <c r="M32" s="696">
        <v>1.62514</v>
      </c>
      <c r="N32" s="696">
        <v>1.62593</v>
      </c>
      <c r="O32" s="696">
        <v>1.629</v>
      </c>
      <c r="P32" s="696">
        <v>1.63114</v>
      </c>
      <c r="Q32" s="697">
        <v>1.6331</v>
      </c>
      <c r="R32" s="697">
        <v>1.63505</v>
      </c>
      <c r="S32" s="696">
        <v>1.63561</v>
      </c>
      <c r="T32" s="701">
        <v>1.63613</v>
      </c>
      <c r="U32" s="696">
        <v>1.63844</v>
      </c>
      <c r="V32" s="697">
        <v>1.63854</v>
      </c>
      <c r="W32" s="697">
        <v>1.64129</v>
      </c>
      <c r="X32" s="697">
        <v>1.64657</v>
      </c>
      <c r="Y32" s="697">
        <v>1.64723</v>
      </c>
      <c r="Z32" s="697">
        <v>1.65291</v>
      </c>
      <c r="AA32" s="697">
        <v>1.65819</v>
      </c>
      <c r="AB32" s="697">
        <v>1.66725</v>
      </c>
      <c r="AC32" s="705">
        <v>2.63821944</v>
      </c>
      <c r="AD32" s="705">
        <v>-0.010247331</v>
      </c>
      <c r="AE32" s="705">
        <v>0.0158983043</v>
      </c>
      <c r="AF32" s="705">
        <v>0.000577973503</v>
      </c>
      <c r="AG32" s="705">
        <v>-3.90220391e-5</v>
      </c>
      <c r="AH32" s="705">
        <v>2.35832993e-6</v>
      </c>
      <c r="AI32" s="709">
        <v>0.3031</v>
      </c>
      <c r="AJ32" s="709">
        <v>0.2388</v>
      </c>
      <c r="AK32" s="709">
        <v>0.5505</v>
      </c>
      <c r="AL32" s="709">
        <v>0.2521</v>
      </c>
      <c r="AM32" s="709">
        <v>0.2366</v>
      </c>
      <c r="AN32" s="709">
        <v>0.4888</v>
      </c>
      <c r="AO32" s="709">
        <v>-0.0011</v>
      </c>
      <c r="AP32" s="709">
        <v>-0.001</v>
      </c>
      <c r="AQ32" s="709">
        <v>-0.0169</v>
      </c>
      <c r="AR32" s="709">
        <v>-0.0081</v>
      </c>
      <c r="AS32" s="714">
        <v>1.3</v>
      </c>
      <c r="AT32" s="714">
        <v>1.3</v>
      </c>
      <c r="AU32" s="714">
        <v>1.3</v>
      </c>
      <c r="AV32" s="714">
        <v>1.3</v>
      </c>
      <c r="AW32" s="714">
        <v>1.3</v>
      </c>
      <c r="AX32" s="714">
        <v>1.5</v>
      </c>
      <c r="AY32" s="714">
        <v>1.5</v>
      </c>
      <c r="AZ32" s="714">
        <v>1.5</v>
      </c>
      <c r="BA32" s="714">
        <v>1.6</v>
      </c>
      <c r="BB32" s="714">
        <v>1.8</v>
      </c>
      <c r="BC32" s="714">
        <v>1.8</v>
      </c>
      <c r="BD32" s="714">
        <v>1.5</v>
      </c>
      <c r="BE32" s="714">
        <v>1.5</v>
      </c>
      <c r="BF32" s="714">
        <v>1.5</v>
      </c>
      <c r="BG32" s="714">
        <v>1.5</v>
      </c>
      <c r="BH32" s="714">
        <v>1.5</v>
      </c>
      <c r="BI32" s="714">
        <v>1.7</v>
      </c>
      <c r="BJ32" s="714">
        <v>1.8</v>
      </c>
      <c r="BK32" s="714">
        <v>1.9</v>
      </c>
      <c r="BL32" s="714">
        <v>1.9</v>
      </c>
      <c r="BM32" s="714">
        <v>1.9</v>
      </c>
      <c r="BN32" s="714">
        <v>1.9</v>
      </c>
      <c r="BO32" s="714">
        <v>1.7</v>
      </c>
      <c r="BP32" s="714">
        <v>1.7</v>
      </c>
      <c r="BQ32" s="714">
        <v>1.7</v>
      </c>
      <c r="BR32" s="714">
        <v>1.7</v>
      </c>
      <c r="BS32" s="714">
        <v>1.8</v>
      </c>
      <c r="BT32" s="714">
        <v>1.7</v>
      </c>
      <c r="BU32" s="714">
        <v>1.8</v>
      </c>
      <c r="BV32" s="714">
        <v>1.9</v>
      </c>
      <c r="BW32" s="714">
        <v>1.9</v>
      </c>
      <c r="BX32" s="714">
        <v>1.9</v>
      </c>
      <c r="BY32" s="714">
        <v>2</v>
      </c>
      <c r="BZ32" s="714">
        <v>1.8</v>
      </c>
      <c r="CA32" s="714">
        <v>1.8</v>
      </c>
      <c r="CB32" s="714">
        <v>1.8</v>
      </c>
      <c r="CC32" s="714">
        <v>1.8</v>
      </c>
      <c r="CD32" s="714">
        <v>1.9</v>
      </c>
      <c r="CE32" s="714">
        <v>1.9</v>
      </c>
      <c r="CF32" s="714">
        <v>1.9</v>
      </c>
      <c r="CG32" s="714">
        <v>1.9</v>
      </c>
      <c r="CH32" s="714">
        <v>1.9</v>
      </c>
      <c r="CI32" s="714">
        <v>2</v>
      </c>
      <c r="CJ32" s="714">
        <v>2</v>
      </c>
      <c r="CK32" s="714">
        <v>1.9</v>
      </c>
      <c r="CL32" s="715">
        <v>1.9</v>
      </c>
      <c r="CM32" s="715">
        <v>2</v>
      </c>
      <c r="CN32" s="715">
        <v>2</v>
      </c>
      <c r="CO32" s="715">
        <v>2</v>
      </c>
      <c r="CP32" s="715">
        <v>2</v>
      </c>
      <c r="CQ32" s="715">
        <v>2</v>
      </c>
      <c r="CR32" s="714">
        <v>2</v>
      </c>
      <c r="CS32" s="714">
        <v>2</v>
      </c>
      <c r="CT32" s="714">
        <v>2.1</v>
      </c>
      <c r="CU32" s="714">
        <v>2.1</v>
      </c>
      <c r="CV32" s="714">
        <v>1.9</v>
      </c>
      <c r="CW32" s="715">
        <v>2</v>
      </c>
      <c r="CX32" s="715">
        <v>2</v>
      </c>
      <c r="CY32" s="715">
        <v>2</v>
      </c>
      <c r="CZ32" s="715">
        <v>2</v>
      </c>
      <c r="DA32" s="715">
        <v>2.1</v>
      </c>
      <c r="DB32" s="715">
        <v>2.2</v>
      </c>
      <c r="DC32" s="714">
        <v>2.2</v>
      </c>
      <c r="DD32" s="714">
        <v>2.2</v>
      </c>
      <c r="DE32" s="714">
        <v>2.3</v>
      </c>
      <c r="DF32" s="714">
        <v>2.3</v>
      </c>
      <c r="DG32" s="714">
        <v>2.1</v>
      </c>
      <c r="DH32" s="715">
        <v>2.2</v>
      </c>
      <c r="DI32" s="715">
        <v>2.3</v>
      </c>
      <c r="DJ32" s="715">
        <v>2.4</v>
      </c>
      <c r="DK32" s="715">
        <v>2.4</v>
      </c>
      <c r="DL32" s="715">
        <v>2.4</v>
      </c>
      <c r="DM32" s="715">
        <v>2.4</v>
      </c>
      <c r="DN32" s="714">
        <v>2.5</v>
      </c>
      <c r="DO32" s="714">
        <v>2.7</v>
      </c>
      <c r="DP32" s="714">
        <v>2.7</v>
      </c>
      <c r="DQ32" s="714">
        <v>2.7</v>
      </c>
      <c r="DR32" s="714">
        <v>2.3</v>
      </c>
      <c r="DS32" s="715">
        <v>2.5</v>
      </c>
      <c r="DT32" s="715">
        <v>2.6</v>
      </c>
      <c r="DU32" s="715">
        <v>2.7</v>
      </c>
      <c r="DV32" s="715">
        <v>2.7</v>
      </c>
      <c r="DW32" s="715">
        <v>2.7</v>
      </c>
      <c r="DX32" s="715">
        <v>2.7</v>
      </c>
      <c r="DY32" s="714">
        <v>2.8</v>
      </c>
      <c r="DZ32" s="714">
        <v>2.9</v>
      </c>
      <c r="EA32" s="714">
        <v>2.9</v>
      </c>
      <c r="EB32" s="714">
        <v>3</v>
      </c>
      <c r="EC32" s="714">
        <v>2.5</v>
      </c>
      <c r="ED32" s="715">
        <v>2.7</v>
      </c>
      <c r="EE32" s="715">
        <v>2.7</v>
      </c>
      <c r="EF32" s="715">
        <v>2.8</v>
      </c>
      <c r="EG32" s="715">
        <v>2.8</v>
      </c>
      <c r="EH32" s="715">
        <v>2.8</v>
      </c>
      <c r="EI32" s="715">
        <v>2.8</v>
      </c>
      <c r="EJ32" s="714">
        <v>2.9</v>
      </c>
      <c r="EK32" s="714">
        <v>3</v>
      </c>
      <c r="EL32" s="714">
        <v>3</v>
      </c>
      <c r="EM32" s="714">
        <v>3.1</v>
      </c>
      <c r="EN32" s="714">
        <v>2.9</v>
      </c>
      <c r="EO32" s="715">
        <v>2.9</v>
      </c>
      <c r="EP32" s="715">
        <v>2.9</v>
      </c>
      <c r="EQ32" s="715">
        <v>3</v>
      </c>
      <c r="ER32" s="715">
        <v>3.1</v>
      </c>
      <c r="ES32" s="715">
        <v>3.1</v>
      </c>
      <c r="ET32" s="715">
        <v>3.1</v>
      </c>
      <c r="EU32" s="714">
        <v>3.3</v>
      </c>
      <c r="EV32" s="714">
        <v>3.4</v>
      </c>
      <c r="EW32" s="714">
        <v>3.4</v>
      </c>
      <c r="EX32" s="714">
        <v>3.4</v>
      </c>
      <c r="EY32" s="714">
        <v>-0.7</v>
      </c>
      <c r="EZ32" s="715">
        <v>-0.3</v>
      </c>
      <c r="FA32" s="715">
        <v>0.1</v>
      </c>
      <c r="FB32" s="715">
        <v>0.4</v>
      </c>
      <c r="FC32" s="715">
        <v>0.6</v>
      </c>
      <c r="FD32" s="715">
        <v>0.7</v>
      </c>
      <c r="FE32" s="715">
        <v>0.9</v>
      </c>
      <c r="FF32" s="714">
        <v>1</v>
      </c>
      <c r="FG32" s="714">
        <v>1.1</v>
      </c>
      <c r="FH32" s="714">
        <v>1.3</v>
      </c>
      <c r="FI32" s="714">
        <v>1.4</v>
      </c>
      <c r="FJ32" s="723">
        <v>-8.12e-7</v>
      </c>
      <c r="FK32" s="723">
        <v>1.25e-8</v>
      </c>
      <c r="FL32" s="723">
        <v>-2.55e-11</v>
      </c>
      <c r="FM32" s="723">
        <v>5.57e-7</v>
      </c>
      <c r="FN32" s="723">
        <v>2.06e-10</v>
      </c>
      <c r="FO32" s="723">
        <v>0.196</v>
      </c>
      <c r="FP32" s="729">
        <v>1</v>
      </c>
      <c r="FQ32" s="729">
        <v>2</v>
      </c>
      <c r="FR32" s="729">
        <v>1</v>
      </c>
      <c r="FS32" s="729">
        <v>3</v>
      </c>
      <c r="FT32" s="729">
        <v>2</v>
      </c>
      <c r="FU32" s="729">
        <v>2</v>
      </c>
      <c r="FV32" s="681" t="s">
        <v>441</v>
      </c>
      <c r="FW32" s="729"/>
      <c r="FX32" s="729"/>
      <c r="FY32" s="729"/>
      <c r="FZ32" s="741">
        <v>649</v>
      </c>
      <c r="GA32" s="741">
        <v>685</v>
      </c>
      <c r="GB32" s="681">
        <v>591</v>
      </c>
      <c r="GC32" s="681">
        <v>624</v>
      </c>
      <c r="GD32" s="747">
        <v>1.03</v>
      </c>
      <c r="GE32" s="729"/>
      <c r="GF32" s="681">
        <v>71</v>
      </c>
      <c r="GG32" s="681">
        <v>85</v>
      </c>
      <c r="GH32" s="681">
        <v>63</v>
      </c>
      <c r="GI32" s="681">
        <v>67</v>
      </c>
      <c r="GJ32" s="681">
        <v>68</v>
      </c>
      <c r="GK32" s="681">
        <v>70</v>
      </c>
      <c r="GL32" s="681">
        <v>72</v>
      </c>
      <c r="GM32" s="681">
        <v>73</v>
      </c>
      <c r="GN32" s="681">
        <v>73</v>
      </c>
      <c r="GO32" s="681">
        <v>73</v>
      </c>
      <c r="GP32" s="681">
        <v>74</v>
      </c>
      <c r="GQ32" s="681">
        <v>74</v>
      </c>
      <c r="GR32" s="681">
        <v>75</v>
      </c>
      <c r="GS32" s="681">
        <v>75</v>
      </c>
      <c r="GT32" s="681">
        <v>76</v>
      </c>
      <c r="GU32" s="681">
        <v>77</v>
      </c>
      <c r="GV32" s="681">
        <v>78</v>
      </c>
      <c r="GW32" s="681">
        <v>78</v>
      </c>
      <c r="GX32" s="681">
        <v>79</v>
      </c>
      <c r="GY32" s="681">
        <v>80</v>
      </c>
      <c r="GZ32" s="681">
        <v>81</v>
      </c>
      <c r="HA32" s="681">
        <v>82</v>
      </c>
      <c r="HB32" s="681">
        <v>83</v>
      </c>
      <c r="HC32" s="681"/>
      <c r="HD32" s="681">
        <v>112</v>
      </c>
      <c r="HE32" s="681"/>
      <c r="HF32" s="681">
        <v>510</v>
      </c>
      <c r="HG32" s="681">
        <v>160</v>
      </c>
      <c r="HH32" s="714">
        <v>86.2</v>
      </c>
      <c r="HI32" s="714">
        <v>33</v>
      </c>
      <c r="HJ32" s="753">
        <v>0.307</v>
      </c>
      <c r="HK32" s="681">
        <v>53</v>
      </c>
      <c r="HL32" s="685">
        <v>1.69</v>
      </c>
      <c r="HM32" s="747">
        <v>3.67</v>
      </c>
      <c r="HN32" s="729" t="s">
        <v>485</v>
      </c>
      <c r="HO32" s="729" t="s">
        <v>486</v>
      </c>
      <c r="HP32" s="714">
        <v>-0.4</v>
      </c>
      <c r="HQ32" s="754">
        <v>0.902</v>
      </c>
      <c r="HR32" s="753">
        <v>0.964</v>
      </c>
      <c r="HS32" s="753">
        <v>0.994</v>
      </c>
      <c r="HT32" s="753">
        <v>0.999</v>
      </c>
      <c r="HU32" s="753">
        <v>0.999</v>
      </c>
      <c r="HV32" s="753">
        <v>0.999</v>
      </c>
      <c r="HW32" s="753">
        <v>0.999</v>
      </c>
      <c r="HX32" s="753">
        <v>0.999</v>
      </c>
      <c r="HY32" s="753">
        <v>0.999</v>
      </c>
      <c r="HZ32" s="753">
        <v>0.999</v>
      </c>
      <c r="IA32" s="753">
        <v>0.999</v>
      </c>
      <c r="IB32" s="754">
        <v>0.999</v>
      </c>
      <c r="IC32" s="754">
        <v>0.999</v>
      </c>
      <c r="ID32" s="754">
        <v>0.999</v>
      </c>
      <c r="IE32" s="754">
        <v>0.999</v>
      </c>
      <c r="IF32" s="754">
        <v>0.999</v>
      </c>
      <c r="IG32" s="754">
        <v>0.999</v>
      </c>
      <c r="IH32" s="754">
        <v>0.999</v>
      </c>
      <c r="II32" s="754">
        <v>0.999</v>
      </c>
      <c r="IJ32" s="754">
        <v>0.998</v>
      </c>
      <c r="IK32" s="754">
        <v>0.995</v>
      </c>
      <c r="IL32" s="754">
        <v>0.995</v>
      </c>
      <c r="IM32" s="754">
        <v>0.993</v>
      </c>
      <c r="IN32" s="754">
        <v>0.988</v>
      </c>
      <c r="IO32" s="754">
        <v>0.981</v>
      </c>
      <c r="IP32" s="754">
        <v>0.968</v>
      </c>
      <c r="IQ32" s="754">
        <v>0.945</v>
      </c>
      <c r="IR32" s="754">
        <v>0.898</v>
      </c>
      <c r="IS32" s="754">
        <v>0.801</v>
      </c>
      <c r="IT32" s="754">
        <v>0.616</v>
      </c>
      <c r="IU32" s="754">
        <v>0.326</v>
      </c>
      <c r="IV32" s="754">
        <v>0.067</v>
      </c>
      <c r="IW32" s="754"/>
      <c r="IX32" s="754"/>
      <c r="IY32" s="754"/>
      <c r="IZ32" s="754"/>
      <c r="JA32" s="753">
        <v>0.815</v>
      </c>
      <c r="JB32" s="753">
        <v>0.93</v>
      </c>
      <c r="JC32" s="753">
        <v>0.989</v>
      </c>
      <c r="JD32" s="753">
        <v>0.998</v>
      </c>
      <c r="JE32" s="753">
        <v>0.998</v>
      </c>
      <c r="JF32" s="753">
        <v>0.998</v>
      </c>
      <c r="JG32" s="753">
        <v>0.998</v>
      </c>
      <c r="JH32" s="753">
        <v>0.998</v>
      </c>
      <c r="JI32" s="753">
        <v>0.998</v>
      </c>
      <c r="JJ32" s="753">
        <v>0.998</v>
      </c>
      <c r="JK32" s="753">
        <v>0.998</v>
      </c>
      <c r="JL32" s="754">
        <v>0.998</v>
      </c>
      <c r="JM32" s="754">
        <v>0.998</v>
      </c>
      <c r="JN32" s="754">
        <v>0.998</v>
      </c>
      <c r="JO32" s="754">
        <v>0.998</v>
      </c>
      <c r="JP32" s="754">
        <v>0.998</v>
      </c>
      <c r="JQ32" s="754">
        <v>0.998</v>
      </c>
      <c r="JR32" s="754">
        <v>0.998</v>
      </c>
      <c r="JS32" s="754">
        <v>0.998</v>
      </c>
      <c r="JT32" s="754">
        <v>0.996</v>
      </c>
      <c r="JU32" s="753">
        <v>0.993</v>
      </c>
      <c r="JV32" s="753">
        <v>0.99</v>
      </c>
      <c r="JW32" s="754">
        <v>0.986</v>
      </c>
      <c r="JX32" s="754">
        <v>0.976</v>
      </c>
      <c r="JY32" s="754">
        <v>0.962</v>
      </c>
      <c r="JZ32" s="754">
        <v>0.937</v>
      </c>
      <c r="KA32" s="754">
        <v>0.893</v>
      </c>
      <c r="KB32" s="754">
        <v>0.806</v>
      </c>
      <c r="KC32" s="754">
        <v>0.642</v>
      </c>
      <c r="KD32" s="754">
        <v>0.379</v>
      </c>
      <c r="KE32" s="754">
        <v>0.106</v>
      </c>
      <c r="KF32" s="754">
        <v>0.004</v>
      </c>
      <c r="KG32" s="754"/>
      <c r="KH32" s="754"/>
      <c r="KI32" s="754"/>
      <c r="KJ32" s="754"/>
      <c r="KK32" s="765" t="s">
        <v>281</v>
      </c>
      <c r="KL32" s="738">
        <v>10</v>
      </c>
      <c r="KM32" s="738">
        <v>37</v>
      </c>
      <c r="KN32" s="646" t="s">
        <v>282</v>
      </c>
      <c r="KO32" s="646" t="s">
        <v>484</v>
      </c>
      <c r="KP32" s="679">
        <v>639555</v>
      </c>
      <c r="KQ32" s="766" t="s">
        <v>487</v>
      </c>
      <c r="KR32" s="750" t="s">
        <v>488</v>
      </c>
      <c r="KS32" s="769" t="s">
        <v>484</v>
      </c>
      <c r="KT32" s="770" t="s">
        <v>489</v>
      </c>
      <c r="KU32" s="766" t="s">
        <v>490</v>
      </c>
      <c r="KV32" s="750">
        <v>639555</v>
      </c>
      <c r="KW32" s="771" t="s">
        <v>491</v>
      </c>
      <c r="KX32" s="750" t="s">
        <v>489</v>
      </c>
      <c r="KY32" s="769"/>
      <c r="KZ32" s="770"/>
    </row>
    <row r="33" s="628" customFormat="1" customHeight="1" spans="1:312">
      <c r="A33" s="682" t="s">
        <v>300</v>
      </c>
      <c r="B33" s="683">
        <v>29</v>
      </c>
      <c r="C33" s="684" t="s">
        <v>492</v>
      </c>
      <c r="D33" s="679">
        <v>603606</v>
      </c>
      <c r="E33" s="685">
        <v>60.6</v>
      </c>
      <c r="F33" s="685">
        <v>60.35</v>
      </c>
      <c r="G33" s="686">
        <v>0.009952</v>
      </c>
      <c r="H33" s="686">
        <v>0.010033</v>
      </c>
      <c r="I33" s="696">
        <v>1.57307</v>
      </c>
      <c r="J33" s="696">
        <v>1.57874</v>
      </c>
      <c r="K33" s="696">
        <v>1.58486</v>
      </c>
      <c r="L33" s="696">
        <v>1.59014</v>
      </c>
      <c r="M33" s="696">
        <v>1.59106</v>
      </c>
      <c r="N33" s="696">
        <v>1.59182</v>
      </c>
      <c r="O33" s="696">
        <v>1.59469</v>
      </c>
      <c r="P33" s="696">
        <v>1.59661</v>
      </c>
      <c r="Q33" s="697">
        <v>1.59835</v>
      </c>
      <c r="R33" s="697">
        <v>1.60007</v>
      </c>
      <c r="S33" s="697">
        <v>1.60056</v>
      </c>
      <c r="T33" s="701">
        <v>1.60101</v>
      </c>
      <c r="U33" s="697">
        <v>1.60302</v>
      </c>
      <c r="V33" s="697">
        <v>1.60311</v>
      </c>
      <c r="W33" s="697">
        <v>1.60548</v>
      </c>
      <c r="X33" s="697">
        <v>1.61003</v>
      </c>
      <c r="Y33" s="697">
        <v>1.61059</v>
      </c>
      <c r="Z33" s="697">
        <v>1.61541</v>
      </c>
      <c r="AA33" s="697">
        <v>1.61987</v>
      </c>
      <c r="AB33" s="697">
        <v>1.62743</v>
      </c>
      <c r="AC33" s="704">
        <v>2.53182995</v>
      </c>
      <c r="AD33" s="705">
        <v>-0.0110534989</v>
      </c>
      <c r="AE33" s="705">
        <v>0.0134222293</v>
      </c>
      <c r="AF33" s="705">
        <v>0.000421021754</v>
      </c>
      <c r="AG33" s="705">
        <v>-2.24912138e-5</v>
      </c>
      <c r="AH33" s="705">
        <v>1.01669782e-6</v>
      </c>
      <c r="AI33" s="709">
        <v>0.3055</v>
      </c>
      <c r="AJ33" s="709">
        <v>0.2381</v>
      </c>
      <c r="AK33" s="709">
        <v>0.5406</v>
      </c>
      <c r="AL33" s="709">
        <v>0.2542</v>
      </c>
      <c r="AM33" s="709">
        <v>0.2362</v>
      </c>
      <c r="AN33" s="709">
        <v>0.4804</v>
      </c>
      <c r="AO33" s="709">
        <v>0.0004</v>
      </c>
      <c r="AP33" s="709">
        <v>-0.0023</v>
      </c>
      <c r="AQ33" s="709">
        <v>-0.0048</v>
      </c>
      <c r="AR33" s="709">
        <v>-0.0052</v>
      </c>
      <c r="AS33" s="714">
        <v>2.6</v>
      </c>
      <c r="AT33" s="715">
        <v>2.7</v>
      </c>
      <c r="AU33" s="715">
        <v>2.7</v>
      </c>
      <c r="AV33" s="715">
        <v>2.8</v>
      </c>
      <c r="AW33" s="715">
        <v>2.8</v>
      </c>
      <c r="AX33" s="715">
        <v>3</v>
      </c>
      <c r="AY33" s="715">
        <v>3.1</v>
      </c>
      <c r="AZ33" s="715">
        <v>3.2</v>
      </c>
      <c r="BA33" s="715">
        <v>3.3</v>
      </c>
      <c r="BB33" s="715">
        <v>3.5</v>
      </c>
      <c r="BC33" s="715">
        <v>3.5</v>
      </c>
      <c r="BD33" s="715">
        <v>2.7</v>
      </c>
      <c r="BE33" s="715">
        <v>2.7</v>
      </c>
      <c r="BF33" s="715">
        <v>2.8</v>
      </c>
      <c r="BG33" s="715">
        <v>2.9</v>
      </c>
      <c r="BH33" s="715">
        <v>2.9</v>
      </c>
      <c r="BI33" s="715">
        <v>3</v>
      </c>
      <c r="BJ33" s="715">
        <v>3.2</v>
      </c>
      <c r="BK33" s="715">
        <v>3.3</v>
      </c>
      <c r="BL33" s="715">
        <v>3.4</v>
      </c>
      <c r="BM33" s="715">
        <v>3.5</v>
      </c>
      <c r="BN33" s="715">
        <v>3.6</v>
      </c>
      <c r="BO33" s="715">
        <v>2.9</v>
      </c>
      <c r="BP33" s="715">
        <v>2.9</v>
      </c>
      <c r="BQ33" s="715">
        <v>2.9</v>
      </c>
      <c r="BR33" s="715">
        <v>3.1</v>
      </c>
      <c r="BS33" s="715">
        <v>3.1</v>
      </c>
      <c r="BT33" s="715">
        <v>3.2</v>
      </c>
      <c r="BU33" s="715">
        <v>3.2</v>
      </c>
      <c r="BV33" s="715">
        <v>3.3</v>
      </c>
      <c r="BW33" s="715">
        <v>3.4</v>
      </c>
      <c r="BX33" s="715">
        <v>3.5</v>
      </c>
      <c r="BY33" s="715">
        <v>3.7</v>
      </c>
      <c r="BZ33" s="715">
        <v>2.9</v>
      </c>
      <c r="CA33" s="715">
        <v>2.9</v>
      </c>
      <c r="CB33" s="715">
        <v>3</v>
      </c>
      <c r="CC33" s="715">
        <v>3.1</v>
      </c>
      <c r="CD33" s="715">
        <v>3.2</v>
      </c>
      <c r="CE33" s="715">
        <v>3.2</v>
      </c>
      <c r="CF33" s="715">
        <v>3.3</v>
      </c>
      <c r="CG33" s="715">
        <v>3.4</v>
      </c>
      <c r="CH33" s="715">
        <v>3.5</v>
      </c>
      <c r="CI33" s="715">
        <v>3.6</v>
      </c>
      <c r="CJ33" s="715">
        <v>3.7</v>
      </c>
      <c r="CK33" s="715">
        <v>2.9</v>
      </c>
      <c r="CL33" s="714">
        <v>3</v>
      </c>
      <c r="CM33" s="714">
        <v>3</v>
      </c>
      <c r="CN33" s="714">
        <v>3.2</v>
      </c>
      <c r="CO33" s="714">
        <v>3.2</v>
      </c>
      <c r="CP33" s="714">
        <v>3.2</v>
      </c>
      <c r="CQ33" s="714">
        <v>3.4</v>
      </c>
      <c r="CR33" s="715">
        <v>3.5</v>
      </c>
      <c r="CS33" s="715">
        <v>3.5</v>
      </c>
      <c r="CT33" s="715">
        <v>3.6</v>
      </c>
      <c r="CU33" s="715">
        <v>3.8</v>
      </c>
      <c r="CV33" s="715">
        <v>3</v>
      </c>
      <c r="CW33" s="715">
        <v>3.1</v>
      </c>
      <c r="CX33" s="715">
        <v>3.1</v>
      </c>
      <c r="CY33" s="715">
        <v>3.3</v>
      </c>
      <c r="CZ33" s="715">
        <v>3.3</v>
      </c>
      <c r="DA33" s="715">
        <v>3.4</v>
      </c>
      <c r="DB33" s="715">
        <v>3.6</v>
      </c>
      <c r="DC33" s="715">
        <v>3.7</v>
      </c>
      <c r="DD33" s="715">
        <v>3.7</v>
      </c>
      <c r="DE33" s="715">
        <v>3.9</v>
      </c>
      <c r="DF33" s="715">
        <v>4.1</v>
      </c>
      <c r="DG33" s="715">
        <v>3.3</v>
      </c>
      <c r="DH33" s="715">
        <v>3.4</v>
      </c>
      <c r="DI33" s="715">
        <v>3.4</v>
      </c>
      <c r="DJ33" s="715">
        <v>3.5</v>
      </c>
      <c r="DK33" s="715">
        <v>3.5</v>
      </c>
      <c r="DL33" s="715">
        <v>3.7</v>
      </c>
      <c r="DM33" s="715">
        <v>3.8</v>
      </c>
      <c r="DN33" s="715">
        <v>4.1</v>
      </c>
      <c r="DO33" s="715">
        <v>4.4</v>
      </c>
      <c r="DP33" s="715">
        <v>4.5</v>
      </c>
      <c r="DQ33" s="715">
        <v>4.5</v>
      </c>
      <c r="DR33" s="715">
        <v>3.3</v>
      </c>
      <c r="DS33" s="715">
        <v>3.5</v>
      </c>
      <c r="DT33" s="715">
        <v>3.7</v>
      </c>
      <c r="DU33" s="715">
        <v>3.7</v>
      </c>
      <c r="DV33" s="715">
        <v>3.7</v>
      </c>
      <c r="DW33" s="715">
        <v>3.8</v>
      </c>
      <c r="DX33" s="715">
        <v>3.9</v>
      </c>
      <c r="DY33" s="715">
        <v>4.1</v>
      </c>
      <c r="DZ33" s="715">
        <v>4.3</v>
      </c>
      <c r="EA33" s="715">
        <v>4.4</v>
      </c>
      <c r="EB33" s="715">
        <v>4.6</v>
      </c>
      <c r="EC33" s="715">
        <v>3.3</v>
      </c>
      <c r="ED33" s="715">
        <v>3.5</v>
      </c>
      <c r="EE33" s="715">
        <v>3.7</v>
      </c>
      <c r="EF33" s="715">
        <v>3.7</v>
      </c>
      <c r="EG33" s="715">
        <v>3.7</v>
      </c>
      <c r="EH33" s="715">
        <v>3.9</v>
      </c>
      <c r="EI33" s="715">
        <v>4</v>
      </c>
      <c r="EJ33" s="715">
        <v>4.2</v>
      </c>
      <c r="EK33" s="715">
        <v>4.4</v>
      </c>
      <c r="EL33" s="715">
        <v>4.5</v>
      </c>
      <c r="EM33" s="715">
        <v>4.7</v>
      </c>
      <c r="EN33" s="715">
        <v>3.8</v>
      </c>
      <c r="EO33" s="715">
        <v>3.8</v>
      </c>
      <c r="EP33" s="715">
        <v>3.8</v>
      </c>
      <c r="EQ33" s="715">
        <v>3.9</v>
      </c>
      <c r="ER33" s="715">
        <v>4</v>
      </c>
      <c r="ES33" s="715">
        <v>4.3</v>
      </c>
      <c r="ET33" s="715">
        <v>4.4</v>
      </c>
      <c r="EU33" s="715">
        <v>4.6</v>
      </c>
      <c r="EV33" s="715">
        <v>4.9</v>
      </c>
      <c r="EW33" s="715">
        <v>5</v>
      </c>
      <c r="EX33" s="715">
        <v>5.2</v>
      </c>
      <c r="EY33" s="715">
        <v>0.3</v>
      </c>
      <c r="EZ33" s="714">
        <v>0.8</v>
      </c>
      <c r="FA33" s="714">
        <v>1.2</v>
      </c>
      <c r="FB33" s="714">
        <v>1.6</v>
      </c>
      <c r="FC33" s="714">
        <v>1.8</v>
      </c>
      <c r="FD33" s="714">
        <v>2</v>
      </c>
      <c r="FE33" s="714">
        <v>2.3</v>
      </c>
      <c r="FF33" s="715">
        <v>2.5</v>
      </c>
      <c r="FG33" s="715">
        <v>2.6</v>
      </c>
      <c r="FH33" s="715">
        <v>2.8</v>
      </c>
      <c r="FI33" s="715">
        <v>3.1</v>
      </c>
      <c r="FJ33" s="723">
        <v>2.35e-6</v>
      </c>
      <c r="FK33" s="723">
        <v>1.42e-8</v>
      </c>
      <c r="FL33" s="723">
        <v>-1.91e-11</v>
      </c>
      <c r="FM33" s="723">
        <v>3.4e-7</v>
      </c>
      <c r="FN33" s="723">
        <v>4.95e-10</v>
      </c>
      <c r="FO33" s="723">
        <v>0.258</v>
      </c>
      <c r="FP33" s="729">
        <v>3</v>
      </c>
      <c r="FQ33" s="729">
        <v>3</v>
      </c>
      <c r="FR33" s="729">
        <v>2</v>
      </c>
      <c r="FS33" s="729">
        <v>4</v>
      </c>
      <c r="FT33" s="729">
        <v>2</v>
      </c>
      <c r="FU33" s="729">
        <v>2</v>
      </c>
      <c r="FV33" s="681" t="s">
        <v>493</v>
      </c>
      <c r="FW33" s="729"/>
      <c r="FX33" s="729"/>
      <c r="FY33" s="729"/>
      <c r="FZ33" s="741">
        <v>666</v>
      </c>
      <c r="GA33" s="741">
        <v>704</v>
      </c>
      <c r="GB33" s="681">
        <v>583</v>
      </c>
      <c r="GC33" s="681">
        <v>625</v>
      </c>
      <c r="GD33" s="747">
        <v>0.93</v>
      </c>
      <c r="GE33" s="729"/>
      <c r="GF33" s="681">
        <v>57</v>
      </c>
      <c r="GG33" s="681">
        <v>73</v>
      </c>
      <c r="GH33" s="681">
        <v>50</v>
      </c>
      <c r="GI33" s="681">
        <v>52</v>
      </c>
      <c r="GJ33" s="681">
        <v>54</v>
      </c>
      <c r="GK33" s="681">
        <v>55</v>
      </c>
      <c r="GL33" s="681">
        <v>56</v>
      </c>
      <c r="GM33" s="681">
        <v>57</v>
      </c>
      <c r="GN33" s="681">
        <v>58</v>
      </c>
      <c r="GO33" s="681">
        <v>59</v>
      </c>
      <c r="GP33" s="681">
        <v>59</v>
      </c>
      <c r="GQ33" s="681">
        <v>60</v>
      </c>
      <c r="GR33" s="681">
        <v>61</v>
      </c>
      <c r="GS33" s="681">
        <v>61</v>
      </c>
      <c r="GT33" s="681">
        <v>62</v>
      </c>
      <c r="GU33" s="681">
        <v>62</v>
      </c>
      <c r="GV33" s="681">
        <v>63</v>
      </c>
      <c r="GW33" s="681">
        <v>63</v>
      </c>
      <c r="GX33" s="681">
        <v>64</v>
      </c>
      <c r="GY33" s="681">
        <v>65</v>
      </c>
      <c r="GZ33" s="681">
        <v>66</v>
      </c>
      <c r="HA33" s="681">
        <v>67</v>
      </c>
      <c r="HB33" s="681">
        <v>68</v>
      </c>
      <c r="HC33" s="681"/>
      <c r="HD33" s="681">
        <v>125</v>
      </c>
      <c r="HE33" s="681"/>
      <c r="HF33" s="681">
        <v>567</v>
      </c>
      <c r="HG33" s="681">
        <v>131</v>
      </c>
      <c r="HH33" s="714">
        <v>85.1</v>
      </c>
      <c r="HI33" s="714">
        <v>33.3</v>
      </c>
      <c r="HJ33" s="753">
        <v>0.278</v>
      </c>
      <c r="HK33" s="681">
        <v>85</v>
      </c>
      <c r="HL33" s="685">
        <v>1.84</v>
      </c>
      <c r="HM33" s="747">
        <v>3.42</v>
      </c>
      <c r="HN33" s="756" t="s">
        <v>442</v>
      </c>
      <c r="HO33" s="676" t="s">
        <v>494</v>
      </c>
      <c r="HP33" s="714">
        <v>-5</v>
      </c>
      <c r="HQ33" s="753">
        <v>0.879</v>
      </c>
      <c r="HR33" s="753">
        <v>0.939</v>
      </c>
      <c r="HS33" s="753">
        <v>0.983</v>
      </c>
      <c r="HT33" s="753">
        <v>0.993</v>
      </c>
      <c r="HU33" s="753">
        <v>0.999</v>
      </c>
      <c r="HV33" s="753">
        <v>0.999</v>
      </c>
      <c r="HW33" s="753">
        <v>0.999</v>
      </c>
      <c r="HX33" s="753">
        <v>0.999</v>
      </c>
      <c r="HY33" s="753">
        <v>0.999</v>
      </c>
      <c r="HZ33" s="753">
        <v>0.999</v>
      </c>
      <c r="IA33" s="753">
        <v>0.999</v>
      </c>
      <c r="IB33" s="753">
        <v>0.999</v>
      </c>
      <c r="IC33" s="753">
        <v>0.999</v>
      </c>
      <c r="ID33" s="753">
        <v>0.999</v>
      </c>
      <c r="IE33" s="753">
        <v>0.999</v>
      </c>
      <c r="IF33" s="753">
        <v>0.999</v>
      </c>
      <c r="IG33" s="753">
        <v>0.999</v>
      </c>
      <c r="IH33" s="753">
        <v>0.999</v>
      </c>
      <c r="II33" s="753">
        <v>0.999</v>
      </c>
      <c r="IJ33" s="753">
        <v>0.999</v>
      </c>
      <c r="IK33" s="753">
        <v>0.997</v>
      </c>
      <c r="IL33" s="753">
        <v>0.997</v>
      </c>
      <c r="IM33" s="753">
        <v>0.997</v>
      </c>
      <c r="IN33" s="753">
        <v>0.996</v>
      </c>
      <c r="IO33" s="753">
        <v>0.994</v>
      </c>
      <c r="IP33" s="753">
        <v>0.992</v>
      </c>
      <c r="IQ33" s="753">
        <v>0.985</v>
      </c>
      <c r="IR33" s="753">
        <v>0.976</v>
      </c>
      <c r="IS33" s="753">
        <v>0.954</v>
      </c>
      <c r="IT33" s="753">
        <v>0.919</v>
      </c>
      <c r="IU33" s="753">
        <v>0.862</v>
      </c>
      <c r="IV33" s="753">
        <v>0.762</v>
      </c>
      <c r="IW33" s="753">
        <v>0.615</v>
      </c>
      <c r="IX33" s="753">
        <v>0.419</v>
      </c>
      <c r="IY33" s="753">
        <v>0.21</v>
      </c>
      <c r="IZ33" s="754"/>
      <c r="JA33" s="753">
        <v>0.774</v>
      </c>
      <c r="JB33" s="753">
        <v>0.88</v>
      </c>
      <c r="JC33" s="753">
        <v>0.967</v>
      </c>
      <c r="JD33" s="753">
        <v>0.984</v>
      </c>
      <c r="JE33" s="753">
        <v>0.996</v>
      </c>
      <c r="JF33" s="753">
        <v>0.997</v>
      </c>
      <c r="JG33" s="753">
        <v>0.998</v>
      </c>
      <c r="JH33" s="753">
        <v>0.998</v>
      </c>
      <c r="JI33" s="753">
        <v>0.998</v>
      </c>
      <c r="JJ33" s="753">
        <v>0.998</v>
      </c>
      <c r="JK33" s="753">
        <v>0.998</v>
      </c>
      <c r="JL33" s="753">
        <v>0.998</v>
      </c>
      <c r="JM33" s="753">
        <v>0.998</v>
      </c>
      <c r="JN33" s="753">
        <v>0.998</v>
      </c>
      <c r="JO33" s="753">
        <v>0.998</v>
      </c>
      <c r="JP33" s="753">
        <v>0.998</v>
      </c>
      <c r="JQ33" s="753">
        <v>0.998</v>
      </c>
      <c r="JR33" s="753">
        <v>0.998</v>
      </c>
      <c r="JS33" s="753">
        <v>0.998</v>
      </c>
      <c r="JT33" s="753">
        <v>0.998</v>
      </c>
      <c r="JU33" s="646">
        <v>0.995</v>
      </c>
      <c r="JV33" s="646">
        <v>0.995</v>
      </c>
      <c r="JW33" s="753">
        <v>0.995</v>
      </c>
      <c r="JX33" s="753">
        <v>0.995</v>
      </c>
      <c r="JY33" s="753">
        <v>0.99</v>
      </c>
      <c r="JZ33" s="753">
        <v>0.985</v>
      </c>
      <c r="KA33" s="753">
        <v>0.976</v>
      </c>
      <c r="KB33" s="753">
        <v>0.957</v>
      </c>
      <c r="KC33" s="753">
        <v>0.916</v>
      </c>
      <c r="KD33" s="753">
        <v>0.852</v>
      </c>
      <c r="KE33" s="753">
        <v>0.747</v>
      </c>
      <c r="KF33" s="753">
        <v>0.588</v>
      </c>
      <c r="KG33" s="753">
        <v>0.385</v>
      </c>
      <c r="KH33" s="753">
        <v>0.18</v>
      </c>
      <c r="KI33" s="753">
        <v>0.05</v>
      </c>
      <c r="KJ33" s="754"/>
      <c r="KK33" s="765" t="s">
        <v>281</v>
      </c>
      <c r="KL33" s="738">
        <v>18</v>
      </c>
      <c r="KM33" s="738">
        <v>62</v>
      </c>
      <c r="KN33" s="646" t="s">
        <v>339</v>
      </c>
      <c r="KO33" s="646" t="s">
        <v>492</v>
      </c>
      <c r="KP33" s="679">
        <v>603606</v>
      </c>
      <c r="KQ33" s="766" t="s">
        <v>495</v>
      </c>
      <c r="KR33" s="750" t="s">
        <v>496</v>
      </c>
      <c r="KS33" s="769" t="s">
        <v>492</v>
      </c>
      <c r="KT33" s="770" t="s">
        <v>497</v>
      </c>
      <c r="KU33" s="766" t="s">
        <v>498</v>
      </c>
      <c r="KV33" s="750">
        <v>603607</v>
      </c>
      <c r="KW33" s="771" t="s">
        <v>499</v>
      </c>
      <c r="KX33" s="750" t="s">
        <v>496</v>
      </c>
      <c r="KY33" s="769" t="s">
        <v>500</v>
      </c>
      <c r="KZ33" s="770" t="s">
        <v>497</v>
      </c>
    </row>
    <row r="34" s="628" customFormat="1" customHeight="1" spans="1:312">
      <c r="A34" s="682" t="s">
        <v>374</v>
      </c>
      <c r="B34" s="683">
        <v>30</v>
      </c>
      <c r="C34" s="684" t="s">
        <v>501</v>
      </c>
      <c r="D34" s="646">
        <v>617539</v>
      </c>
      <c r="E34" s="685">
        <v>53.91</v>
      </c>
      <c r="F34" s="685">
        <v>53.62</v>
      </c>
      <c r="G34" s="686">
        <v>0.011448</v>
      </c>
      <c r="H34" s="686">
        <v>0.011561</v>
      </c>
      <c r="I34" s="696">
        <v>1.58879</v>
      </c>
      <c r="J34" s="696">
        <v>1.59335</v>
      </c>
      <c r="K34" s="696">
        <v>1.59844</v>
      </c>
      <c r="L34" s="696">
        <v>1.6032</v>
      </c>
      <c r="M34" s="696">
        <v>1.6041</v>
      </c>
      <c r="N34" s="696">
        <v>1.60485</v>
      </c>
      <c r="O34" s="696">
        <v>1.60781</v>
      </c>
      <c r="P34" s="696">
        <v>1.60989</v>
      </c>
      <c r="Q34" s="696">
        <v>1.61181</v>
      </c>
      <c r="R34" s="696">
        <v>1.61375</v>
      </c>
      <c r="S34" s="696">
        <v>1.6143</v>
      </c>
      <c r="T34" s="696">
        <v>1.61481</v>
      </c>
      <c r="U34" s="696">
        <v>1.6171</v>
      </c>
      <c r="V34" s="696">
        <v>1.6172</v>
      </c>
      <c r="W34" s="696">
        <v>1.61993</v>
      </c>
      <c r="X34" s="696">
        <v>1.6252</v>
      </c>
      <c r="Y34" s="696">
        <v>1.62586</v>
      </c>
      <c r="Z34" s="696">
        <v>1.6315</v>
      </c>
      <c r="AA34" s="696">
        <v>1.63676</v>
      </c>
      <c r="AB34" s="696">
        <v>1.64578</v>
      </c>
      <c r="AC34" s="704">
        <v>2.56855897</v>
      </c>
      <c r="AD34" s="705">
        <v>-0.0087429585</v>
      </c>
      <c r="AE34" s="705">
        <v>0.0159604033</v>
      </c>
      <c r="AF34" s="705">
        <v>0.000491034285</v>
      </c>
      <c r="AG34" s="705">
        <v>-2.7733196e-5</v>
      </c>
      <c r="AH34" s="705">
        <v>1.72056496e-6</v>
      </c>
      <c r="AI34" s="710">
        <v>0.3014</v>
      </c>
      <c r="AJ34" s="710">
        <v>0.2385</v>
      </c>
      <c r="AK34" s="710">
        <v>0.5503</v>
      </c>
      <c r="AL34" s="710">
        <v>0.2508</v>
      </c>
      <c r="AM34" s="710">
        <v>0.2361</v>
      </c>
      <c r="AN34" s="710">
        <v>0.4878</v>
      </c>
      <c r="AO34" s="710">
        <v>-0.0001</v>
      </c>
      <c r="AP34" s="710">
        <v>-0.0037</v>
      </c>
      <c r="AQ34" s="710">
        <v>-0.0239</v>
      </c>
      <c r="AR34" s="710">
        <v>-0.0109</v>
      </c>
      <c r="AS34" s="714">
        <v>1.9</v>
      </c>
      <c r="AT34" s="715">
        <v>2.1</v>
      </c>
      <c r="AU34" s="715">
        <v>2.1</v>
      </c>
      <c r="AV34" s="715">
        <v>2.3</v>
      </c>
      <c r="AW34" s="715">
        <v>2.4</v>
      </c>
      <c r="AX34" s="715">
        <v>2.5</v>
      </c>
      <c r="AY34" s="715">
        <v>2.6</v>
      </c>
      <c r="AZ34" s="715">
        <v>2.7</v>
      </c>
      <c r="BA34" s="715">
        <v>2.9</v>
      </c>
      <c r="BB34" s="715">
        <v>3</v>
      </c>
      <c r="BC34" s="715">
        <v>3</v>
      </c>
      <c r="BD34" s="715">
        <v>2.2</v>
      </c>
      <c r="BE34" s="715">
        <v>2.3</v>
      </c>
      <c r="BF34" s="715">
        <v>2.3</v>
      </c>
      <c r="BG34" s="715">
        <v>2.4</v>
      </c>
      <c r="BH34" s="715">
        <v>2.6</v>
      </c>
      <c r="BI34" s="715">
        <v>2.7</v>
      </c>
      <c r="BJ34" s="715">
        <v>2.9</v>
      </c>
      <c r="BK34" s="715">
        <v>3.1</v>
      </c>
      <c r="BL34" s="715">
        <v>3.2</v>
      </c>
      <c r="BM34" s="715">
        <v>3.3</v>
      </c>
      <c r="BN34" s="715">
        <v>3.4</v>
      </c>
      <c r="BO34" s="715">
        <v>2.4</v>
      </c>
      <c r="BP34" s="715">
        <v>2.4</v>
      </c>
      <c r="BQ34" s="715">
        <v>2.5</v>
      </c>
      <c r="BR34" s="715">
        <v>2.5</v>
      </c>
      <c r="BS34" s="715">
        <v>2.7</v>
      </c>
      <c r="BT34" s="715">
        <v>2.9</v>
      </c>
      <c r="BU34" s="715">
        <v>3.1</v>
      </c>
      <c r="BV34" s="715">
        <v>3.3</v>
      </c>
      <c r="BW34" s="715">
        <v>3.4</v>
      </c>
      <c r="BX34" s="715">
        <v>3.5</v>
      </c>
      <c r="BY34" s="715">
        <v>3.6</v>
      </c>
      <c r="BZ34" s="715">
        <v>2.5</v>
      </c>
      <c r="CA34" s="715">
        <v>2.5</v>
      </c>
      <c r="CB34" s="715">
        <v>2.6</v>
      </c>
      <c r="CC34" s="715">
        <v>2.6</v>
      </c>
      <c r="CD34" s="715">
        <v>2.8</v>
      </c>
      <c r="CE34" s="715">
        <v>2.9</v>
      </c>
      <c r="CF34" s="715">
        <v>3.1</v>
      </c>
      <c r="CG34" s="715">
        <v>3.3</v>
      </c>
      <c r="CH34" s="715">
        <v>3.5</v>
      </c>
      <c r="CI34" s="715">
        <v>3.6</v>
      </c>
      <c r="CJ34" s="715">
        <v>3.6</v>
      </c>
      <c r="CK34" s="715">
        <v>2.6</v>
      </c>
      <c r="CL34" s="714">
        <v>2.6</v>
      </c>
      <c r="CM34" s="714">
        <v>2.7</v>
      </c>
      <c r="CN34" s="714">
        <v>2.7</v>
      </c>
      <c r="CO34" s="714">
        <v>2.8</v>
      </c>
      <c r="CP34" s="714">
        <v>3</v>
      </c>
      <c r="CQ34" s="714">
        <v>3.2</v>
      </c>
      <c r="CR34" s="715">
        <v>3.4</v>
      </c>
      <c r="CS34" s="715">
        <v>3.5</v>
      </c>
      <c r="CT34" s="715">
        <v>3.6</v>
      </c>
      <c r="CU34" s="715">
        <v>3.7</v>
      </c>
      <c r="CV34" s="715">
        <v>2.9</v>
      </c>
      <c r="CW34" s="715">
        <v>3</v>
      </c>
      <c r="CX34" s="715">
        <v>3</v>
      </c>
      <c r="CY34" s="715">
        <v>3.1</v>
      </c>
      <c r="CZ34" s="715">
        <v>3.2</v>
      </c>
      <c r="DA34" s="715">
        <v>3.4</v>
      </c>
      <c r="DB34" s="715">
        <v>3.7</v>
      </c>
      <c r="DC34" s="715">
        <v>4</v>
      </c>
      <c r="DD34" s="715">
        <v>4.2</v>
      </c>
      <c r="DE34" s="715">
        <v>4.3</v>
      </c>
      <c r="DF34" s="715">
        <v>4.4</v>
      </c>
      <c r="DG34" s="715">
        <v>3.3</v>
      </c>
      <c r="DH34" s="715">
        <v>3.5</v>
      </c>
      <c r="DI34" s="715">
        <v>3.6</v>
      </c>
      <c r="DJ34" s="715">
        <v>3.6</v>
      </c>
      <c r="DK34" s="715">
        <v>3.8</v>
      </c>
      <c r="DL34" s="715">
        <v>4</v>
      </c>
      <c r="DM34" s="715">
        <v>4.2</v>
      </c>
      <c r="DN34" s="715">
        <v>4.5</v>
      </c>
      <c r="DO34" s="715">
        <v>4.7</v>
      </c>
      <c r="DP34" s="715">
        <v>4.8</v>
      </c>
      <c r="DQ34" s="715">
        <v>5</v>
      </c>
      <c r="DR34" s="715">
        <v>3.7</v>
      </c>
      <c r="DS34" s="715">
        <v>3.8</v>
      </c>
      <c r="DT34" s="715">
        <v>3.9</v>
      </c>
      <c r="DU34" s="715">
        <v>4</v>
      </c>
      <c r="DV34" s="715">
        <v>4.2</v>
      </c>
      <c r="DW34" s="715">
        <v>4.5</v>
      </c>
      <c r="DX34" s="715">
        <v>4.6</v>
      </c>
      <c r="DY34" s="715">
        <v>4.8</v>
      </c>
      <c r="DZ34" s="715">
        <v>5</v>
      </c>
      <c r="EA34" s="715">
        <v>5.1</v>
      </c>
      <c r="EB34" s="715">
        <v>5.3</v>
      </c>
      <c r="EC34" s="715">
        <v>3.8</v>
      </c>
      <c r="ED34" s="715">
        <v>3.9</v>
      </c>
      <c r="EE34" s="715">
        <v>4</v>
      </c>
      <c r="EF34" s="715">
        <v>4.1</v>
      </c>
      <c r="EG34" s="715">
        <v>4.3</v>
      </c>
      <c r="EH34" s="715">
        <v>4.6</v>
      </c>
      <c r="EI34" s="715">
        <v>4.8</v>
      </c>
      <c r="EJ34" s="715">
        <v>4.9</v>
      </c>
      <c r="EK34" s="715">
        <v>5.1</v>
      </c>
      <c r="EL34" s="715">
        <v>5.2</v>
      </c>
      <c r="EM34" s="715">
        <v>5.3</v>
      </c>
      <c r="EN34" s="715">
        <v>4.5</v>
      </c>
      <c r="EO34" s="715">
        <v>4.6</v>
      </c>
      <c r="EP34" s="715">
        <v>4.7</v>
      </c>
      <c r="EQ34" s="715">
        <v>4.9</v>
      </c>
      <c r="ER34" s="715">
        <v>4.9</v>
      </c>
      <c r="ES34" s="715">
        <v>5.1</v>
      </c>
      <c r="ET34" s="715">
        <v>5.3</v>
      </c>
      <c r="EU34" s="715">
        <v>5.5</v>
      </c>
      <c r="EV34" s="715">
        <v>5.6</v>
      </c>
      <c r="EW34" s="715">
        <v>5.7</v>
      </c>
      <c r="EX34" s="715">
        <v>5.8</v>
      </c>
      <c r="EY34" s="715">
        <v>0</v>
      </c>
      <c r="EZ34" s="714">
        <v>0.4</v>
      </c>
      <c r="FA34" s="714">
        <v>0.8</v>
      </c>
      <c r="FB34" s="714">
        <v>1.1</v>
      </c>
      <c r="FC34" s="714">
        <v>1.4</v>
      </c>
      <c r="FD34" s="714">
        <v>1.8</v>
      </c>
      <c r="FE34" s="714">
        <v>2.1</v>
      </c>
      <c r="FF34" s="715">
        <v>2.4</v>
      </c>
      <c r="FG34" s="715">
        <v>2.6</v>
      </c>
      <c r="FH34" s="715">
        <v>2.8</v>
      </c>
      <c r="FI34" s="715">
        <v>3</v>
      </c>
      <c r="FJ34" s="723">
        <v>4.73e-7</v>
      </c>
      <c r="FK34" s="723">
        <v>1.71e-8</v>
      </c>
      <c r="FL34" s="723">
        <v>-2.2e-11</v>
      </c>
      <c r="FM34" s="723">
        <v>8.83e-7</v>
      </c>
      <c r="FN34" s="723">
        <v>2.84e-10</v>
      </c>
      <c r="FO34" s="723">
        <v>0.217</v>
      </c>
      <c r="FP34" s="729">
        <v>1</v>
      </c>
      <c r="FQ34" s="729">
        <v>3</v>
      </c>
      <c r="FR34" s="729">
        <v>1</v>
      </c>
      <c r="FS34" s="729">
        <v>3</v>
      </c>
      <c r="FT34" s="729">
        <v>2</v>
      </c>
      <c r="FU34" s="729">
        <v>2</v>
      </c>
      <c r="FV34" s="681">
        <v>3</v>
      </c>
      <c r="FW34" s="729"/>
      <c r="FX34" s="729"/>
      <c r="FY34" s="729"/>
      <c r="FZ34" s="742">
        <v>555</v>
      </c>
      <c r="GA34" s="742">
        <v>592</v>
      </c>
      <c r="GB34" s="681">
        <v>501</v>
      </c>
      <c r="GC34" s="681">
        <v>535</v>
      </c>
      <c r="GD34" s="747">
        <v>0.85</v>
      </c>
      <c r="GE34" s="729"/>
      <c r="GF34" s="681">
        <v>87</v>
      </c>
      <c r="GG34" s="681">
        <v>99</v>
      </c>
      <c r="GH34" s="681">
        <v>77</v>
      </c>
      <c r="GI34" s="681">
        <v>79</v>
      </c>
      <c r="GJ34" s="681">
        <v>81</v>
      </c>
      <c r="GK34" s="681">
        <v>82</v>
      </c>
      <c r="GL34" s="681">
        <v>82</v>
      </c>
      <c r="GM34" s="681">
        <v>83</v>
      </c>
      <c r="GN34" s="681">
        <v>84</v>
      </c>
      <c r="GO34" s="681">
        <v>85</v>
      </c>
      <c r="GP34" s="681">
        <v>85</v>
      </c>
      <c r="GQ34" s="681">
        <v>86</v>
      </c>
      <c r="GR34" s="681">
        <v>86</v>
      </c>
      <c r="GS34" s="681">
        <v>87</v>
      </c>
      <c r="GT34" s="681">
        <v>88</v>
      </c>
      <c r="GU34" s="681">
        <v>89</v>
      </c>
      <c r="GV34" s="681">
        <v>91</v>
      </c>
      <c r="GW34" s="681">
        <v>92</v>
      </c>
      <c r="GX34" s="681">
        <v>93</v>
      </c>
      <c r="GY34" s="681">
        <v>93</v>
      </c>
      <c r="GZ34" s="681">
        <v>95</v>
      </c>
      <c r="HA34" s="681">
        <v>97</v>
      </c>
      <c r="HB34" s="681">
        <v>98</v>
      </c>
      <c r="HC34" s="681"/>
      <c r="HD34" s="681">
        <v>90</v>
      </c>
      <c r="HE34" s="681"/>
      <c r="HF34" s="681">
        <v>525</v>
      </c>
      <c r="HG34" s="681">
        <v>158</v>
      </c>
      <c r="HH34" s="714">
        <v>76.6</v>
      </c>
      <c r="HI34" s="714">
        <v>30.9</v>
      </c>
      <c r="HJ34" s="753">
        <v>0.241</v>
      </c>
      <c r="HK34" s="681">
        <v>57</v>
      </c>
      <c r="HL34" s="685">
        <v>2.06</v>
      </c>
      <c r="HM34" s="747">
        <v>3.6</v>
      </c>
      <c r="HN34" s="729" t="s">
        <v>502</v>
      </c>
      <c r="HO34" s="729" t="s">
        <v>503</v>
      </c>
      <c r="HP34" s="714">
        <v>-11.8</v>
      </c>
      <c r="HQ34" s="753">
        <v>0.911</v>
      </c>
      <c r="HR34" s="753">
        <v>0.957</v>
      </c>
      <c r="HS34" s="753">
        <v>0.987</v>
      </c>
      <c r="HT34" s="753">
        <v>0.995</v>
      </c>
      <c r="HU34" s="753">
        <v>0.999</v>
      </c>
      <c r="HV34" s="753">
        <v>0.999</v>
      </c>
      <c r="HW34" s="753">
        <v>0.999</v>
      </c>
      <c r="HX34" s="753">
        <v>0.999</v>
      </c>
      <c r="HY34" s="753">
        <v>0.999</v>
      </c>
      <c r="HZ34" s="753">
        <v>0.999</v>
      </c>
      <c r="IA34" s="753">
        <v>0.999</v>
      </c>
      <c r="IB34" s="753">
        <v>0.999</v>
      </c>
      <c r="IC34" s="753">
        <v>0.999</v>
      </c>
      <c r="ID34" s="753">
        <v>0.999</v>
      </c>
      <c r="IE34" s="753">
        <v>0.999</v>
      </c>
      <c r="IF34" s="753">
        <v>0.999</v>
      </c>
      <c r="IG34" s="753">
        <v>0.999</v>
      </c>
      <c r="IH34" s="753">
        <v>0.999</v>
      </c>
      <c r="II34" s="753">
        <v>0.999</v>
      </c>
      <c r="IJ34" s="753">
        <v>0.999</v>
      </c>
      <c r="IK34" s="753">
        <v>0.999</v>
      </c>
      <c r="IL34" s="753">
        <v>0.999</v>
      </c>
      <c r="IM34" s="753">
        <v>0.998</v>
      </c>
      <c r="IN34" s="753">
        <v>0.997</v>
      </c>
      <c r="IO34" s="753">
        <v>0.996</v>
      </c>
      <c r="IP34" s="753">
        <v>0.994</v>
      </c>
      <c r="IQ34" s="753">
        <v>0.988</v>
      </c>
      <c r="IR34" s="753">
        <v>0.977</v>
      </c>
      <c r="IS34" s="753">
        <v>0.954</v>
      </c>
      <c r="IT34" s="753">
        <v>0.907</v>
      </c>
      <c r="IU34" s="753">
        <v>0.83</v>
      </c>
      <c r="IV34" s="753">
        <v>0.711</v>
      </c>
      <c r="IW34" s="753">
        <v>0.551</v>
      </c>
      <c r="IX34" s="753">
        <v>0.371</v>
      </c>
      <c r="IY34" s="753">
        <v>0.209</v>
      </c>
      <c r="IZ34" s="754">
        <v>0.093</v>
      </c>
      <c r="JA34" s="753">
        <v>0.83</v>
      </c>
      <c r="JB34" s="753">
        <v>0.916</v>
      </c>
      <c r="JC34" s="753">
        <v>0.974</v>
      </c>
      <c r="JD34" s="753">
        <v>0.99</v>
      </c>
      <c r="JE34" s="753">
        <v>0.998</v>
      </c>
      <c r="JF34" s="753">
        <v>0.998</v>
      </c>
      <c r="JG34" s="753">
        <v>0.998</v>
      </c>
      <c r="JH34" s="753">
        <v>0.998</v>
      </c>
      <c r="JI34" s="753">
        <v>0.998</v>
      </c>
      <c r="JJ34" s="753">
        <v>0.998</v>
      </c>
      <c r="JK34" s="753">
        <v>0.998</v>
      </c>
      <c r="JL34" s="753">
        <v>0.998</v>
      </c>
      <c r="JM34" s="753">
        <v>0.998</v>
      </c>
      <c r="JN34" s="753">
        <v>0.998</v>
      </c>
      <c r="JO34" s="753">
        <v>0.998</v>
      </c>
      <c r="JP34" s="753">
        <v>0.998</v>
      </c>
      <c r="JQ34" s="753">
        <v>0.998</v>
      </c>
      <c r="JR34" s="753">
        <v>0.998</v>
      </c>
      <c r="JS34" s="753">
        <v>0.998</v>
      </c>
      <c r="JT34" s="753">
        <v>0.998</v>
      </c>
      <c r="JU34" s="753">
        <v>0.998</v>
      </c>
      <c r="JV34" s="753">
        <v>0.998</v>
      </c>
      <c r="JW34" s="753">
        <v>0.996</v>
      </c>
      <c r="JX34" s="753">
        <v>0.994</v>
      </c>
      <c r="JY34" s="753">
        <v>0.992</v>
      </c>
      <c r="JZ34" s="753">
        <v>0.989</v>
      </c>
      <c r="KA34" s="753">
        <v>0.976</v>
      </c>
      <c r="KB34" s="753">
        <v>0.952</v>
      </c>
      <c r="KC34" s="753">
        <v>0.905</v>
      </c>
      <c r="KD34" s="753">
        <v>0.821</v>
      </c>
      <c r="KE34" s="753">
        <v>0.689</v>
      </c>
      <c r="KF34" s="753">
        <v>0.508</v>
      </c>
      <c r="KG34" s="753">
        <v>0.307</v>
      </c>
      <c r="KH34" s="753">
        <v>0.141</v>
      </c>
      <c r="KI34" s="753">
        <v>0.046</v>
      </c>
      <c r="KJ34" s="754">
        <v>0.011</v>
      </c>
      <c r="KK34" s="765" t="s">
        <v>281</v>
      </c>
      <c r="KL34" s="738">
        <v>16</v>
      </c>
      <c r="KM34" s="738">
        <v>58</v>
      </c>
      <c r="KN34" s="646" t="s">
        <v>303</v>
      </c>
      <c r="KO34" s="646" t="s">
        <v>501</v>
      </c>
      <c r="KP34" s="646">
        <v>617539</v>
      </c>
      <c r="KQ34" s="766"/>
      <c r="KR34" s="750"/>
      <c r="KS34" s="769" t="s">
        <v>501</v>
      </c>
      <c r="KT34" s="770">
        <v>617539</v>
      </c>
      <c r="KU34" s="766"/>
      <c r="KV34" s="750"/>
      <c r="KW34" s="771" t="s">
        <v>504</v>
      </c>
      <c r="KX34" s="750" t="s">
        <v>505</v>
      </c>
      <c r="KY34" s="769"/>
      <c r="KZ34" s="770"/>
    </row>
    <row r="35" s="628" customFormat="1" customHeight="1" spans="1:312">
      <c r="A35" s="682" t="s">
        <v>300</v>
      </c>
      <c r="B35" s="683">
        <v>31</v>
      </c>
      <c r="C35" s="684" t="s">
        <v>506</v>
      </c>
      <c r="D35" s="680">
        <v>623581</v>
      </c>
      <c r="E35" s="685">
        <v>58.12</v>
      </c>
      <c r="F35" s="685">
        <v>57.87</v>
      </c>
      <c r="G35" s="686">
        <v>0.010719</v>
      </c>
      <c r="H35" s="686">
        <v>0.010809</v>
      </c>
      <c r="I35" s="696">
        <v>1.59235</v>
      </c>
      <c r="J35" s="696">
        <v>1.59795</v>
      </c>
      <c r="K35" s="696">
        <v>1.60402</v>
      </c>
      <c r="L35" s="696">
        <v>1.60931</v>
      </c>
      <c r="M35" s="696">
        <v>1.61026</v>
      </c>
      <c r="N35" s="696">
        <v>1.61103</v>
      </c>
      <c r="O35" s="696">
        <v>1.61401</v>
      </c>
      <c r="P35" s="696">
        <v>1.61603</v>
      </c>
      <c r="Q35" s="697">
        <v>1.61787</v>
      </c>
      <c r="R35" s="697">
        <v>1.61973</v>
      </c>
      <c r="S35" s="697">
        <v>1.62025</v>
      </c>
      <c r="T35" s="701">
        <v>1.62074</v>
      </c>
      <c r="U35" s="697">
        <v>1.6229</v>
      </c>
      <c r="V35" s="697">
        <v>1.62299</v>
      </c>
      <c r="W35" s="697">
        <v>1.62555</v>
      </c>
      <c r="X35" s="697">
        <v>1.63045</v>
      </c>
      <c r="Y35" s="697">
        <v>1.63106</v>
      </c>
      <c r="Z35" s="697">
        <v>1.63629</v>
      </c>
      <c r="AA35" s="697">
        <v>1.64113</v>
      </c>
      <c r="AB35" s="697">
        <v>1.64946</v>
      </c>
      <c r="AC35" s="704">
        <v>2.59254654</v>
      </c>
      <c r="AD35" s="705">
        <v>-0.0110129354</v>
      </c>
      <c r="AE35" s="705">
        <v>0.0138896553</v>
      </c>
      <c r="AF35" s="705">
        <v>0.000821371542</v>
      </c>
      <c r="AG35" s="705">
        <v>-8.84083953e-5</v>
      </c>
      <c r="AH35" s="705">
        <v>5.19951049e-6</v>
      </c>
      <c r="AI35" s="709">
        <v>0.3041</v>
      </c>
      <c r="AJ35" s="709">
        <v>0.2388</v>
      </c>
      <c r="AK35" s="709">
        <v>0.5448</v>
      </c>
      <c r="AL35" s="709">
        <v>0.2535</v>
      </c>
      <c r="AM35" s="709">
        <v>0.2368</v>
      </c>
      <c r="AN35" s="709">
        <v>0.4839</v>
      </c>
      <c r="AO35" s="709">
        <v>-0.001</v>
      </c>
      <c r="AP35" s="709">
        <v>-0.0022</v>
      </c>
      <c r="AQ35" s="709">
        <v>-0.0101</v>
      </c>
      <c r="AR35" s="709">
        <v>-0.0063</v>
      </c>
      <c r="AS35" s="714">
        <v>1.9</v>
      </c>
      <c r="AT35" s="714">
        <v>1.9</v>
      </c>
      <c r="AU35" s="714">
        <v>1.9</v>
      </c>
      <c r="AV35" s="714">
        <v>1.9</v>
      </c>
      <c r="AW35" s="714">
        <v>2</v>
      </c>
      <c r="AX35" s="714">
        <v>2.1</v>
      </c>
      <c r="AY35" s="714">
        <v>2.1</v>
      </c>
      <c r="AZ35" s="714">
        <v>2.3</v>
      </c>
      <c r="BA35" s="714">
        <v>2.4</v>
      </c>
      <c r="BB35" s="714">
        <v>2.4</v>
      </c>
      <c r="BC35" s="714">
        <v>2.5</v>
      </c>
      <c r="BD35" s="714">
        <v>2.1</v>
      </c>
      <c r="BE35" s="714">
        <v>2.1</v>
      </c>
      <c r="BF35" s="714">
        <v>2.1</v>
      </c>
      <c r="BG35" s="714">
        <v>2.1</v>
      </c>
      <c r="BH35" s="714">
        <v>2.2</v>
      </c>
      <c r="BI35" s="714">
        <v>2.3</v>
      </c>
      <c r="BJ35" s="714">
        <v>2.3</v>
      </c>
      <c r="BK35" s="714">
        <v>2.5</v>
      </c>
      <c r="BL35" s="714">
        <v>2.6</v>
      </c>
      <c r="BM35" s="714">
        <v>2.7</v>
      </c>
      <c r="BN35" s="714">
        <v>2.8</v>
      </c>
      <c r="BO35" s="714">
        <v>2.2</v>
      </c>
      <c r="BP35" s="714">
        <v>2.2</v>
      </c>
      <c r="BQ35" s="714">
        <v>2.2</v>
      </c>
      <c r="BR35" s="714">
        <v>2.3</v>
      </c>
      <c r="BS35" s="714">
        <v>2.3</v>
      </c>
      <c r="BT35" s="714">
        <v>2.4</v>
      </c>
      <c r="BU35" s="714">
        <v>2.5</v>
      </c>
      <c r="BV35" s="714">
        <v>2.7</v>
      </c>
      <c r="BW35" s="714">
        <v>2.8</v>
      </c>
      <c r="BX35" s="714">
        <v>2.9</v>
      </c>
      <c r="BY35" s="714">
        <v>3</v>
      </c>
      <c r="BZ35" s="714">
        <v>2.2</v>
      </c>
      <c r="CA35" s="714">
        <v>2.2</v>
      </c>
      <c r="CB35" s="714">
        <v>2.2</v>
      </c>
      <c r="CC35" s="714">
        <v>2.3</v>
      </c>
      <c r="CD35" s="714">
        <v>2.3</v>
      </c>
      <c r="CE35" s="714">
        <v>2.4</v>
      </c>
      <c r="CF35" s="714">
        <v>2.5</v>
      </c>
      <c r="CG35" s="714">
        <v>2.7</v>
      </c>
      <c r="CH35" s="714">
        <v>2.8</v>
      </c>
      <c r="CI35" s="714">
        <v>2.9</v>
      </c>
      <c r="CJ35" s="714">
        <v>3.1</v>
      </c>
      <c r="CK35" s="714">
        <v>2.3</v>
      </c>
      <c r="CL35" s="715">
        <v>2.3</v>
      </c>
      <c r="CM35" s="715">
        <v>2.3</v>
      </c>
      <c r="CN35" s="715">
        <v>2.4</v>
      </c>
      <c r="CO35" s="715">
        <v>2.4</v>
      </c>
      <c r="CP35" s="715">
        <v>2.5</v>
      </c>
      <c r="CQ35" s="715">
        <v>2.6</v>
      </c>
      <c r="CR35" s="714">
        <v>2.7</v>
      </c>
      <c r="CS35" s="714">
        <v>2.8</v>
      </c>
      <c r="CT35" s="714">
        <v>2.9</v>
      </c>
      <c r="CU35" s="714">
        <v>3.1</v>
      </c>
      <c r="CV35" s="714">
        <v>2.4</v>
      </c>
      <c r="CW35" s="715">
        <v>2.4</v>
      </c>
      <c r="CX35" s="715">
        <v>2.4</v>
      </c>
      <c r="CY35" s="715">
        <v>2.4</v>
      </c>
      <c r="CZ35" s="715">
        <v>2.5</v>
      </c>
      <c r="DA35" s="715">
        <v>2.6</v>
      </c>
      <c r="DB35" s="715">
        <v>2.7</v>
      </c>
      <c r="DC35" s="714">
        <v>2.9</v>
      </c>
      <c r="DD35" s="714">
        <v>3.1</v>
      </c>
      <c r="DE35" s="714">
        <v>3.2</v>
      </c>
      <c r="DF35" s="714">
        <v>3.4</v>
      </c>
      <c r="DG35" s="714">
        <v>2.5</v>
      </c>
      <c r="DH35" s="715">
        <v>2.5</v>
      </c>
      <c r="DI35" s="715">
        <v>2.5</v>
      </c>
      <c r="DJ35" s="715">
        <v>2.6</v>
      </c>
      <c r="DK35" s="715">
        <v>2.7</v>
      </c>
      <c r="DL35" s="715">
        <v>2.7</v>
      </c>
      <c r="DM35" s="715">
        <v>2.9</v>
      </c>
      <c r="DN35" s="714">
        <v>3.1</v>
      </c>
      <c r="DO35" s="714">
        <v>3.3</v>
      </c>
      <c r="DP35" s="714">
        <v>3.5</v>
      </c>
      <c r="DQ35" s="714">
        <v>3.6</v>
      </c>
      <c r="DR35" s="714">
        <v>2.8</v>
      </c>
      <c r="DS35" s="715">
        <v>2.8</v>
      </c>
      <c r="DT35" s="715">
        <v>2.8</v>
      </c>
      <c r="DU35" s="715">
        <v>2.9</v>
      </c>
      <c r="DV35" s="715">
        <v>3</v>
      </c>
      <c r="DW35" s="715">
        <v>3.1</v>
      </c>
      <c r="DX35" s="715">
        <v>3.2</v>
      </c>
      <c r="DY35" s="714">
        <v>3.4</v>
      </c>
      <c r="DZ35" s="714">
        <v>3.5</v>
      </c>
      <c r="EA35" s="714">
        <v>3.6</v>
      </c>
      <c r="EB35" s="714">
        <v>3.7</v>
      </c>
      <c r="EC35" s="714">
        <v>2.8</v>
      </c>
      <c r="ED35" s="715">
        <v>2.8</v>
      </c>
      <c r="EE35" s="715">
        <v>2.8</v>
      </c>
      <c r="EF35" s="715">
        <v>2.9</v>
      </c>
      <c r="EG35" s="715">
        <v>3</v>
      </c>
      <c r="EH35" s="715">
        <v>3.1</v>
      </c>
      <c r="EI35" s="715">
        <v>3.2</v>
      </c>
      <c r="EJ35" s="714">
        <v>3.4</v>
      </c>
      <c r="EK35" s="714">
        <v>3.5</v>
      </c>
      <c r="EL35" s="714">
        <v>3.7</v>
      </c>
      <c r="EM35" s="714">
        <v>3.8</v>
      </c>
      <c r="EN35" s="714">
        <v>3.1</v>
      </c>
      <c r="EO35" s="715">
        <v>3.2</v>
      </c>
      <c r="EP35" s="715">
        <v>3.1</v>
      </c>
      <c r="EQ35" s="715">
        <v>3.2</v>
      </c>
      <c r="ER35" s="715">
        <v>3.3</v>
      </c>
      <c r="ES35" s="715">
        <v>3.5</v>
      </c>
      <c r="ET35" s="715">
        <v>3.7</v>
      </c>
      <c r="EU35" s="714">
        <v>3.9</v>
      </c>
      <c r="EV35" s="714">
        <v>4</v>
      </c>
      <c r="EW35" s="714">
        <v>4.2</v>
      </c>
      <c r="EX35" s="714">
        <v>4.3</v>
      </c>
      <c r="EY35" s="714">
        <v>-0.3</v>
      </c>
      <c r="EZ35" s="715">
        <v>0.1</v>
      </c>
      <c r="FA35" s="715">
        <v>0.4</v>
      </c>
      <c r="FB35" s="715">
        <v>0.8</v>
      </c>
      <c r="FC35" s="715">
        <v>1</v>
      </c>
      <c r="FD35" s="715">
        <v>1.3</v>
      </c>
      <c r="FE35" s="715">
        <v>1.5</v>
      </c>
      <c r="FF35" s="714">
        <v>1.7</v>
      </c>
      <c r="FG35" s="714">
        <v>1.9</v>
      </c>
      <c r="FH35" s="714">
        <v>2.1</v>
      </c>
      <c r="FI35" s="714">
        <v>2.4</v>
      </c>
      <c r="FJ35" s="723">
        <v>5.19e-7</v>
      </c>
      <c r="FK35" s="723">
        <v>1.33e-8</v>
      </c>
      <c r="FL35" s="723">
        <v>-1.46e-11</v>
      </c>
      <c r="FM35" s="723">
        <v>4.16e-7</v>
      </c>
      <c r="FN35" s="723">
        <v>4.9e-10</v>
      </c>
      <c r="FO35" s="723">
        <v>0.214</v>
      </c>
      <c r="FP35" s="729">
        <v>3</v>
      </c>
      <c r="FQ35" s="729">
        <v>3</v>
      </c>
      <c r="FR35" s="729">
        <v>2</v>
      </c>
      <c r="FS35" s="729">
        <v>4</v>
      </c>
      <c r="FT35" s="729">
        <v>2</v>
      </c>
      <c r="FU35" s="729">
        <v>2</v>
      </c>
      <c r="FV35" s="681">
        <v>2</v>
      </c>
      <c r="FW35" s="729"/>
      <c r="FX35" s="729"/>
      <c r="FY35" s="729"/>
      <c r="FZ35" s="742">
        <v>664</v>
      </c>
      <c r="GA35" s="742">
        <v>706</v>
      </c>
      <c r="GB35" s="681">
        <v>605</v>
      </c>
      <c r="GC35" s="681">
        <v>651</v>
      </c>
      <c r="GD35" s="747">
        <v>0.76</v>
      </c>
      <c r="GE35" s="729"/>
      <c r="GF35" s="681">
        <v>67</v>
      </c>
      <c r="GG35" s="681">
        <v>79</v>
      </c>
      <c r="GH35" s="681">
        <v>61</v>
      </c>
      <c r="GI35" s="681">
        <v>63</v>
      </c>
      <c r="GJ35" s="681">
        <v>65</v>
      </c>
      <c r="GK35" s="681">
        <v>66</v>
      </c>
      <c r="GL35" s="681">
        <v>66</v>
      </c>
      <c r="GM35" s="681">
        <v>67</v>
      </c>
      <c r="GN35" s="681">
        <v>67</v>
      </c>
      <c r="GO35" s="681">
        <v>68</v>
      </c>
      <c r="GP35" s="681">
        <v>68</v>
      </c>
      <c r="GQ35" s="681">
        <v>69</v>
      </c>
      <c r="GR35" s="681">
        <v>69</v>
      </c>
      <c r="GS35" s="681">
        <v>70</v>
      </c>
      <c r="GT35" s="681">
        <v>70</v>
      </c>
      <c r="GU35" s="681">
        <v>70</v>
      </c>
      <c r="GV35" s="681">
        <v>71</v>
      </c>
      <c r="GW35" s="681">
        <v>71</v>
      </c>
      <c r="GX35" s="681">
        <v>72</v>
      </c>
      <c r="GY35" s="681">
        <v>73</v>
      </c>
      <c r="GZ35" s="681">
        <v>74</v>
      </c>
      <c r="HA35" s="681">
        <v>75</v>
      </c>
      <c r="HB35" s="681">
        <v>76</v>
      </c>
      <c r="HC35" s="681"/>
      <c r="HD35" s="681">
        <v>130</v>
      </c>
      <c r="HE35" s="681"/>
      <c r="HF35" s="681">
        <v>551</v>
      </c>
      <c r="HG35" s="681">
        <v>138</v>
      </c>
      <c r="HH35" s="714">
        <v>85.3</v>
      </c>
      <c r="HI35" s="714">
        <v>33.3</v>
      </c>
      <c r="HJ35" s="753">
        <v>0.279</v>
      </c>
      <c r="HK35" s="681">
        <v>87</v>
      </c>
      <c r="HL35" s="685">
        <v>1.81</v>
      </c>
      <c r="HM35" s="747">
        <v>3.61</v>
      </c>
      <c r="HN35" s="729" t="s">
        <v>470</v>
      </c>
      <c r="HO35" s="729" t="s">
        <v>507</v>
      </c>
      <c r="HP35" s="714">
        <v>-0.8</v>
      </c>
      <c r="HQ35" s="753">
        <v>0.882</v>
      </c>
      <c r="HR35" s="753">
        <v>0.948</v>
      </c>
      <c r="HS35" s="753">
        <v>0.98</v>
      </c>
      <c r="HT35" s="753">
        <v>0.988</v>
      </c>
      <c r="HU35" s="753">
        <v>0.999</v>
      </c>
      <c r="HV35" s="753">
        <v>0.999</v>
      </c>
      <c r="HW35" s="753">
        <v>0.999</v>
      </c>
      <c r="HX35" s="753">
        <v>0.999</v>
      </c>
      <c r="HY35" s="753">
        <v>0.999</v>
      </c>
      <c r="HZ35" s="753">
        <v>0.999</v>
      </c>
      <c r="IA35" s="753">
        <v>0.999</v>
      </c>
      <c r="IB35" s="753">
        <v>0.999</v>
      </c>
      <c r="IC35" s="753">
        <v>0.999</v>
      </c>
      <c r="ID35" s="753">
        <v>0.999</v>
      </c>
      <c r="IE35" s="753">
        <v>0.999</v>
      </c>
      <c r="IF35" s="753">
        <v>0.999</v>
      </c>
      <c r="IG35" s="753">
        <v>0.999</v>
      </c>
      <c r="IH35" s="753">
        <v>0.999</v>
      </c>
      <c r="II35" s="753">
        <v>0.999</v>
      </c>
      <c r="IJ35" s="753">
        <v>0.997</v>
      </c>
      <c r="IK35" s="753">
        <v>0.996</v>
      </c>
      <c r="IL35" s="753">
        <v>0.996</v>
      </c>
      <c r="IM35" s="753">
        <v>0.996</v>
      </c>
      <c r="IN35" s="753">
        <v>0.992</v>
      </c>
      <c r="IO35" s="753">
        <v>0.988</v>
      </c>
      <c r="IP35" s="753">
        <v>0.982</v>
      </c>
      <c r="IQ35" s="753">
        <v>0.962</v>
      </c>
      <c r="IR35" s="753">
        <v>0.924</v>
      </c>
      <c r="IS35" s="753">
        <v>0.85</v>
      </c>
      <c r="IT35" s="753">
        <v>0.698</v>
      </c>
      <c r="IU35" s="753">
        <v>0.421</v>
      </c>
      <c r="IV35" s="753">
        <v>0.071</v>
      </c>
      <c r="IW35" s="753"/>
      <c r="IX35" s="753"/>
      <c r="IY35" s="754"/>
      <c r="IZ35" s="754"/>
      <c r="JA35" s="753">
        <v>0.778</v>
      </c>
      <c r="JB35" s="753">
        <v>0.899</v>
      </c>
      <c r="JC35" s="753">
        <v>0.96</v>
      </c>
      <c r="JD35" s="753">
        <v>0.976</v>
      </c>
      <c r="JE35" s="753">
        <v>0.998</v>
      </c>
      <c r="JF35" s="753">
        <v>0.998</v>
      </c>
      <c r="JG35" s="753">
        <v>0.998</v>
      </c>
      <c r="JH35" s="753">
        <v>0.998</v>
      </c>
      <c r="JI35" s="753">
        <v>0.998</v>
      </c>
      <c r="JJ35" s="753">
        <v>0.998</v>
      </c>
      <c r="JK35" s="753">
        <v>0.998</v>
      </c>
      <c r="JL35" s="753">
        <v>0.998</v>
      </c>
      <c r="JM35" s="753">
        <v>0.998</v>
      </c>
      <c r="JN35" s="753">
        <v>0.998</v>
      </c>
      <c r="JO35" s="753">
        <v>0.998</v>
      </c>
      <c r="JP35" s="753">
        <v>0.998</v>
      </c>
      <c r="JQ35" s="753">
        <v>0.998</v>
      </c>
      <c r="JR35" s="753">
        <v>0.998</v>
      </c>
      <c r="JS35" s="753">
        <v>0.998</v>
      </c>
      <c r="JT35" s="753">
        <v>0.995</v>
      </c>
      <c r="JU35" s="753">
        <v>0.994</v>
      </c>
      <c r="JV35" s="753">
        <v>0.992</v>
      </c>
      <c r="JW35" s="753">
        <v>0.992</v>
      </c>
      <c r="JX35" s="753">
        <v>0.985</v>
      </c>
      <c r="JY35" s="753">
        <v>0.976</v>
      </c>
      <c r="JZ35" s="753">
        <v>0.965</v>
      </c>
      <c r="KA35" s="753">
        <v>0.926</v>
      </c>
      <c r="KB35" s="753">
        <v>0.854</v>
      </c>
      <c r="KC35" s="753">
        <v>0.723</v>
      </c>
      <c r="KD35" s="753">
        <v>0.487</v>
      </c>
      <c r="KE35" s="753">
        <v>0.177</v>
      </c>
      <c r="KF35" s="753">
        <v>0.005</v>
      </c>
      <c r="KG35" s="753"/>
      <c r="KH35" s="753"/>
      <c r="KI35" s="754"/>
      <c r="KJ35" s="754"/>
      <c r="KK35" s="765" t="s">
        <v>281</v>
      </c>
      <c r="KL35" s="738">
        <v>20</v>
      </c>
      <c r="KM35" s="738">
        <v>72</v>
      </c>
      <c r="KN35" s="646" t="s">
        <v>339</v>
      </c>
      <c r="KO35" s="646" t="s">
        <v>506</v>
      </c>
      <c r="KP35" s="680">
        <v>623581</v>
      </c>
      <c r="KQ35" s="766" t="s">
        <v>508</v>
      </c>
      <c r="KR35" s="750" t="s">
        <v>509</v>
      </c>
      <c r="KS35" s="769" t="s">
        <v>506</v>
      </c>
      <c r="KT35" s="770" t="s">
        <v>510</v>
      </c>
      <c r="KU35" s="766" t="s">
        <v>511</v>
      </c>
      <c r="KV35" s="750">
        <v>623581</v>
      </c>
      <c r="KW35" s="771" t="s">
        <v>512</v>
      </c>
      <c r="KX35" s="750" t="s">
        <v>510</v>
      </c>
      <c r="KY35" s="769" t="s">
        <v>513</v>
      </c>
      <c r="KZ35" s="770" t="s">
        <v>514</v>
      </c>
    </row>
    <row r="36" s="628" customFormat="1" customHeight="1" spans="1:312">
      <c r="A36" s="682" t="s">
        <v>374</v>
      </c>
      <c r="B36" s="683">
        <v>32</v>
      </c>
      <c r="C36" s="684" t="s">
        <v>515</v>
      </c>
      <c r="D36" s="680">
        <v>607567</v>
      </c>
      <c r="E36" s="685">
        <v>56.65</v>
      </c>
      <c r="F36" s="685">
        <v>56.38</v>
      </c>
      <c r="G36" s="686">
        <v>0.010721</v>
      </c>
      <c r="H36" s="686">
        <v>0.010819</v>
      </c>
      <c r="I36" s="696">
        <v>1.57933</v>
      </c>
      <c r="J36" s="696">
        <v>1.58405</v>
      </c>
      <c r="K36" s="696">
        <v>1.58926</v>
      </c>
      <c r="L36" s="696">
        <v>1.59403</v>
      </c>
      <c r="M36" s="696">
        <v>1.59491</v>
      </c>
      <c r="N36" s="696">
        <v>1.59564</v>
      </c>
      <c r="O36" s="696">
        <v>1.5985</v>
      </c>
      <c r="P36" s="696">
        <v>1.60048</v>
      </c>
      <c r="Q36" s="697">
        <v>1.6023</v>
      </c>
      <c r="R36" s="697">
        <v>1.60414</v>
      </c>
      <c r="S36" s="697">
        <v>1.60465</v>
      </c>
      <c r="T36" s="701">
        <v>1.60513</v>
      </c>
      <c r="U36" s="697">
        <v>1.60729</v>
      </c>
      <c r="V36" s="697">
        <v>1.60738</v>
      </c>
      <c r="W36" s="697">
        <v>1.60994</v>
      </c>
      <c r="X36" s="697">
        <v>1.61486</v>
      </c>
      <c r="Y36" s="697">
        <v>1.61547</v>
      </c>
      <c r="Z36" s="697">
        <v>1.62073</v>
      </c>
      <c r="AA36" s="697">
        <v>1.62562</v>
      </c>
      <c r="AB36" s="697">
        <v>1.63393</v>
      </c>
      <c r="AC36" s="704">
        <v>2.54047355</v>
      </c>
      <c r="AD36" s="705">
        <v>-0.00905535161</v>
      </c>
      <c r="AE36" s="705">
        <v>0.0149621725</v>
      </c>
      <c r="AF36" s="705">
        <v>0.000392388778</v>
      </c>
      <c r="AG36" s="705">
        <v>-1.515438e-5</v>
      </c>
      <c r="AH36" s="705">
        <v>7.76341926e-7</v>
      </c>
      <c r="AI36" s="709">
        <v>0.3022</v>
      </c>
      <c r="AJ36" s="709">
        <v>0.2388</v>
      </c>
      <c r="AK36" s="709">
        <v>0.5475</v>
      </c>
      <c r="AL36" s="709">
        <v>0.2523</v>
      </c>
      <c r="AM36" s="709">
        <v>0.2366</v>
      </c>
      <c r="AN36" s="709">
        <v>0.4862</v>
      </c>
      <c r="AO36" s="709">
        <v>0</v>
      </c>
      <c r="AP36" s="709">
        <v>-0.002</v>
      </c>
      <c r="AQ36" s="709">
        <v>-0.0218</v>
      </c>
      <c r="AR36" s="709">
        <v>-0.0103</v>
      </c>
      <c r="AS36" s="714">
        <v>0.9</v>
      </c>
      <c r="AT36" s="714">
        <v>0.9</v>
      </c>
      <c r="AU36" s="714">
        <v>0.9</v>
      </c>
      <c r="AV36" s="714">
        <v>0.8</v>
      </c>
      <c r="AW36" s="714">
        <v>0.8</v>
      </c>
      <c r="AX36" s="714">
        <v>0.9</v>
      </c>
      <c r="AY36" s="714">
        <v>0.9</v>
      </c>
      <c r="AZ36" s="714">
        <v>1</v>
      </c>
      <c r="BA36" s="714">
        <v>1.1</v>
      </c>
      <c r="BB36" s="714">
        <v>1.3</v>
      </c>
      <c r="BC36" s="714">
        <v>1.3</v>
      </c>
      <c r="BD36" s="714">
        <v>1.1</v>
      </c>
      <c r="BE36" s="714">
        <v>1.1</v>
      </c>
      <c r="BF36" s="714">
        <v>1</v>
      </c>
      <c r="BG36" s="714">
        <v>1</v>
      </c>
      <c r="BH36" s="714">
        <v>1.1</v>
      </c>
      <c r="BI36" s="714">
        <v>1.1</v>
      </c>
      <c r="BJ36" s="714">
        <v>1.2</v>
      </c>
      <c r="BK36" s="714">
        <v>1.3</v>
      </c>
      <c r="BL36" s="714">
        <v>1.4</v>
      </c>
      <c r="BM36" s="714">
        <v>1.4</v>
      </c>
      <c r="BN36" s="714">
        <v>1.5</v>
      </c>
      <c r="BO36" s="714">
        <v>1.2</v>
      </c>
      <c r="BP36" s="714">
        <v>1.2</v>
      </c>
      <c r="BQ36" s="714">
        <v>1.2</v>
      </c>
      <c r="BR36" s="714">
        <v>1.1</v>
      </c>
      <c r="BS36" s="714">
        <v>1.2</v>
      </c>
      <c r="BT36" s="714">
        <v>1.3</v>
      </c>
      <c r="BU36" s="714">
        <v>1.4</v>
      </c>
      <c r="BV36" s="714">
        <v>1.5</v>
      </c>
      <c r="BW36" s="714">
        <v>1.6</v>
      </c>
      <c r="BX36" s="714">
        <v>1.7</v>
      </c>
      <c r="BY36" s="714">
        <v>1.8</v>
      </c>
      <c r="BZ36" s="714">
        <v>1.2</v>
      </c>
      <c r="CA36" s="714">
        <v>1.2</v>
      </c>
      <c r="CB36" s="714">
        <v>1.2</v>
      </c>
      <c r="CC36" s="714">
        <v>1.2</v>
      </c>
      <c r="CD36" s="714">
        <v>1.3</v>
      </c>
      <c r="CE36" s="714">
        <v>1.3</v>
      </c>
      <c r="CF36" s="714">
        <v>1.4</v>
      </c>
      <c r="CG36" s="714">
        <v>1.5</v>
      </c>
      <c r="CH36" s="714">
        <v>1.6</v>
      </c>
      <c r="CI36" s="714">
        <v>1.7</v>
      </c>
      <c r="CJ36" s="714">
        <v>1.8</v>
      </c>
      <c r="CK36" s="714">
        <v>1.3</v>
      </c>
      <c r="CL36" s="714">
        <v>1.3</v>
      </c>
      <c r="CM36" s="714">
        <v>1.2</v>
      </c>
      <c r="CN36" s="714">
        <v>1.2</v>
      </c>
      <c r="CO36" s="714">
        <v>1.3</v>
      </c>
      <c r="CP36" s="714">
        <v>1.3</v>
      </c>
      <c r="CQ36" s="714">
        <v>1.5</v>
      </c>
      <c r="CR36" s="714">
        <v>1.5</v>
      </c>
      <c r="CS36" s="714">
        <v>1.6</v>
      </c>
      <c r="CT36" s="714">
        <v>1.7</v>
      </c>
      <c r="CU36" s="714">
        <v>1.9</v>
      </c>
      <c r="CV36" s="714">
        <v>1.3</v>
      </c>
      <c r="CW36" s="714">
        <v>1.3</v>
      </c>
      <c r="CX36" s="714">
        <v>1.3</v>
      </c>
      <c r="CY36" s="714">
        <v>1.2</v>
      </c>
      <c r="CZ36" s="714">
        <v>1.3</v>
      </c>
      <c r="DA36" s="714">
        <v>1.3</v>
      </c>
      <c r="DB36" s="714">
        <v>1.5</v>
      </c>
      <c r="DC36" s="714">
        <v>1.5</v>
      </c>
      <c r="DD36" s="714">
        <v>1.6</v>
      </c>
      <c r="DE36" s="714">
        <v>1.8</v>
      </c>
      <c r="DF36" s="714">
        <v>1.9</v>
      </c>
      <c r="DG36" s="714">
        <v>1.5</v>
      </c>
      <c r="DH36" s="714">
        <v>1.6</v>
      </c>
      <c r="DI36" s="714">
        <v>1.6</v>
      </c>
      <c r="DJ36" s="714">
        <v>1.6</v>
      </c>
      <c r="DK36" s="714">
        <v>1.7</v>
      </c>
      <c r="DL36" s="714">
        <v>1.7</v>
      </c>
      <c r="DM36" s="714">
        <v>1.9</v>
      </c>
      <c r="DN36" s="714">
        <v>2</v>
      </c>
      <c r="DO36" s="714">
        <v>2.1</v>
      </c>
      <c r="DP36" s="714">
        <v>2.3</v>
      </c>
      <c r="DQ36" s="714">
        <v>2.3</v>
      </c>
      <c r="DR36" s="714">
        <v>1.8</v>
      </c>
      <c r="DS36" s="714">
        <v>1.8</v>
      </c>
      <c r="DT36" s="714">
        <v>1.8</v>
      </c>
      <c r="DU36" s="714">
        <v>1.8</v>
      </c>
      <c r="DV36" s="714">
        <v>1.9</v>
      </c>
      <c r="DW36" s="714">
        <v>1.9</v>
      </c>
      <c r="DX36" s="714">
        <v>2</v>
      </c>
      <c r="DY36" s="714">
        <v>2.1</v>
      </c>
      <c r="DZ36" s="714">
        <v>2.3</v>
      </c>
      <c r="EA36" s="714">
        <v>2.4</v>
      </c>
      <c r="EB36" s="714">
        <v>2.6</v>
      </c>
      <c r="EC36" s="714">
        <v>1.8</v>
      </c>
      <c r="ED36" s="714">
        <v>1.9</v>
      </c>
      <c r="EE36" s="714">
        <v>1.9</v>
      </c>
      <c r="EF36" s="714">
        <v>1.9</v>
      </c>
      <c r="EG36" s="714">
        <v>1.9</v>
      </c>
      <c r="EH36" s="714">
        <v>1.9</v>
      </c>
      <c r="EI36" s="714">
        <v>2.1</v>
      </c>
      <c r="EJ36" s="714">
        <v>2.1</v>
      </c>
      <c r="EK36" s="714">
        <v>2.4</v>
      </c>
      <c r="EL36" s="714">
        <v>2.5</v>
      </c>
      <c r="EM36" s="714">
        <v>2.7</v>
      </c>
      <c r="EN36" s="714">
        <v>2.2</v>
      </c>
      <c r="EO36" s="714">
        <v>2.3</v>
      </c>
      <c r="EP36" s="714">
        <v>2.3</v>
      </c>
      <c r="EQ36" s="714">
        <v>2.3</v>
      </c>
      <c r="ER36" s="714">
        <v>2.3</v>
      </c>
      <c r="ES36" s="714">
        <v>2.4</v>
      </c>
      <c r="ET36" s="714">
        <v>2.5</v>
      </c>
      <c r="EU36" s="714">
        <v>2.7</v>
      </c>
      <c r="EV36" s="714">
        <v>2.8</v>
      </c>
      <c r="EW36" s="714">
        <v>3</v>
      </c>
      <c r="EX36" s="714">
        <v>3.1</v>
      </c>
      <c r="EY36" s="714">
        <v>-1.3</v>
      </c>
      <c r="EZ36" s="714">
        <v>-0.9</v>
      </c>
      <c r="FA36" s="714">
        <v>-0.7</v>
      </c>
      <c r="FB36" s="714">
        <v>-0.4</v>
      </c>
      <c r="FC36" s="714">
        <v>-0.1</v>
      </c>
      <c r="FD36" s="714">
        <v>0.1</v>
      </c>
      <c r="FE36" s="714">
        <v>0.4</v>
      </c>
      <c r="FF36" s="714">
        <v>0.5</v>
      </c>
      <c r="FG36" s="714">
        <v>0.7</v>
      </c>
      <c r="FH36" s="714">
        <v>0.9</v>
      </c>
      <c r="FI36" s="714">
        <v>1.2</v>
      </c>
      <c r="FJ36" s="725">
        <v>-1.74e-6</v>
      </c>
      <c r="FK36" s="725">
        <v>1.22e-8</v>
      </c>
      <c r="FL36" s="725">
        <v>-1.24e-11</v>
      </c>
      <c r="FM36" s="725">
        <v>4.12e-7</v>
      </c>
      <c r="FN36" s="725">
        <v>3.48e-10</v>
      </c>
      <c r="FO36" s="725">
        <v>0.252</v>
      </c>
      <c r="FP36" s="729">
        <v>1</v>
      </c>
      <c r="FQ36" s="729">
        <v>3</v>
      </c>
      <c r="FR36" s="729">
        <v>1</v>
      </c>
      <c r="FS36" s="729">
        <v>3</v>
      </c>
      <c r="FT36" s="729">
        <v>2</v>
      </c>
      <c r="FU36" s="729">
        <v>2</v>
      </c>
      <c r="FV36" s="681" t="s">
        <v>516</v>
      </c>
      <c r="FW36" s="729"/>
      <c r="FX36" s="729"/>
      <c r="FY36" s="729"/>
      <c r="FZ36" s="742">
        <v>594</v>
      </c>
      <c r="GA36" s="742">
        <v>637</v>
      </c>
      <c r="GB36" s="681">
        <v>532</v>
      </c>
      <c r="GC36" s="681">
        <v>570</v>
      </c>
      <c r="GD36" s="747">
        <v>0.87</v>
      </c>
      <c r="GE36" s="729"/>
      <c r="GF36" s="681">
        <v>80</v>
      </c>
      <c r="GG36" s="681">
        <v>95</v>
      </c>
      <c r="GH36" s="681">
        <v>72</v>
      </c>
      <c r="GI36" s="681">
        <v>75</v>
      </c>
      <c r="GJ36" s="681">
        <v>77</v>
      </c>
      <c r="GK36" s="681">
        <v>78</v>
      </c>
      <c r="GL36" s="681">
        <v>79</v>
      </c>
      <c r="GM36" s="681">
        <v>80</v>
      </c>
      <c r="GN36" s="681">
        <v>80</v>
      </c>
      <c r="GO36" s="681">
        <v>81</v>
      </c>
      <c r="GP36" s="681">
        <v>82</v>
      </c>
      <c r="GQ36" s="681">
        <v>82</v>
      </c>
      <c r="GR36" s="681">
        <v>83</v>
      </c>
      <c r="GS36" s="681">
        <v>84</v>
      </c>
      <c r="GT36" s="681">
        <v>85</v>
      </c>
      <c r="GU36" s="681">
        <v>86</v>
      </c>
      <c r="GV36" s="681">
        <v>89</v>
      </c>
      <c r="GW36" s="681">
        <v>90</v>
      </c>
      <c r="GX36" s="681">
        <v>91</v>
      </c>
      <c r="GY36" s="681">
        <v>92</v>
      </c>
      <c r="GZ36" s="681">
        <v>94</v>
      </c>
      <c r="HA36" s="681">
        <v>96</v>
      </c>
      <c r="HB36" s="681">
        <v>97</v>
      </c>
      <c r="HC36" s="681"/>
      <c r="HD36" s="750">
        <v>100</v>
      </c>
      <c r="HE36" s="681"/>
      <c r="HF36" s="681">
        <v>489</v>
      </c>
      <c r="HG36" s="681">
        <v>210</v>
      </c>
      <c r="HH36" s="714">
        <v>83.7</v>
      </c>
      <c r="HI36" s="714">
        <v>31.5</v>
      </c>
      <c r="HJ36" s="753">
        <v>0.328</v>
      </c>
      <c r="HK36" s="681">
        <v>84</v>
      </c>
      <c r="HL36" s="685">
        <v>1.77</v>
      </c>
      <c r="HM36" s="747">
        <v>3.47</v>
      </c>
      <c r="HN36" s="729" t="s">
        <v>442</v>
      </c>
      <c r="HO36" s="729" t="s">
        <v>517</v>
      </c>
      <c r="HP36" s="714">
        <v>-10</v>
      </c>
      <c r="HQ36" s="753">
        <v>0.917</v>
      </c>
      <c r="HR36" s="753">
        <v>0.952</v>
      </c>
      <c r="HS36" s="753">
        <v>0.983</v>
      </c>
      <c r="HT36" s="753">
        <v>0.993</v>
      </c>
      <c r="HU36" s="753">
        <v>0.999</v>
      </c>
      <c r="HV36" s="753">
        <v>0.999</v>
      </c>
      <c r="HW36" s="753">
        <v>0.999</v>
      </c>
      <c r="HX36" s="753">
        <v>0.999</v>
      </c>
      <c r="HY36" s="753">
        <v>0.999</v>
      </c>
      <c r="HZ36" s="753">
        <v>0.999</v>
      </c>
      <c r="IA36" s="753">
        <v>0.999</v>
      </c>
      <c r="IB36" s="753">
        <v>0.999</v>
      </c>
      <c r="IC36" s="753">
        <v>0.999</v>
      </c>
      <c r="ID36" s="753">
        <v>0.999</v>
      </c>
      <c r="IE36" s="753">
        <v>0.999</v>
      </c>
      <c r="IF36" s="753">
        <v>0.999</v>
      </c>
      <c r="IG36" s="753">
        <v>0.999</v>
      </c>
      <c r="IH36" s="753">
        <v>0.999</v>
      </c>
      <c r="II36" s="753">
        <v>0.999</v>
      </c>
      <c r="IJ36" s="753">
        <v>0.999</v>
      </c>
      <c r="IK36" s="753">
        <v>0.999</v>
      </c>
      <c r="IL36" s="753">
        <v>0.999</v>
      </c>
      <c r="IM36" s="753">
        <v>0.997</v>
      </c>
      <c r="IN36" s="753">
        <v>0.995</v>
      </c>
      <c r="IO36" s="753">
        <v>0.992</v>
      </c>
      <c r="IP36" s="753">
        <v>0.99</v>
      </c>
      <c r="IQ36" s="753">
        <v>0.983</v>
      </c>
      <c r="IR36" s="753">
        <v>0.971</v>
      </c>
      <c r="IS36" s="753">
        <v>0.948</v>
      </c>
      <c r="IT36" s="753">
        <v>0.903</v>
      </c>
      <c r="IU36" s="753">
        <v>0.824</v>
      </c>
      <c r="IV36" s="753">
        <v>0.698</v>
      </c>
      <c r="IW36" s="753">
        <v>0.515</v>
      </c>
      <c r="IX36" s="753">
        <v>0.312</v>
      </c>
      <c r="IY36" s="753">
        <v>0.145</v>
      </c>
      <c r="IZ36" s="754"/>
      <c r="JA36" s="753">
        <v>0.841</v>
      </c>
      <c r="JB36" s="753">
        <v>0.904</v>
      </c>
      <c r="JC36" s="753">
        <v>0.966</v>
      </c>
      <c r="JD36" s="753">
        <v>0.986</v>
      </c>
      <c r="JE36" s="753">
        <v>0.998</v>
      </c>
      <c r="JF36" s="753">
        <v>0.998</v>
      </c>
      <c r="JG36" s="753">
        <v>0.998</v>
      </c>
      <c r="JH36" s="753">
        <v>0.998</v>
      </c>
      <c r="JI36" s="753">
        <v>0.998</v>
      </c>
      <c r="JJ36" s="753">
        <v>0.998</v>
      </c>
      <c r="JK36" s="753">
        <v>0.998</v>
      </c>
      <c r="JL36" s="753">
        <v>0.998</v>
      </c>
      <c r="JM36" s="753">
        <v>0.998</v>
      </c>
      <c r="JN36" s="753">
        <v>0.998</v>
      </c>
      <c r="JO36" s="753">
        <v>0.998</v>
      </c>
      <c r="JP36" s="753">
        <v>0.998</v>
      </c>
      <c r="JQ36" s="753">
        <v>0.998</v>
      </c>
      <c r="JR36" s="753">
        <v>0.998</v>
      </c>
      <c r="JS36" s="753">
        <v>0.998</v>
      </c>
      <c r="JT36" s="753">
        <v>0.998</v>
      </c>
      <c r="JU36" s="753">
        <v>0.998</v>
      </c>
      <c r="JV36" s="753">
        <v>0.998</v>
      </c>
      <c r="JW36" s="753">
        <v>0.995</v>
      </c>
      <c r="JX36" s="753">
        <v>0.991</v>
      </c>
      <c r="JY36" s="753">
        <v>0.986</v>
      </c>
      <c r="JZ36" s="753">
        <v>0.981</v>
      </c>
      <c r="KA36" s="753">
        <v>0.968</v>
      </c>
      <c r="KB36" s="753">
        <v>0.944</v>
      </c>
      <c r="KC36" s="753">
        <v>0.898</v>
      </c>
      <c r="KD36" s="753">
        <v>0.813</v>
      </c>
      <c r="KE36" s="753">
        <v>0.673</v>
      </c>
      <c r="KF36" s="753">
        <v>0.482</v>
      </c>
      <c r="KG36" s="753">
        <v>0.262</v>
      </c>
      <c r="KH36" s="753">
        <v>0.095</v>
      </c>
      <c r="KI36" s="753">
        <v>0.021</v>
      </c>
      <c r="KJ36" s="754"/>
      <c r="KK36" s="765" t="s">
        <v>281</v>
      </c>
      <c r="KL36" s="738">
        <v>25</v>
      </c>
      <c r="KM36" s="738">
        <v>87</v>
      </c>
      <c r="KN36" s="646" t="s">
        <v>339</v>
      </c>
      <c r="KO36" s="646" t="s">
        <v>515</v>
      </c>
      <c r="KP36" s="680">
        <v>607567</v>
      </c>
      <c r="KQ36" s="766" t="s">
        <v>518</v>
      </c>
      <c r="KR36" s="750" t="s">
        <v>519</v>
      </c>
      <c r="KS36" s="769" t="s">
        <v>515</v>
      </c>
      <c r="KT36" s="770" t="s">
        <v>520</v>
      </c>
      <c r="KU36" s="766" t="s">
        <v>521</v>
      </c>
      <c r="KV36" s="750">
        <v>607567</v>
      </c>
      <c r="KW36" s="771"/>
      <c r="KX36" s="750"/>
      <c r="KY36" s="769" t="s">
        <v>522</v>
      </c>
      <c r="KZ36" s="770" t="s">
        <v>520</v>
      </c>
    </row>
    <row r="37" s="628" customFormat="1" customHeight="1" spans="1:312">
      <c r="A37" s="682" t="s">
        <v>374</v>
      </c>
      <c r="B37" s="683">
        <v>33</v>
      </c>
      <c r="C37" s="689" t="s">
        <v>523</v>
      </c>
      <c r="D37" s="680">
        <v>660574</v>
      </c>
      <c r="E37" s="685">
        <v>57.35</v>
      </c>
      <c r="F37" s="685">
        <v>57.13</v>
      </c>
      <c r="G37" s="686">
        <v>0.0115</v>
      </c>
      <c r="H37" s="686">
        <v>0.011592</v>
      </c>
      <c r="I37" s="696">
        <v>1.62649</v>
      </c>
      <c r="J37" s="696">
        <v>1.63247</v>
      </c>
      <c r="K37" s="696">
        <v>1.63901</v>
      </c>
      <c r="L37" s="696">
        <v>1.64475</v>
      </c>
      <c r="M37" s="696">
        <v>1.64577</v>
      </c>
      <c r="N37" s="696">
        <v>1.6466</v>
      </c>
      <c r="O37" s="696">
        <v>1.64983</v>
      </c>
      <c r="P37" s="696">
        <v>1.65202</v>
      </c>
      <c r="Q37" s="697">
        <v>1.65403</v>
      </c>
      <c r="R37" s="697">
        <v>1.656</v>
      </c>
      <c r="S37" s="697">
        <v>1.65655</v>
      </c>
      <c r="T37" s="701">
        <v>1.65707</v>
      </c>
      <c r="U37" s="697">
        <v>1.65939</v>
      </c>
      <c r="V37" s="697">
        <v>1.6595</v>
      </c>
      <c r="W37" s="697">
        <v>1.66224</v>
      </c>
      <c r="X37" s="697">
        <v>1.6675</v>
      </c>
      <c r="Y37" s="697">
        <v>1.66814</v>
      </c>
      <c r="Z37" s="697">
        <v>1.67376</v>
      </c>
      <c r="AA37" s="697">
        <v>1.67897</v>
      </c>
      <c r="AB37" s="697">
        <v>1.68783</v>
      </c>
      <c r="AC37" s="704">
        <v>2.7073327</v>
      </c>
      <c r="AD37" s="705">
        <v>-0.0120058561</v>
      </c>
      <c r="AE37" s="705">
        <v>0.0164047722</v>
      </c>
      <c r="AF37" s="705">
        <v>0.000417032662</v>
      </c>
      <c r="AG37" s="705">
        <v>-1.43172608e-5</v>
      </c>
      <c r="AH37" s="705">
        <v>7.78703513e-7</v>
      </c>
      <c r="AI37" s="709">
        <v>0.3043</v>
      </c>
      <c r="AJ37" s="709">
        <v>0.2383</v>
      </c>
      <c r="AK37" s="709">
        <v>0.5443</v>
      </c>
      <c r="AL37" s="709">
        <v>0.2545</v>
      </c>
      <c r="AM37" s="709">
        <v>0.2364</v>
      </c>
      <c r="AN37" s="709">
        <v>0.4848</v>
      </c>
      <c r="AO37" s="709">
        <v>-0.0012</v>
      </c>
      <c r="AP37" s="709">
        <v>-0.004</v>
      </c>
      <c r="AQ37" s="709">
        <v>-0.0006</v>
      </c>
      <c r="AR37" s="709">
        <v>-0.0015</v>
      </c>
      <c r="AS37" s="714">
        <v>1.6</v>
      </c>
      <c r="AT37" s="714">
        <v>1.7</v>
      </c>
      <c r="AU37" s="714">
        <v>1.6</v>
      </c>
      <c r="AV37" s="714">
        <v>1.6</v>
      </c>
      <c r="AW37" s="714">
        <v>1.6</v>
      </c>
      <c r="AX37" s="714">
        <v>1.6</v>
      </c>
      <c r="AY37" s="714">
        <v>1.8</v>
      </c>
      <c r="AZ37" s="714">
        <v>1.9</v>
      </c>
      <c r="BA37" s="714">
        <v>1.9</v>
      </c>
      <c r="BB37" s="714">
        <v>2</v>
      </c>
      <c r="BC37" s="714">
        <v>2.1</v>
      </c>
      <c r="BD37" s="714">
        <v>1.9</v>
      </c>
      <c r="BE37" s="714">
        <v>1.9</v>
      </c>
      <c r="BF37" s="714">
        <v>1.9</v>
      </c>
      <c r="BG37" s="714">
        <v>1.9</v>
      </c>
      <c r="BH37" s="714">
        <v>1.9</v>
      </c>
      <c r="BI37" s="714">
        <v>2</v>
      </c>
      <c r="BJ37" s="714">
        <v>2.1</v>
      </c>
      <c r="BK37" s="714">
        <v>2.1</v>
      </c>
      <c r="BL37" s="714">
        <v>2.2</v>
      </c>
      <c r="BM37" s="714">
        <v>2.3</v>
      </c>
      <c r="BN37" s="714">
        <v>2.4</v>
      </c>
      <c r="BO37" s="714">
        <v>2.1</v>
      </c>
      <c r="BP37" s="714">
        <v>2</v>
      </c>
      <c r="BQ37" s="714">
        <v>2.1</v>
      </c>
      <c r="BR37" s="714">
        <v>2.1</v>
      </c>
      <c r="BS37" s="714">
        <v>2.1</v>
      </c>
      <c r="BT37" s="714">
        <v>2.2</v>
      </c>
      <c r="BU37" s="714">
        <v>2.2</v>
      </c>
      <c r="BV37" s="714">
        <v>2.2</v>
      </c>
      <c r="BW37" s="714">
        <v>2.3</v>
      </c>
      <c r="BX37" s="714">
        <v>2.4</v>
      </c>
      <c r="BY37" s="714">
        <v>2.5</v>
      </c>
      <c r="BZ37" s="714">
        <v>2.1</v>
      </c>
      <c r="CA37" s="714">
        <v>2</v>
      </c>
      <c r="CB37" s="714">
        <v>2.1</v>
      </c>
      <c r="CC37" s="714">
        <v>2.2</v>
      </c>
      <c r="CD37" s="714">
        <v>2.1</v>
      </c>
      <c r="CE37" s="714">
        <v>2.2</v>
      </c>
      <c r="CF37" s="714">
        <v>2.2</v>
      </c>
      <c r="CG37" s="714">
        <v>2.2</v>
      </c>
      <c r="CH37" s="714">
        <v>2.3</v>
      </c>
      <c r="CI37" s="714">
        <v>2.4</v>
      </c>
      <c r="CJ37" s="714">
        <v>2.5</v>
      </c>
      <c r="CK37" s="714">
        <v>2.1</v>
      </c>
      <c r="CL37" s="714">
        <v>2</v>
      </c>
      <c r="CM37" s="714">
        <v>2.1</v>
      </c>
      <c r="CN37" s="714">
        <v>2.2</v>
      </c>
      <c r="CO37" s="714">
        <v>2.1</v>
      </c>
      <c r="CP37" s="714">
        <v>2.2</v>
      </c>
      <c r="CQ37" s="714">
        <v>2.2</v>
      </c>
      <c r="CR37" s="714">
        <v>2.2</v>
      </c>
      <c r="CS37" s="714">
        <v>2.3</v>
      </c>
      <c r="CT37" s="714">
        <v>2.4</v>
      </c>
      <c r="CU37" s="714">
        <v>2.5</v>
      </c>
      <c r="CV37" s="714">
        <v>2.2</v>
      </c>
      <c r="CW37" s="714">
        <v>2.1</v>
      </c>
      <c r="CX37" s="714">
        <v>2.2</v>
      </c>
      <c r="CY37" s="714">
        <v>2.2</v>
      </c>
      <c r="CZ37" s="714">
        <v>2.1</v>
      </c>
      <c r="DA37" s="714">
        <v>2.3</v>
      </c>
      <c r="DB37" s="714">
        <v>2.4</v>
      </c>
      <c r="DC37" s="714">
        <v>2.4</v>
      </c>
      <c r="DD37" s="714">
        <v>2.5</v>
      </c>
      <c r="DE37" s="714">
        <v>2.6</v>
      </c>
      <c r="DF37" s="714">
        <v>2.7</v>
      </c>
      <c r="DG37" s="714">
        <v>2.3</v>
      </c>
      <c r="DH37" s="714">
        <v>2.3</v>
      </c>
      <c r="DI37" s="714">
        <v>2.3</v>
      </c>
      <c r="DJ37" s="714">
        <v>2.3</v>
      </c>
      <c r="DK37" s="714">
        <v>2.4</v>
      </c>
      <c r="DL37" s="714">
        <v>2.4</v>
      </c>
      <c r="DM37" s="714">
        <v>2.5</v>
      </c>
      <c r="DN37" s="714">
        <v>2.5</v>
      </c>
      <c r="DO37" s="714">
        <v>2.6</v>
      </c>
      <c r="DP37" s="714">
        <v>2.7</v>
      </c>
      <c r="DQ37" s="714">
        <v>2.8</v>
      </c>
      <c r="DR37" s="714">
        <v>2.5</v>
      </c>
      <c r="DS37" s="714">
        <v>2.6</v>
      </c>
      <c r="DT37" s="714">
        <v>2.6</v>
      </c>
      <c r="DU37" s="714">
        <v>2.6</v>
      </c>
      <c r="DV37" s="714">
        <v>2.7</v>
      </c>
      <c r="DW37" s="714">
        <v>2.7</v>
      </c>
      <c r="DX37" s="714">
        <v>2.7</v>
      </c>
      <c r="DY37" s="714">
        <v>2.8</v>
      </c>
      <c r="DZ37" s="714">
        <v>2.9</v>
      </c>
      <c r="EA37" s="714">
        <v>3</v>
      </c>
      <c r="EB37" s="714">
        <v>3.1</v>
      </c>
      <c r="EC37" s="714">
        <v>2.6</v>
      </c>
      <c r="ED37" s="714">
        <v>2.7</v>
      </c>
      <c r="EE37" s="714">
        <v>2.7</v>
      </c>
      <c r="EF37" s="714">
        <v>2.7</v>
      </c>
      <c r="EG37" s="714">
        <v>2.8</v>
      </c>
      <c r="EH37" s="714">
        <v>2.8</v>
      </c>
      <c r="EI37" s="714">
        <v>2.9</v>
      </c>
      <c r="EJ37" s="714">
        <v>2.9</v>
      </c>
      <c r="EK37" s="714">
        <v>3</v>
      </c>
      <c r="EL37" s="714">
        <v>3.1</v>
      </c>
      <c r="EM37" s="714">
        <v>3.2</v>
      </c>
      <c r="EN37" s="714">
        <v>3</v>
      </c>
      <c r="EO37" s="714">
        <v>3</v>
      </c>
      <c r="EP37" s="714">
        <v>3</v>
      </c>
      <c r="EQ37" s="714">
        <v>3.1</v>
      </c>
      <c r="ER37" s="714">
        <v>3.1</v>
      </c>
      <c r="ES37" s="714">
        <v>3.2</v>
      </c>
      <c r="ET37" s="714">
        <v>3.3</v>
      </c>
      <c r="EU37" s="714">
        <v>3.4</v>
      </c>
      <c r="EV37" s="714">
        <v>3.5</v>
      </c>
      <c r="EW37" s="714">
        <v>3.6</v>
      </c>
      <c r="EX37" s="714">
        <v>3.7</v>
      </c>
      <c r="EY37" s="714">
        <v>-0.6</v>
      </c>
      <c r="EZ37" s="714">
        <v>-0.2</v>
      </c>
      <c r="FA37" s="714">
        <v>0.2</v>
      </c>
      <c r="FB37" s="714">
        <v>0.5</v>
      </c>
      <c r="FC37" s="714">
        <v>0.7</v>
      </c>
      <c r="FD37" s="714">
        <v>0.9</v>
      </c>
      <c r="FE37" s="714">
        <v>1.1</v>
      </c>
      <c r="FF37" s="714">
        <v>1.2</v>
      </c>
      <c r="FG37" s="714">
        <v>1.4</v>
      </c>
      <c r="FH37" s="714">
        <v>1.6</v>
      </c>
      <c r="FI37" s="714">
        <v>1.8</v>
      </c>
      <c r="FJ37" s="725">
        <v>1.09e-7</v>
      </c>
      <c r="FK37" s="725">
        <v>1.22e-8</v>
      </c>
      <c r="FL37" s="725">
        <v>-1.85e-11</v>
      </c>
      <c r="FM37" s="725">
        <v>2.95e-7</v>
      </c>
      <c r="FN37" s="725">
        <v>1.37e-10</v>
      </c>
      <c r="FO37" s="725">
        <v>0.281</v>
      </c>
      <c r="FP37" s="729">
        <v>1</v>
      </c>
      <c r="FQ37" s="729">
        <v>1</v>
      </c>
      <c r="FR37" s="729">
        <v>3</v>
      </c>
      <c r="FS37" s="729">
        <v>4</v>
      </c>
      <c r="FT37" s="729">
        <v>1</v>
      </c>
      <c r="FU37" s="729">
        <v>3</v>
      </c>
      <c r="FV37" s="681">
        <v>3</v>
      </c>
      <c r="FW37" s="729"/>
      <c r="FX37" s="729"/>
      <c r="FY37" s="729"/>
      <c r="FZ37" s="742">
        <v>651</v>
      </c>
      <c r="GA37" s="742">
        <v>685</v>
      </c>
      <c r="GB37" s="681">
        <v>588</v>
      </c>
      <c r="GC37" s="681">
        <v>617</v>
      </c>
      <c r="GD37" s="747">
        <v>0.82</v>
      </c>
      <c r="GE37" s="729"/>
      <c r="GF37" s="681">
        <v>65</v>
      </c>
      <c r="GG37" s="681">
        <v>81</v>
      </c>
      <c r="GH37" s="681">
        <v>59</v>
      </c>
      <c r="GI37" s="681">
        <v>61</v>
      </c>
      <c r="GJ37" s="681">
        <v>63</v>
      </c>
      <c r="GK37" s="681">
        <v>64</v>
      </c>
      <c r="GL37" s="681">
        <v>64</v>
      </c>
      <c r="GM37" s="681">
        <v>65</v>
      </c>
      <c r="GN37" s="681">
        <v>65</v>
      </c>
      <c r="GO37" s="681">
        <v>66</v>
      </c>
      <c r="GP37" s="681">
        <v>67</v>
      </c>
      <c r="GQ37" s="681">
        <v>67</v>
      </c>
      <c r="GR37" s="681">
        <v>67</v>
      </c>
      <c r="GS37" s="681">
        <v>68</v>
      </c>
      <c r="GT37" s="681">
        <v>68</v>
      </c>
      <c r="GU37" s="681">
        <v>69</v>
      </c>
      <c r="GV37" s="681">
        <v>70</v>
      </c>
      <c r="GW37" s="681">
        <v>71</v>
      </c>
      <c r="GX37" s="681">
        <v>72</v>
      </c>
      <c r="GY37" s="681">
        <v>73</v>
      </c>
      <c r="GZ37" s="681">
        <v>74</v>
      </c>
      <c r="HA37" s="681">
        <v>75</v>
      </c>
      <c r="HB37" s="681">
        <v>76</v>
      </c>
      <c r="HC37" s="681"/>
      <c r="HD37" s="750">
        <v>135</v>
      </c>
      <c r="HE37" s="681"/>
      <c r="HF37" s="681">
        <v>581</v>
      </c>
      <c r="HG37" s="681">
        <v>112</v>
      </c>
      <c r="HH37" s="714">
        <v>90.9</v>
      </c>
      <c r="HI37" s="714">
        <v>35.7</v>
      </c>
      <c r="HJ37" s="753">
        <v>0.273</v>
      </c>
      <c r="HK37" s="681">
        <v>85</v>
      </c>
      <c r="HL37" s="685">
        <v>1.5</v>
      </c>
      <c r="HM37" s="747">
        <v>3.64</v>
      </c>
      <c r="HN37" s="729" t="s">
        <v>524</v>
      </c>
      <c r="HO37" s="729" t="s">
        <v>525</v>
      </c>
      <c r="HP37" s="714">
        <v>-2.8</v>
      </c>
      <c r="HQ37" s="753">
        <v>0.873</v>
      </c>
      <c r="HR37" s="753">
        <v>0.954</v>
      </c>
      <c r="HS37" s="753">
        <v>0.993</v>
      </c>
      <c r="HT37" s="753">
        <v>0.999</v>
      </c>
      <c r="HU37" s="753">
        <v>0.999</v>
      </c>
      <c r="HV37" s="753">
        <v>0.999</v>
      </c>
      <c r="HW37" s="753">
        <v>0.999</v>
      </c>
      <c r="HX37" s="753">
        <v>0.999</v>
      </c>
      <c r="HY37" s="753">
        <v>0.999</v>
      </c>
      <c r="HZ37" s="753">
        <v>0.999</v>
      </c>
      <c r="IA37" s="753">
        <v>0.999</v>
      </c>
      <c r="IB37" s="753">
        <v>0.999</v>
      </c>
      <c r="IC37" s="753">
        <v>0.999</v>
      </c>
      <c r="ID37" s="753">
        <v>0.999</v>
      </c>
      <c r="IE37" s="753">
        <v>0.999</v>
      </c>
      <c r="IF37" s="753">
        <v>0.999</v>
      </c>
      <c r="IG37" s="753">
        <v>0.999</v>
      </c>
      <c r="IH37" s="753">
        <v>0.999</v>
      </c>
      <c r="II37" s="753">
        <v>0.999</v>
      </c>
      <c r="IJ37" s="753">
        <v>0.999</v>
      </c>
      <c r="IK37" s="753">
        <v>0.999</v>
      </c>
      <c r="IL37" s="753">
        <v>0.999</v>
      </c>
      <c r="IM37" s="753">
        <v>0.997</v>
      </c>
      <c r="IN37" s="753">
        <v>0.995</v>
      </c>
      <c r="IO37" s="753">
        <v>0.993</v>
      </c>
      <c r="IP37" s="753">
        <v>0.99</v>
      </c>
      <c r="IQ37" s="753">
        <v>0.981</v>
      </c>
      <c r="IR37" s="753">
        <v>0.968</v>
      </c>
      <c r="IS37" s="753">
        <v>0.95</v>
      </c>
      <c r="IT37" s="753">
        <v>0.918</v>
      </c>
      <c r="IU37" s="753">
        <v>0.868</v>
      </c>
      <c r="IV37" s="753">
        <v>0.796</v>
      </c>
      <c r="IW37" s="753">
        <v>0.697</v>
      </c>
      <c r="IX37" s="753">
        <v>0.581</v>
      </c>
      <c r="IY37" s="753">
        <v>0.46</v>
      </c>
      <c r="IZ37" s="754">
        <v>0.343</v>
      </c>
      <c r="JA37" s="753">
        <v>0.762</v>
      </c>
      <c r="JB37" s="753">
        <v>0.91</v>
      </c>
      <c r="JC37" s="753">
        <v>0.986</v>
      </c>
      <c r="JD37" s="753">
        <v>0.998</v>
      </c>
      <c r="JE37" s="753">
        <v>0.998</v>
      </c>
      <c r="JF37" s="753">
        <v>0.998</v>
      </c>
      <c r="JG37" s="753">
        <v>0.998</v>
      </c>
      <c r="JH37" s="753">
        <v>0.998</v>
      </c>
      <c r="JI37" s="753">
        <v>0.998</v>
      </c>
      <c r="JJ37" s="753">
        <v>0.998</v>
      </c>
      <c r="JK37" s="753">
        <v>0.998</v>
      </c>
      <c r="JL37" s="753">
        <v>0.998</v>
      </c>
      <c r="JM37" s="753">
        <v>0.998</v>
      </c>
      <c r="JN37" s="753">
        <v>0.998</v>
      </c>
      <c r="JO37" s="753">
        <v>0.998</v>
      </c>
      <c r="JP37" s="753">
        <v>0.998</v>
      </c>
      <c r="JQ37" s="753">
        <v>0.998</v>
      </c>
      <c r="JR37" s="753">
        <v>0.998</v>
      </c>
      <c r="JS37" s="753">
        <v>0.998</v>
      </c>
      <c r="JT37" s="753">
        <v>0.998</v>
      </c>
      <c r="JU37" s="753">
        <v>0.998</v>
      </c>
      <c r="JV37" s="753">
        <v>0.998</v>
      </c>
      <c r="JW37" s="753">
        <v>0.995</v>
      </c>
      <c r="JX37" s="753">
        <v>0.992</v>
      </c>
      <c r="JY37" s="753">
        <v>0.987</v>
      </c>
      <c r="JZ37" s="753">
        <v>0.981</v>
      </c>
      <c r="KA37" s="753">
        <v>0.97</v>
      </c>
      <c r="KB37" s="753">
        <v>0.947</v>
      </c>
      <c r="KC37" s="753">
        <v>0.91</v>
      </c>
      <c r="KD37" s="753">
        <v>0.852</v>
      </c>
      <c r="KE37" s="753">
        <v>0.762</v>
      </c>
      <c r="KF37" s="753">
        <v>0.641</v>
      </c>
      <c r="KG37" s="753">
        <v>0.495</v>
      </c>
      <c r="KH37" s="753">
        <v>0.346</v>
      </c>
      <c r="KI37" s="753">
        <v>0.217</v>
      </c>
      <c r="KJ37" s="754">
        <v>0.122</v>
      </c>
      <c r="KK37" s="765" t="s">
        <v>281</v>
      </c>
      <c r="KL37" s="738">
        <v>43</v>
      </c>
      <c r="KM37" s="738">
        <v>157</v>
      </c>
      <c r="KN37" s="646" t="s">
        <v>303</v>
      </c>
      <c r="KO37" s="646" t="s">
        <v>523</v>
      </c>
      <c r="KP37" s="680">
        <v>660574</v>
      </c>
      <c r="KQ37" s="766"/>
      <c r="KR37" s="750"/>
      <c r="KS37" s="769" t="s">
        <v>523</v>
      </c>
      <c r="KT37" s="770" t="s">
        <v>526</v>
      </c>
      <c r="KU37" s="766"/>
      <c r="KV37" s="750"/>
      <c r="KW37" s="771" t="s">
        <v>527</v>
      </c>
      <c r="KX37" s="750" t="s">
        <v>528</v>
      </c>
      <c r="KY37" s="769"/>
      <c r="KZ37" s="770"/>
    </row>
    <row r="38" s="628" customFormat="1" customHeight="1" spans="1:312">
      <c r="A38" s="682" t="s">
        <v>374</v>
      </c>
      <c r="B38" s="683">
        <v>34</v>
      </c>
      <c r="C38" s="689" t="s">
        <v>529</v>
      </c>
      <c r="D38" s="680">
        <v>691547</v>
      </c>
      <c r="E38" s="685">
        <v>54.7</v>
      </c>
      <c r="F38" s="685">
        <v>54.48</v>
      </c>
      <c r="G38" s="686">
        <v>0.012633</v>
      </c>
      <c r="H38" s="686">
        <v>0.012739</v>
      </c>
      <c r="I38" s="696">
        <v>1.6533</v>
      </c>
      <c r="J38" s="696">
        <v>1.66043</v>
      </c>
      <c r="K38" s="696">
        <v>1.66812</v>
      </c>
      <c r="L38" s="696">
        <v>1.67471</v>
      </c>
      <c r="M38" s="696">
        <v>1.67587</v>
      </c>
      <c r="N38" s="696">
        <v>1.67681</v>
      </c>
      <c r="O38" s="696">
        <v>1.68039</v>
      </c>
      <c r="P38" s="696">
        <v>1.6828</v>
      </c>
      <c r="Q38" s="697">
        <v>1.68499</v>
      </c>
      <c r="R38" s="697">
        <v>1.68715</v>
      </c>
      <c r="S38" s="697">
        <v>1.68776</v>
      </c>
      <c r="T38" s="701">
        <v>1.68833</v>
      </c>
      <c r="U38" s="697">
        <v>1.69088</v>
      </c>
      <c r="V38" s="697">
        <v>1.691</v>
      </c>
      <c r="W38" s="697">
        <v>1.69401</v>
      </c>
      <c r="X38" s="697">
        <v>1.69978</v>
      </c>
      <c r="Y38" s="697">
        <v>1.7005</v>
      </c>
      <c r="Z38" s="697">
        <v>1.70665</v>
      </c>
      <c r="AA38" s="697">
        <v>1.71235</v>
      </c>
      <c r="AB38" s="697">
        <v>1.72209</v>
      </c>
      <c r="AC38" s="704">
        <v>2.80955685</v>
      </c>
      <c r="AD38" s="705">
        <v>-0.014667358</v>
      </c>
      <c r="AE38" s="705">
        <v>0.0168842607</v>
      </c>
      <c r="AF38" s="705">
        <v>0.000916821494</v>
      </c>
      <c r="AG38" s="705">
        <v>-7.97191507e-5</v>
      </c>
      <c r="AH38" s="705">
        <v>4.19772399e-6</v>
      </c>
      <c r="AI38" s="709">
        <v>0.3048</v>
      </c>
      <c r="AJ38" s="709">
        <v>0.2383</v>
      </c>
      <c r="AK38" s="709">
        <v>0.5438</v>
      </c>
      <c r="AL38" s="709">
        <v>0.2543</v>
      </c>
      <c r="AM38" s="709">
        <v>0.2363</v>
      </c>
      <c r="AN38" s="709">
        <v>0.4828</v>
      </c>
      <c r="AO38" s="709">
        <v>-0.0033</v>
      </c>
      <c r="AP38" s="709">
        <v>-0.0089</v>
      </c>
      <c r="AQ38" s="709">
        <v>0.0133</v>
      </c>
      <c r="AR38" s="709">
        <v>0.0034</v>
      </c>
      <c r="AS38" s="714">
        <v>3</v>
      </c>
      <c r="AT38" s="714">
        <v>3.1</v>
      </c>
      <c r="AU38" s="714">
        <v>3.2</v>
      </c>
      <c r="AV38" s="714">
        <v>3.2</v>
      </c>
      <c r="AW38" s="714">
        <v>3.2</v>
      </c>
      <c r="AX38" s="714">
        <v>3.5</v>
      </c>
      <c r="AY38" s="714">
        <v>3.5</v>
      </c>
      <c r="AZ38" s="714">
        <v>3.7</v>
      </c>
      <c r="BA38" s="714">
        <v>3.8</v>
      </c>
      <c r="BB38" s="714">
        <v>3.9</v>
      </c>
      <c r="BC38" s="714">
        <v>4</v>
      </c>
      <c r="BD38" s="714">
        <v>3.1</v>
      </c>
      <c r="BE38" s="714">
        <v>3.4</v>
      </c>
      <c r="BF38" s="714">
        <v>3.5</v>
      </c>
      <c r="BG38" s="714">
        <v>3.6</v>
      </c>
      <c r="BH38" s="714">
        <v>3.8</v>
      </c>
      <c r="BI38" s="714">
        <v>3.9</v>
      </c>
      <c r="BJ38" s="714">
        <v>3.9</v>
      </c>
      <c r="BK38" s="714">
        <v>3.8</v>
      </c>
      <c r="BL38" s="714">
        <v>4</v>
      </c>
      <c r="BM38" s="714">
        <v>4.2</v>
      </c>
      <c r="BN38" s="714">
        <v>4.2</v>
      </c>
      <c r="BO38" s="714">
        <v>3.3</v>
      </c>
      <c r="BP38" s="714">
        <v>3.5</v>
      </c>
      <c r="BQ38" s="714">
        <v>3.5</v>
      </c>
      <c r="BR38" s="714">
        <v>3.7</v>
      </c>
      <c r="BS38" s="714">
        <v>3.8</v>
      </c>
      <c r="BT38" s="714">
        <v>3.9</v>
      </c>
      <c r="BU38" s="714">
        <v>3.9</v>
      </c>
      <c r="BV38" s="714">
        <v>3.9</v>
      </c>
      <c r="BW38" s="714">
        <v>4.1</v>
      </c>
      <c r="BX38" s="714">
        <v>4.3</v>
      </c>
      <c r="BY38" s="714">
        <v>4.3</v>
      </c>
      <c r="BZ38" s="714">
        <v>3.4</v>
      </c>
      <c r="CA38" s="714">
        <v>3.6</v>
      </c>
      <c r="CB38" s="714">
        <v>3.6</v>
      </c>
      <c r="CC38" s="714">
        <v>3.7</v>
      </c>
      <c r="CD38" s="714">
        <v>3.8</v>
      </c>
      <c r="CE38" s="714">
        <v>3.9</v>
      </c>
      <c r="CF38" s="714">
        <v>3.9</v>
      </c>
      <c r="CG38" s="714">
        <v>3.9</v>
      </c>
      <c r="CH38" s="714">
        <v>4.1</v>
      </c>
      <c r="CI38" s="714">
        <v>4.3</v>
      </c>
      <c r="CJ38" s="714">
        <v>4.4</v>
      </c>
      <c r="CK38" s="714">
        <v>3.5</v>
      </c>
      <c r="CL38" s="714">
        <v>3.6</v>
      </c>
      <c r="CM38" s="714">
        <v>3.7</v>
      </c>
      <c r="CN38" s="714">
        <v>3.9</v>
      </c>
      <c r="CO38" s="714">
        <v>3.9</v>
      </c>
      <c r="CP38" s="714">
        <v>4</v>
      </c>
      <c r="CQ38" s="714">
        <v>4.1</v>
      </c>
      <c r="CR38" s="714">
        <v>4.1</v>
      </c>
      <c r="CS38" s="714">
        <v>4.4</v>
      </c>
      <c r="CT38" s="714">
        <v>4.4</v>
      </c>
      <c r="CU38" s="714">
        <v>4.6</v>
      </c>
      <c r="CV38" s="714">
        <v>3.6</v>
      </c>
      <c r="CW38" s="714">
        <v>3.8</v>
      </c>
      <c r="CX38" s="714">
        <v>3.8</v>
      </c>
      <c r="CY38" s="714">
        <v>4</v>
      </c>
      <c r="CZ38" s="714">
        <v>4.1</v>
      </c>
      <c r="DA38" s="714">
        <v>4.1</v>
      </c>
      <c r="DB38" s="714">
        <v>4.2</v>
      </c>
      <c r="DC38" s="714">
        <v>4.4</v>
      </c>
      <c r="DD38" s="714">
        <v>4.4</v>
      </c>
      <c r="DE38" s="714">
        <v>4.4</v>
      </c>
      <c r="DF38" s="714">
        <v>4.6</v>
      </c>
      <c r="DG38" s="714">
        <v>3.7</v>
      </c>
      <c r="DH38" s="714">
        <v>3.9</v>
      </c>
      <c r="DI38" s="714">
        <v>3.9</v>
      </c>
      <c r="DJ38" s="714">
        <v>4.1</v>
      </c>
      <c r="DK38" s="714">
        <v>4.1</v>
      </c>
      <c r="DL38" s="714">
        <v>4.3</v>
      </c>
      <c r="DM38" s="714">
        <v>4.4</v>
      </c>
      <c r="DN38" s="714">
        <v>4.5</v>
      </c>
      <c r="DO38" s="714">
        <v>4.5</v>
      </c>
      <c r="DP38" s="714">
        <v>4.6</v>
      </c>
      <c r="DQ38" s="714">
        <v>4.7</v>
      </c>
      <c r="DR38" s="714">
        <v>3.9</v>
      </c>
      <c r="DS38" s="714">
        <v>4.1</v>
      </c>
      <c r="DT38" s="714">
        <v>4.2</v>
      </c>
      <c r="DU38" s="714">
        <v>4.3</v>
      </c>
      <c r="DV38" s="714">
        <v>4.6</v>
      </c>
      <c r="DW38" s="714">
        <v>4.6</v>
      </c>
      <c r="DX38" s="714">
        <v>4.6</v>
      </c>
      <c r="DY38" s="714">
        <v>4.8</v>
      </c>
      <c r="DZ38" s="714">
        <v>4.8</v>
      </c>
      <c r="EA38" s="714">
        <v>4.8</v>
      </c>
      <c r="EB38" s="714">
        <v>4.9</v>
      </c>
      <c r="EC38" s="714">
        <v>4</v>
      </c>
      <c r="ED38" s="714">
        <v>4.1</v>
      </c>
      <c r="EE38" s="714">
        <v>4.2</v>
      </c>
      <c r="EF38" s="714">
        <v>4.3</v>
      </c>
      <c r="EG38" s="714">
        <v>4.6</v>
      </c>
      <c r="EH38" s="714">
        <v>4.6</v>
      </c>
      <c r="EI38" s="714">
        <v>4.6</v>
      </c>
      <c r="EJ38" s="714">
        <v>4.8</v>
      </c>
      <c r="EK38" s="714">
        <v>4.8</v>
      </c>
      <c r="EL38" s="714">
        <v>4.8</v>
      </c>
      <c r="EM38" s="714">
        <v>5</v>
      </c>
      <c r="EN38" s="714">
        <v>4.2</v>
      </c>
      <c r="EO38" s="714">
        <v>4.4</v>
      </c>
      <c r="EP38" s="714">
        <v>4.6</v>
      </c>
      <c r="EQ38" s="714">
        <v>4.8</v>
      </c>
      <c r="ER38" s="714">
        <v>4.9</v>
      </c>
      <c r="ES38" s="714">
        <v>4.9</v>
      </c>
      <c r="ET38" s="714">
        <v>5.1</v>
      </c>
      <c r="EU38" s="714">
        <v>5.2</v>
      </c>
      <c r="EV38" s="714">
        <v>5.2</v>
      </c>
      <c r="EW38" s="714">
        <v>5.3</v>
      </c>
      <c r="EX38" s="714">
        <v>5.3</v>
      </c>
      <c r="EY38" s="714">
        <v>0.8</v>
      </c>
      <c r="EZ38" s="714">
        <v>1.3</v>
      </c>
      <c r="FA38" s="714">
        <v>1.7</v>
      </c>
      <c r="FB38" s="714">
        <v>2.2</v>
      </c>
      <c r="FC38" s="714">
        <v>2.4</v>
      </c>
      <c r="FD38" s="714">
        <v>2.7</v>
      </c>
      <c r="FE38" s="714">
        <v>3</v>
      </c>
      <c r="FF38" s="714">
        <v>3.1</v>
      </c>
      <c r="FG38" s="714">
        <v>3.5</v>
      </c>
      <c r="FH38" s="714">
        <v>3.6</v>
      </c>
      <c r="FI38" s="714">
        <v>3.8</v>
      </c>
      <c r="FJ38" s="725">
        <v>2.98e-6</v>
      </c>
      <c r="FK38" s="725">
        <v>1.59e-8</v>
      </c>
      <c r="FL38" s="725">
        <v>-3.12e-11</v>
      </c>
      <c r="FM38" s="725">
        <v>4.05e-7</v>
      </c>
      <c r="FN38" s="725">
        <v>-4.14e-11</v>
      </c>
      <c r="FO38" s="725">
        <v>0.183</v>
      </c>
      <c r="FP38" s="729">
        <v>1</v>
      </c>
      <c r="FQ38" s="729">
        <v>3</v>
      </c>
      <c r="FR38" s="729">
        <v>1</v>
      </c>
      <c r="FS38" s="729">
        <v>3</v>
      </c>
      <c r="FT38" s="729">
        <v>1</v>
      </c>
      <c r="FU38" s="729">
        <v>3</v>
      </c>
      <c r="FV38" s="681">
        <v>1</v>
      </c>
      <c r="FW38" s="729"/>
      <c r="FX38" s="729"/>
      <c r="FY38" s="729"/>
      <c r="FZ38" s="742">
        <v>630</v>
      </c>
      <c r="GA38" s="742">
        <v>661</v>
      </c>
      <c r="GB38" s="681">
        <v>585</v>
      </c>
      <c r="GC38" s="681">
        <v>602</v>
      </c>
      <c r="GD38" s="747">
        <v>0.94</v>
      </c>
      <c r="GE38" s="729"/>
      <c r="GF38" s="681">
        <v>57</v>
      </c>
      <c r="GG38" s="681">
        <v>73</v>
      </c>
      <c r="GH38" s="681">
        <v>52</v>
      </c>
      <c r="GI38" s="681">
        <v>54</v>
      </c>
      <c r="GJ38" s="681">
        <v>56</v>
      </c>
      <c r="GK38" s="681">
        <v>57</v>
      </c>
      <c r="GL38" s="681">
        <v>57</v>
      </c>
      <c r="GM38" s="681">
        <v>58</v>
      </c>
      <c r="GN38" s="681">
        <v>58</v>
      </c>
      <c r="GO38" s="681">
        <v>59</v>
      </c>
      <c r="GP38" s="681">
        <v>59</v>
      </c>
      <c r="GQ38" s="681">
        <v>59</v>
      </c>
      <c r="GR38" s="681">
        <v>60</v>
      </c>
      <c r="GS38" s="681">
        <v>60</v>
      </c>
      <c r="GT38" s="681">
        <v>61</v>
      </c>
      <c r="GU38" s="681">
        <v>61</v>
      </c>
      <c r="GV38" s="681">
        <v>62</v>
      </c>
      <c r="GW38" s="681">
        <v>62</v>
      </c>
      <c r="GX38" s="681">
        <v>63</v>
      </c>
      <c r="GY38" s="681">
        <v>64</v>
      </c>
      <c r="GZ38" s="681">
        <v>64</v>
      </c>
      <c r="HA38" s="681">
        <v>65</v>
      </c>
      <c r="HB38" s="681">
        <v>66</v>
      </c>
      <c r="HC38" s="681"/>
      <c r="HD38" s="750">
        <v>150</v>
      </c>
      <c r="HE38" s="681"/>
      <c r="HF38" s="681">
        <v>528</v>
      </c>
      <c r="HG38" s="681">
        <v>94</v>
      </c>
      <c r="HH38" s="714">
        <v>107.4</v>
      </c>
      <c r="HI38" s="714">
        <v>41.7</v>
      </c>
      <c r="HJ38" s="753">
        <v>0.287</v>
      </c>
      <c r="HK38" s="681">
        <v>92</v>
      </c>
      <c r="HL38" s="685">
        <v>1.96</v>
      </c>
      <c r="HM38" s="747">
        <v>3.63</v>
      </c>
      <c r="HN38" s="729" t="s">
        <v>291</v>
      </c>
      <c r="HO38" s="729" t="s">
        <v>530</v>
      </c>
      <c r="HP38" s="714">
        <v>-0.8</v>
      </c>
      <c r="HQ38" s="754">
        <v>0.766</v>
      </c>
      <c r="HR38" s="754">
        <v>0.919</v>
      </c>
      <c r="HS38" s="754">
        <v>0.973</v>
      </c>
      <c r="HT38" s="754">
        <v>0.989</v>
      </c>
      <c r="HU38" s="754">
        <v>0.999</v>
      </c>
      <c r="HV38" s="754">
        <v>0.999</v>
      </c>
      <c r="HW38" s="754">
        <v>0.999</v>
      </c>
      <c r="HX38" s="754">
        <v>0.999</v>
      </c>
      <c r="HY38" s="754">
        <v>0.999</v>
      </c>
      <c r="HZ38" s="754">
        <v>0.999</v>
      </c>
      <c r="IA38" s="754">
        <v>0.999</v>
      </c>
      <c r="IB38" s="754">
        <v>0.999</v>
      </c>
      <c r="IC38" s="754">
        <v>0.999</v>
      </c>
      <c r="ID38" s="754">
        <v>0.999</v>
      </c>
      <c r="IE38" s="754">
        <v>0.999</v>
      </c>
      <c r="IF38" s="754">
        <v>0.999</v>
      </c>
      <c r="IG38" s="754">
        <v>0.999</v>
      </c>
      <c r="IH38" s="754">
        <v>0.999</v>
      </c>
      <c r="II38" s="754">
        <v>0.999</v>
      </c>
      <c r="IJ38" s="754">
        <v>0.999</v>
      </c>
      <c r="IK38" s="754">
        <v>0.999</v>
      </c>
      <c r="IL38" s="754">
        <v>0.999</v>
      </c>
      <c r="IM38" s="754">
        <v>0.999</v>
      </c>
      <c r="IN38" s="754">
        <v>0.994</v>
      </c>
      <c r="IO38" s="754">
        <v>0.987</v>
      </c>
      <c r="IP38" s="754">
        <v>0.98</v>
      </c>
      <c r="IQ38" s="754">
        <v>0.969</v>
      </c>
      <c r="IR38" s="754">
        <v>0.948</v>
      </c>
      <c r="IS38" s="754">
        <v>0.916</v>
      </c>
      <c r="IT38" s="754">
        <v>0.867</v>
      </c>
      <c r="IU38" s="754">
        <v>0.801</v>
      </c>
      <c r="IV38" s="754">
        <v>0.712</v>
      </c>
      <c r="IW38" s="754">
        <v>0.599</v>
      </c>
      <c r="IX38" s="754">
        <v>0.449</v>
      </c>
      <c r="IY38" s="754">
        <v>0.245</v>
      </c>
      <c r="IZ38" s="754"/>
      <c r="JA38" s="754">
        <v>0.579</v>
      </c>
      <c r="JB38" s="754">
        <v>0.846</v>
      </c>
      <c r="JC38" s="754">
        <v>0.955</v>
      </c>
      <c r="JD38" s="754">
        <v>0.986</v>
      </c>
      <c r="JE38" s="754">
        <v>0.998</v>
      </c>
      <c r="JF38" s="754">
        <v>0.998</v>
      </c>
      <c r="JG38" s="754">
        <v>0.998</v>
      </c>
      <c r="JH38" s="754">
        <v>0.998</v>
      </c>
      <c r="JI38" s="754">
        <v>0.998</v>
      </c>
      <c r="JJ38" s="754">
        <v>0.998</v>
      </c>
      <c r="JK38" s="754">
        <v>0.998</v>
      </c>
      <c r="JL38" s="754">
        <v>0.998</v>
      </c>
      <c r="JM38" s="754">
        <v>0.998</v>
      </c>
      <c r="JN38" s="754">
        <v>0.998</v>
      </c>
      <c r="JO38" s="754">
        <v>0.998</v>
      </c>
      <c r="JP38" s="754">
        <v>0.998</v>
      </c>
      <c r="JQ38" s="754">
        <v>0.998</v>
      </c>
      <c r="JR38" s="754">
        <v>0.998</v>
      </c>
      <c r="JS38" s="754">
        <v>0.998</v>
      </c>
      <c r="JT38" s="754">
        <v>0.998</v>
      </c>
      <c r="JU38" s="754">
        <v>0.998</v>
      </c>
      <c r="JV38" s="754">
        <v>0.995</v>
      </c>
      <c r="JW38" s="754">
        <v>0.991</v>
      </c>
      <c r="JX38" s="754">
        <v>0.985</v>
      </c>
      <c r="JY38" s="754">
        <v>0.979</v>
      </c>
      <c r="JZ38" s="754">
        <v>0.965</v>
      </c>
      <c r="KA38" s="754">
        <v>0.943</v>
      </c>
      <c r="KB38" s="754">
        <v>0.906</v>
      </c>
      <c r="KC38" s="754">
        <v>0.838</v>
      </c>
      <c r="KD38" s="754">
        <v>0.757</v>
      </c>
      <c r="KE38" s="754">
        <v>0.645</v>
      </c>
      <c r="KF38" s="754">
        <v>0.509</v>
      </c>
      <c r="KG38" s="754">
        <v>0.36</v>
      </c>
      <c r="KH38" s="754">
        <v>0.202</v>
      </c>
      <c r="KI38" s="754">
        <v>0.063</v>
      </c>
      <c r="KJ38" s="754"/>
      <c r="KK38" s="765" t="s">
        <v>281</v>
      </c>
      <c r="KL38" s="738">
        <v>42</v>
      </c>
      <c r="KM38" s="738">
        <v>152</v>
      </c>
      <c r="KN38" s="646" t="s">
        <v>303</v>
      </c>
      <c r="KO38" s="646" t="s">
        <v>529</v>
      </c>
      <c r="KP38" s="680">
        <v>691547</v>
      </c>
      <c r="KQ38" s="766" t="s">
        <v>531</v>
      </c>
      <c r="KR38" s="750" t="s">
        <v>532</v>
      </c>
      <c r="KS38" s="769" t="s">
        <v>533</v>
      </c>
      <c r="KT38" s="770" t="s">
        <v>532</v>
      </c>
      <c r="KU38" s="766" t="s">
        <v>534</v>
      </c>
      <c r="KV38" s="750">
        <v>691547</v>
      </c>
      <c r="KW38" s="771" t="s">
        <v>535</v>
      </c>
      <c r="KX38" s="750" t="s">
        <v>532</v>
      </c>
      <c r="KY38" s="769" t="s">
        <v>536</v>
      </c>
      <c r="KZ38" s="770" t="s">
        <v>537</v>
      </c>
    </row>
    <row r="39" s="628" customFormat="1" customHeight="1" spans="1:312">
      <c r="A39" s="682" t="s">
        <v>277</v>
      </c>
      <c r="B39" s="683">
        <v>35</v>
      </c>
      <c r="C39" s="689" t="s">
        <v>538</v>
      </c>
      <c r="D39" s="680">
        <v>692545</v>
      </c>
      <c r="E39" s="685">
        <v>54.54</v>
      </c>
      <c r="F39" s="685">
        <v>54.29</v>
      </c>
      <c r="G39" s="686">
        <v>0.01269</v>
      </c>
      <c r="H39" s="690">
        <v>0.012804</v>
      </c>
      <c r="I39" s="697">
        <v>1.65358</v>
      </c>
      <c r="J39" s="697">
        <v>1.66092</v>
      </c>
      <c r="K39" s="697">
        <v>1.66884</v>
      </c>
      <c r="L39" s="697">
        <v>1.67561</v>
      </c>
      <c r="M39" s="697">
        <v>1.67679</v>
      </c>
      <c r="N39" s="697">
        <v>1.67775</v>
      </c>
      <c r="O39" s="697">
        <v>1.6814</v>
      </c>
      <c r="P39" s="697">
        <v>1.68384</v>
      </c>
      <c r="Q39" s="697">
        <v>1.68606</v>
      </c>
      <c r="R39" s="697">
        <v>1.68827</v>
      </c>
      <c r="S39" s="697">
        <v>1.68888</v>
      </c>
      <c r="T39" s="701">
        <v>1.68945</v>
      </c>
      <c r="U39" s="697">
        <v>1.69201</v>
      </c>
      <c r="V39" s="697">
        <v>1.69211</v>
      </c>
      <c r="W39" s="697">
        <v>1.69514</v>
      </c>
      <c r="X39" s="697">
        <v>1.70096</v>
      </c>
      <c r="Y39" s="697">
        <v>1.70168</v>
      </c>
      <c r="Z39" s="697">
        <v>1.70783</v>
      </c>
      <c r="AA39" s="697">
        <v>1.71355</v>
      </c>
      <c r="AB39" s="697">
        <v>1.72334</v>
      </c>
      <c r="AC39" s="704">
        <v>2.81281207</v>
      </c>
      <c r="AD39" s="705">
        <v>-0.0151090486</v>
      </c>
      <c r="AE39" s="705">
        <v>0.0173324917</v>
      </c>
      <c r="AF39" s="705">
        <v>0.000829325128</v>
      </c>
      <c r="AG39" s="705">
        <v>-7.29570094e-5</v>
      </c>
      <c r="AH39" s="705">
        <v>4.13913961e-6</v>
      </c>
      <c r="AI39" s="709">
        <v>0.3026</v>
      </c>
      <c r="AJ39" s="709">
        <v>0.2388</v>
      </c>
      <c r="AK39" s="709">
        <v>0.5414</v>
      </c>
      <c r="AL39" s="709">
        <v>0.2523</v>
      </c>
      <c r="AM39" s="709">
        <v>0.2366</v>
      </c>
      <c r="AN39" s="709">
        <v>0.4803</v>
      </c>
      <c r="AO39" s="709">
        <v>-0.0015</v>
      </c>
      <c r="AP39" s="709">
        <v>-0.0116</v>
      </c>
      <c r="AQ39" s="709">
        <v>0.0246</v>
      </c>
      <c r="AR39" s="709">
        <v>0.0101</v>
      </c>
      <c r="AS39" s="714">
        <v>3.9</v>
      </c>
      <c r="AT39" s="714">
        <v>3.9</v>
      </c>
      <c r="AU39" s="714">
        <v>3.9</v>
      </c>
      <c r="AV39" s="714">
        <v>4</v>
      </c>
      <c r="AW39" s="714">
        <v>3.9</v>
      </c>
      <c r="AX39" s="714">
        <v>4.1</v>
      </c>
      <c r="AY39" s="714">
        <v>4.2</v>
      </c>
      <c r="AZ39" s="714">
        <v>4.3</v>
      </c>
      <c r="BA39" s="714">
        <v>4.4</v>
      </c>
      <c r="BB39" s="714">
        <v>4.4</v>
      </c>
      <c r="BC39" s="714">
        <v>4.5</v>
      </c>
      <c r="BD39" s="714">
        <v>4.1</v>
      </c>
      <c r="BE39" s="714">
        <v>4.1</v>
      </c>
      <c r="BF39" s="714">
        <v>4.1</v>
      </c>
      <c r="BG39" s="714">
        <v>4.2</v>
      </c>
      <c r="BH39" s="714">
        <v>4.2</v>
      </c>
      <c r="BI39" s="714">
        <v>4.3</v>
      </c>
      <c r="BJ39" s="714">
        <v>4.4</v>
      </c>
      <c r="BK39" s="714">
        <v>4.5</v>
      </c>
      <c r="BL39" s="714">
        <v>4.6</v>
      </c>
      <c r="BM39" s="714">
        <v>4.6</v>
      </c>
      <c r="BN39" s="714">
        <v>4.7</v>
      </c>
      <c r="BO39" s="714">
        <v>4.2</v>
      </c>
      <c r="BP39" s="714">
        <v>4.2</v>
      </c>
      <c r="BQ39" s="714">
        <v>4.2</v>
      </c>
      <c r="BR39" s="714">
        <v>4.4</v>
      </c>
      <c r="BS39" s="714">
        <v>4.4</v>
      </c>
      <c r="BT39" s="714">
        <v>4.5</v>
      </c>
      <c r="BU39" s="714">
        <v>4.6</v>
      </c>
      <c r="BV39" s="714">
        <v>4.7</v>
      </c>
      <c r="BW39" s="714">
        <v>4.8</v>
      </c>
      <c r="BX39" s="714">
        <v>4.8</v>
      </c>
      <c r="BY39" s="714">
        <v>5</v>
      </c>
      <c r="BZ39" s="714">
        <v>4.2</v>
      </c>
      <c r="CA39" s="714">
        <v>4.3</v>
      </c>
      <c r="CB39" s="714">
        <v>4.3</v>
      </c>
      <c r="CC39" s="714">
        <v>4.4</v>
      </c>
      <c r="CD39" s="714">
        <v>4.5</v>
      </c>
      <c r="CE39" s="714">
        <v>4.6</v>
      </c>
      <c r="CF39" s="714">
        <v>4.7</v>
      </c>
      <c r="CG39" s="714">
        <v>4.8</v>
      </c>
      <c r="CH39" s="714">
        <v>4.9</v>
      </c>
      <c r="CI39" s="714">
        <v>5</v>
      </c>
      <c r="CJ39" s="714">
        <v>5.1</v>
      </c>
      <c r="CK39" s="714">
        <v>4.3</v>
      </c>
      <c r="CL39" s="714">
        <v>4.4</v>
      </c>
      <c r="CM39" s="714">
        <v>4.4</v>
      </c>
      <c r="CN39" s="714">
        <v>4.4</v>
      </c>
      <c r="CO39" s="714">
        <v>4.5</v>
      </c>
      <c r="CP39" s="714">
        <v>4.6</v>
      </c>
      <c r="CQ39" s="714">
        <v>4.7</v>
      </c>
      <c r="CR39" s="714">
        <v>4.8</v>
      </c>
      <c r="CS39" s="714">
        <v>4.9</v>
      </c>
      <c r="CT39" s="714">
        <v>5</v>
      </c>
      <c r="CU39" s="714">
        <v>5.2</v>
      </c>
      <c r="CV39" s="714">
        <v>4.4</v>
      </c>
      <c r="CW39" s="714">
        <v>4.5</v>
      </c>
      <c r="CX39" s="714">
        <v>4.5</v>
      </c>
      <c r="CY39" s="714">
        <v>4.5</v>
      </c>
      <c r="CZ39" s="714">
        <v>4.5</v>
      </c>
      <c r="DA39" s="714">
        <v>4.7</v>
      </c>
      <c r="DB39" s="714">
        <v>4.9</v>
      </c>
      <c r="DC39" s="714">
        <v>5.2</v>
      </c>
      <c r="DD39" s="714">
        <v>5.3</v>
      </c>
      <c r="DE39" s="714">
        <v>5.4</v>
      </c>
      <c r="DF39" s="714">
        <v>5.5</v>
      </c>
      <c r="DG39" s="714">
        <v>4.7</v>
      </c>
      <c r="DH39" s="714">
        <v>4.7</v>
      </c>
      <c r="DI39" s="714">
        <v>4.8</v>
      </c>
      <c r="DJ39" s="714">
        <v>4.8</v>
      </c>
      <c r="DK39" s="714">
        <v>4.9</v>
      </c>
      <c r="DL39" s="714">
        <v>4.9</v>
      </c>
      <c r="DM39" s="714">
        <v>5</v>
      </c>
      <c r="DN39" s="714">
        <v>5.3</v>
      </c>
      <c r="DO39" s="714">
        <v>5.4</v>
      </c>
      <c r="DP39" s="714">
        <v>5.5</v>
      </c>
      <c r="DQ39" s="714">
        <v>5.7</v>
      </c>
      <c r="DR39" s="714">
        <v>5.1</v>
      </c>
      <c r="DS39" s="714">
        <v>5.1</v>
      </c>
      <c r="DT39" s="714">
        <v>5.1</v>
      </c>
      <c r="DU39" s="714">
        <v>5.1</v>
      </c>
      <c r="DV39" s="714">
        <v>5.2</v>
      </c>
      <c r="DW39" s="714">
        <v>5.3</v>
      </c>
      <c r="DX39" s="714">
        <v>5.5</v>
      </c>
      <c r="DY39" s="714">
        <v>5.6</v>
      </c>
      <c r="DZ39" s="714">
        <v>5.7</v>
      </c>
      <c r="EA39" s="714">
        <v>5.8</v>
      </c>
      <c r="EB39" s="714">
        <v>6</v>
      </c>
      <c r="EC39" s="714">
        <v>5.1</v>
      </c>
      <c r="ED39" s="714">
        <v>5.1</v>
      </c>
      <c r="EE39" s="714">
        <v>5.1</v>
      </c>
      <c r="EF39" s="714">
        <v>5.2</v>
      </c>
      <c r="EG39" s="714">
        <v>5.2</v>
      </c>
      <c r="EH39" s="714">
        <v>5.3</v>
      </c>
      <c r="EI39" s="714">
        <v>5.5</v>
      </c>
      <c r="EJ39" s="714">
        <v>5.7</v>
      </c>
      <c r="EK39" s="714">
        <v>5.8</v>
      </c>
      <c r="EL39" s="714">
        <v>5.9</v>
      </c>
      <c r="EM39" s="714">
        <v>6.1</v>
      </c>
      <c r="EN39" s="714">
        <v>5.5</v>
      </c>
      <c r="EO39" s="714">
        <v>5.6</v>
      </c>
      <c r="EP39" s="714">
        <v>5.6</v>
      </c>
      <c r="EQ39" s="714">
        <v>5.6</v>
      </c>
      <c r="ER39" s="714">
        <v>5.7</v>
      </c>
      <c r="ES39" s="714">
        <v>5.8</v>
      </c>
      <c r="ET39" s="714">
        <v>6.1</v>
      </c>
      <c r="EU39" s="714">
        <v>6.4</v>
      </c>
      <c r="EV39" s="714">
        <v>6.6</v>
      </c>
      <c r="EW39" s="714">
        <v>6.7</v>
      </c>
      <c r="EX39" s="714">
        <v>6.9</v>
      </c>
      <c r="EY39" s="714">
        <v>1.6</v>
      </c>
      <c r="EZ39" s="714">
        <v>2.1</v>
      </c>
      <c r="FA39" s="714">
        <v>2.4</v>
      </c>
      <c r="FB39" s="714">
        <v>2.7</v>
      </c>
      <c r="FC39" s="714">
        <v>3</v>
      </c>
      <c r="FD39" s="714">
        <v>3.3</v>
      </c>
      <c r="FE39" s="714">
        <v>3.6</v>
      </c>
      <c r="FF39" s="714">
        <v>3.8</v>
      </c>
      <c r="FG39" s="714">
        <v>4</v>
      </c>
      <c r="FH39" s="714">
        <v>4.2</v>
      </c>
      <c r="FI39" s="714">
        <v>4.4</v>
      </c>
      <c r="FJ39" s="725">
        <v>4.09e-6</v>
      </c>
      <c r="FK39" s="725">
        <v>1.29e-8</v>
      </c>
      <c r="FL39" s="725">
        <v>-1.66e-11</v>
      </c>
      <c r="FM39" s="725">
        <v>3.7e-7</v>
      </c>
      <c r="FN39" s="725">
        <v>3.58e-10</v>
      </c>
      <c r="FO39" s="725">
        <v>0.277</v>
      </c>
      <c r="FP39" s="729">
        <v>1</v>
      </c>
      <c r="FQ39" s="729">
        <v>3</v>
      </c>
      <c r="FR39" s="729">
        <v>1</v>
      </c>
      <c r="FS39" s="729">
        <v>3</v>
      </c>
      <c r="FT39" s="729">
        <v>1</v>
      </c>
      <c r="FU39" s="729">
        <v>3</v>
      </c>
      <c r="FV39" s="681">
        <v>1</v>
      </c>
      <c r="FW39" s="729"/>
      <c r="FX39" s="729"/>
      <c r="FY39" s="729"/>
      <c r="FZ39" s="742">
        <v>636</v>
      </c>
      <c r="GA39" s="742">
        <v>662</v>
      </c>
      <c r="GB39" s="681">
        <v>599</v>
      </c>
      <c r="GC39" s="681">
        <v>635</v>
      </c>
      <c r="GD39" s="747">
        <v>0.92</v>
      </c>
      <c r="GE39" s="729"/>
      <c r="GF39" s="681">
        <v>59</v>
      </c>
      <c r="GG39" s="681">
        <v>74</v>
      </c>
      <c r="GH39" s="681">
        <v>52</v>
      </c>
      <c r="GI39" s="681">
        <v>54</v>
      </c>
      <c r="GJ39" s="681">
        <v>55</v>
      </c>
      <c r="GK39" s="681">
        <v>56</v>
      </c>
      <c r="GL39" s="681">
        <v>56</v>
      </c>
      <c r="GM39" s="681">
        <v>57</v>
      </c>
      <c r="GN39" s="681">
        <v>58</v>
      </c>
      <c r="GO39" s="681">
        <v>60</v>
      </c>
      <c r="GP39" s="681">
        <v>61</v>
      </c>
      <c r="GQ39" s="681">
        <v>61</v>
      </c>
      <c r="GR39" s="681">
        <v>62</v>
      </c>
      <c r="GS39" s="681">
        <v>62</v>
      </c>
      <c r="GT39" s="681">
        <v>63</v>
      </c>
      <c r="GU39" s="681">
        <v>63</v>
      </c>
      <c r="GV39" s="681">
        <v>64</v>
      </c>
      <c r="GW39" s="681">
        <v>64</v>
      </c>
      <c r="GX39" s="681">
        <v>64</v>
      </c>
      <c r="GY39" s="681">
        <v>65</v>
      </c>
      <c r="GZ39" s="681">
        <v>66</v>
      </c>
      <c r="HA39" s="681">
        <v>67</v>
      </c>
      <c r="HB39" s="681">
        <v>68</v>
      </c>
      <c r="HC39" s="681"/>
      <c r="HD39" s="750">
        <v>140</v>
      </c>
      <c r="HE39" s="681"/>
      <c r="HF39" s="681">
        <v>665</v>
      </c>
      <c r="HG39" s="681">
        <v>77</v>
      </c>
      <c r="HH39" s="714">
        <v>111.3</v>
      </c>
      <c r="HI39" s="714">
        <v>42</v>
      </c>
      <c r="HJ39" s="753">
        <v>0.325</v>
      </c>
      <c r="HK39" s="681">
        <v>67</v>
      </c>
      <c r="HL39" s="685">
        <v>2</v>
      </c>
      <c r="HM39" s="747">
        <v>3.53</v>
      </c>
      <c r="HN39" s="729" t="s">
        <v>539</v>
      </c>
      <c r="HO39" s="729" t="s">
        <v>540</v>
      </c>
      <c r="HP39" s="714">
        <v>-3.1</v>
      </c>
      <c r="HQ39" s="754">
        <v>0.754</v>
      </c>
      <c r="HR39" s="754">
        <v>0.915</v>
      </c>
      <c r="HS39" s="754">
        <v>0.98</v>
      </c>
      <c r="HT39" s="754">
        <v>0.99</v>
      </c>
      <c r="HU39" s="754">
        <v>0.999</v>
      </c>
      <c r="HV39" s="754">
        <v>0.999</v>
      </c>
      <c r="HW39" s="754">
        <v>0.999</v>
      </c>
      <c r="HX39" s="754">
        <v>0.999</v>
      </c>
      <c r="HY39" s="754">
        <v>0.999</v>
      </c>
      <c r="HZ39" s="754">
        <v>0.999</v>
      </c>
      <c r="IA39" s="754">
        <v>0.999</v>
      </c>
      <c r="IB39" s="754">
        <v>0.999</v>
      </c>
      <c r="IC39" s="754">
        <v>0.999</v>
      </c>
      <c r="ID39" s="754">
        <v>0.999</v>
      </c>
      <c r="IE39" s="754">
        <v>0.999</v>
      </c>
      <c r="IF39" s="754">
        <v>0.999</v>
      </c>
      <c r="IG39" s="754">
        <v>0.999</v>
      </c>
      <c r="IH39" s="754">
        <v>0.999</v>
      </c>
      <c r="II39" s="754">
        <v>0.999</v>
      </c>
      <c r="IJ39" s="754">
        <v>0.999</v>
      </c>
      <c r="IK39" s="754">
        <v>0.999</v>
      </c>
      <c r="IL39" s="754">
        <v>0.997</v>
      </c>
      <c r="IM39" s="754">
        <v>0.995</v>
      </c>
      <c r="IN39" s="754">
        <v>0.993</v>
      </c>
      <c r="IO39" s="754">
        <v>0.991</v>
      </c>
      <c r="IP39" s="754">
        <v>0.987</v>
      </c>
      <c r="IQ39" s="754">
        <v>0.98</v>
      </c>
      <c r="IR39" s="754">
        <v>0.964</v>
      </c>
      <c r="IS39" s="754">
        <v>0.943</v>
      </c>
      <c r="IT39" s="754">
        <v>0.91</v>
      </c>
      <c r="IU39" s="754">
        <v>0.862</v>
      </c>
      <c r="IV39" s="754">
        <v>0.8</v>
      </c>
      <c r="IW39" s="754">
        <v>0.724</v>
      </c>
      <c r="IX39" s="754">
        <v>0.638</v>
      </c>
      <c r="IY39" s="754">
        <v>0.542</v>
      </c>
      <c r="IZ39" s="754">
        <v>0.433</v>
      </c>
      <c r="JA39" s="754">
        <v>0.568</v>
      </c>
      <c r="JB39" s="754">
        <v>0.837</v>
      </c>
      <c r="JC39" s="754">
        <v>0.96</v>
      </c>
      <c r="JD39" s="754">
        <v>0.98</v>
      </c>
      <c r="JE39" s="754">
        <v>0.998</v>
      </c>
      <c r="JF39" s="754">
        <v>0.998</v>
      </c>
      <c r="JG39" s="754">
        <v>0.998</v>
      </c>
      <c r="JH39" s="754">
        <v>0.998</v>
      </c>
      <c r="JI39" s="754">
        <v>0.998</v>
      </c>
      <c r="JJ39" s="754">
        <v>0.998</v>
      </c>
      <c r="JK39" s="754">
        <v>0.998</v>
      </c>
      <c r="JL39" s="754">
        <v>0.998</v>
      </c>
      <c r="JM39" s="754">
        <v>0.998</v>
      </c>
      <c r="JN39" s="754">
        <v>0.998</v>
      </c>
      <c r="JO39" s="754">
        <v>0.998</v>
      </c>
      <c r="JP39" s="754">
        <v>0.998</v>
      </c>
      <c r="JQ39" s="754">
        <v>0.998</v>
      </c>
      <c r="JR39" s="754">
        <v>0.998</v>
      </c>
      <c r="JS39" s="754">
        <v>0.998</v>
      </c>
      <c r="JT39" s="754">
        <v>0.998</v>
      </c>
      <c r="JU39" s="754">
        <v>0.998</v>
      </c>
      <c r="JV39" s="754">
        <v>0.995</v>
      </c>
      <c r="JW39" s="754">
        <v>0.991</v>
      </c>
      <c r="JX39" s="754">
        <v>0.986</v>
      </c>
      <c r="JY39" s="754">
        <v>0.981</v>
      </c>
      <c r="JZ39" s="754">
        <v>0.973</v>
      </c>
      <c r="KA39" s="754">
        <v>0.959</v>
      </c>
      <c r="KB39" s="754">
        <v>0.928</v>
      </c>
      <c r="KC39" s="754">
        <v>0.889</v>
      </c>
      <c r="KD39" s="754">
        <v>0.828</v>
      </c>
      <c r="KE39" s="754">
        <v>0.744</v>
      </c>
      <c r="KF39" s="754">
        <v>0.639</v>
      </c>
      <c r="KG39" s="754">
        <v>0.523</v>
      </c>
      <c r="KH39" s="754">
        <v>0.406</v>
      </c>
      <c r="KI39" s="754">
        <v>0.295</v>
      </c>
      <c r="KJ39" s="754">
        <v>0.189</v>
      </c>
      <c r="KK39" s="765" t="s">
        <v>281</v>
      </c>
      <c r="KL39" s="738">
        <v>32</v>
      </c>
      <c r="KM39" s="738">
        <v>113</v>
      </c>
      <c r="KN39" s="646" t="s">
        <v>282</v>
      </c>
      <c r="KO39" s="646" t="s">
        <v>538</v>
      </c>
      <c r="KP39" s="680">
        <v>692545</v>
      </c>
      <c r="KQ39" s="766" t="s">
        <v>541</v>
      </c>
      <c r="KR39" s="750" t="s">
        <v>532</v>
      </c>
      <c r="KS39" s="769" t="s">
        <v>542</v>
      </c>
      <c r="KT39" s="770" t="s">
        <v>543</v>
      </c>
      <c r="KU39" s="766" t="s">
        <v>544</v>
      </c>
      <c r="KV39" s="750">
        <v>691547</v>
      </c>
      <c r="KW39" s="771"/>
      <c r="KX39" s="750"/>
      <c r="KY39" s="769" t="s">
        <v>545</v>
      </c>
      <c r="KZ39" s="770" t="s">
        <v>537</v>
      </c>
    </row>
    <row r="40" s="628" customFormat="1" customHeight="1" spans="1:312">
      <c r="A40" s="682" t="s">
        <v>300</v>
      </c>
      <c r="B40" s="683">
        <v>36</v>
      </c>
      <c r="C40" s="689" t="s">
        <v>546</v>
      </c>
      <c r="D40" s="680">
        <v>747510</v>
      </c>
      <c r="E40" s="685">
        <v>50.95</v>
      </c>
      <c r="F40" s="685">
        <v>50.72</v>
      </c>
      <c r="G40" s="686">
        <v>0.01466</v>
      </c>
      <c r="H40" s="686">
        <v>0.014794</v>
      </c>
      <c r="I40" s="696">
        <v>1.706</v>
      </c>
      <c r="J40" s="696">
        <v>1.71332</v>
      </c>
      <c r="K40" s="696">
        <v>1.72133</v>
      </c>
      <c r="L40" s="696">
        <v>1.72838</v>
      </c>
      <c r="M40" s="696">
        <v>1.72965</v>
      </c>
      <c r="N40" s="696">
        <v>1.73069</v>
      </c>
      <c r="O40" s="696">
        <v>1.73471</v>
      </c>
      <c r="P40" s="696">
        <v>1.73747</v>
      </c>
      <c r="Q40" s="697">
        <v>1.73998</v>
      </c>
      <c r="R40" s="697">
        <v>1.7425</v>
      </c>
      <c r="S40" s="697">
        <v>1.7432</v>
      </c>
      <c r="T40" s="701">
        <v>1.74386</v>
      </c>
      <c r="U40" s="697">
        <v>1.7468</v>
      </c>
      <c r="V40" s="697">
        <v>1.74693</v>
      </c>
      <c r="W40" s="697">
        <v>1.75042</v>
      </c>
      <c r="X40" s="697">
        <v>1.75716</v>
      </c>
      <c r="Y40" s="697">
        <v>1.75799</v>
      </c>
      <c r="Z40" s="697">
        <v>1.76523</v>
      </c>
      <c r="AA40" s="697">
        <v>1.77195</v>
      </c>
      <c r="AB40" s="697">
        <v>1.7835</v>
      </c>
      <c r="AC40" s="704">
        <v>2.9896441</v>
      </c>
      <c r="AD40" s="705">
        <v>-0.015385395</v>
      </c>
      <c r="AE40" s="705">
        <v>0.0214098946</v>
      </c>
      <c r="AF40" s="705">
        <v>0.000735181833</v>
      </c>
      <c r="AG40" s="705">
        <v>-3.80789614e-5</v>
      </c>
      <c r="AH40" s="705">
        <v>2.29046629e-6</v>
      </c>
      <c r="AI40" s="709">
        <v>0.3022</v>
      </c>
      <c r="AJ40" s="709">
        <v>0.2381</v>
      </c>
      <c r="AK40" s="709">
        <v>0.5505</v>
      </c>
      <c r="AL40" s="709">
        <v>0.2521</v>
      </c>
      <c r="AM40" s="709">
        <v>0.2359</v>
      </c>
      <c r="AN40" s="709">
        <v>0.4894</v>
      </c>
      <c r="AO40" s="709">
        <v>-0.0023</v>
      </c>
      <c r="AP40" s="709">
        <v>-0.0085</v>
      </c>
      <c r="AQ40" s="709">
        <v>0.0186</v>
      </c>
      <c r="AR40" s="709">
        <v>0.0087</v>
      </c>
      <c r="AS40" s="714">
        <v>1.8</v>
      </c>
      <c r="AT40" s="714">
        <v>2.2</v>
      </c>
      <c r="AU40" s="714">
        <v>2.9</v>
      </c>
      <c r="AV40" s="714">
        <v>3.1</v>
      </c>
      <c r="AW40" s="714">
        <v>3.7</v>
      </c>
      <c r="AX40" s="714">
        <v>4</v>
      </c>
      <c r="AY40" s="714">
        <v>4.5</v>
      </c>
      <c r="AZ40" s="714">
        <v>4.7</v>
      </c>
      <c r="BA40" s="714">
        <v>5</v>
      </c>
      <c r="BB40" s="714">
        <v>5.1</v>
      </c>
      <c r="BC40" s="714">
        <v>5.3</v>
      </c>
      <c r="BD40" s="714">
        <v>2.1</v>
      </c>
      <c r="BE40" s="714">
        <v>2.4</v>
      </c>
      <c r="BF40" s="714">
        <v>3.1</v>
      </c>
      <c r="BG40" s="714">
        <v>3.5</v>
      </c>
      <c r="BH40" s="714">
        <v>4</v>
      </c>
      <c r="BI40" s="714">
        <v>4.2</v>
      </c>
      <c r="BJ40" s="714">
        <v>4.7</v>
      </c>
      <c r="BK40" s="714">
        <v>4.8</v>
      </c>
      <c r="BL40" s="714">
        <v>5.1</v>
      </c>
      <c r="BM40" s="714">
        <v>5.3</v>
      </c>
      <c r="BN40" s="714">
        <v>5.5</v>
      </c>
      <c r="BO40" s="714">
        <v>2.3</v>
      </c>
      <c r="BP40" s="714">
        <v>2.7</v>
      </c>
      <c r="BQ40" s="714">
        <v>3.2</v>
      </c>
      <c r="BR40" s="714">
        <v>3.7</v>
      </c>
      <c r="BS40" s="714">
        <v>4.3</v>
      </c>
      <c r="BT40" s="714">
        <v>4.5</v>
      </c>
      <c r="BU40" s="714">
        <v>4.8</v>
      </c>
      <c r="BV40" s="714">
        <v>5.1</v>
      </c>
      <c r="BW40" s="714">
        <v>5.2</v>
      </c>
      <c r="BX40" s="714">
        <v>5.5</v>
      </c>
      <c r="BY40" s="714">
        <v>5.6</v>
      </c>
      <c r="BZ40" s="714">
        <v>2.3</v>
      </c>
      <c r="CA40" s="714">
        <v>2.7</v>
      </c>
      <c r="CB40" s="714">
        <v>3.2</v>
      </c>
      <c r="CC40" s="714">
        <v>3.7</v>
      </c>
      <c r="CD40" s="714">
        <v>4.3</v>
      </c>
      <c r="CE40" s="714">
        <v>4.5</v>
      </c>
      <c r="CF40" s="714">
        <v>4.8</v>
      </c>
      <c r="CG40" s="714">
        <v>5.2</v>
      </c>
      <c r="CH40" s="714">
        <v>5.3</v>
      </c>
      <c r="CI40" s="714">
        <v>5.6</v>
      </c>
      <c r="CJ40" s="714">
        <v>5.8</v>
      </c>
      <c r="CK40" s="714">
        <v>2.4</v>
      </c>
      <c r="CL40" s="714">
        <v>2.8</v>
      </c>
      <c r="CM40" s="714">
        <v>3.3</v>
      </c>
      <c r="CN40" s="714">
        <v>3.8</v>
      </c>
      <c r="CO40" s="714">
        <v>4.4</v>
      </c>
      <c r="CP40" s="714">
        <v>4.6</v>
      </c>
      <c r="CQ40" s="714">
        <v>4.9</v>
      </c>
      <c r="CR40" s="714">
        <v>5.3</v>
      </c>
      <c r="CS40" s="714">
        <v>5.4</v>
      </c>
      <c r="CT40" s="714">
        <v>5.7</v>
      </c>
      <c r="CU40" s="714">
        <v>6</v>
      </c>
      <c r="CV40" s="714">
        <v>2.6</v>
      </c>
      <c r="CW40" s="714">
        <v>3</v>
      </c>
      <c r="CX40" s="714">
        <v>3.4</v>
      </c>
      <c r="CY40" s="714">
        <v>4</v>
      </c>
      <c r="CZ40" s="714">
        <v>4.5</v>
      </c>
      <c r="DA40" s="714">
        <v>4.8</v>
      </c>
      <c r="DB40" s="714">
        <v>5.1</v>
      </c>
      <c r="DC40" s="714">
        <v>5.5</v>
      </c>
      <c r="DD40" s="714">
        <v>5.6</v>
      </c>
      <c r="DE40" s="714">
        <v>5.9</v>
      </c>
      <c r="DF40" s="714">
        <v>6.3</v>
      </c>
      <c r="DG40" s="714">
        <v>3.1</v>
      </c>
      <c r="DH40" s="714">
        <v>3.4</v>
      </c>
      <c r="DI40" s="714">
        <v>4</v>
      </c>
      <c r="DJ40" s="714">
        <v>4.7</v>
      </c>
      <c r="DK40" s="714">
        <v>4.7</v>
      </c>
      <c r="DL40" s="714">
        <v>5.3</v>
      </c>
      <c r="DM40" s="714">
        <v>5.3</v>
      </c>
      <c r="DN40" s="714">
        <v>5.8</v>
      </c>
      <c r="DO40" s="714">
        <v>6</v>
      </c>
      <c r="DP40" s="714">
        <v>6.3</v>
      </c>
      <c r="DQ40" s="714">
        <v>6.6</v>
      </c>
      <c r="DR40" s="714">
        <v>3.4</v>
      </c>
      <c r="DS40" s="714">
        <v>3.8</v>
      </c>
      <c r="DT40" s="714">
        <v>4.4</v>
      </c>
      <c r="DU40" s="714">
        <v>4.9</v>
      </c>
      <c r="DV40" s="714">
        <v>5.1</v>
      </c>
      <c r="DW40" s="714">
        <v>5.5</v>
      </c>
      <c r="DX40" s="714">
        <v>5.8</v>
      </c>
      <c r="DY40" s="714">
        <v>6.3</v>
      </c>
      <c r="DZ40" s="714">
        <v>6.5</v>
      </c>
      <c r="EA40" s="714">
        <v>6.7</v>
      </c>
      <c r="EB40" s="714">
        <v>6.8</v>
      </c>
      <c r="EC40" s="714">
        <v>3.4</v>
      </c>
      <c r="ED40" s="714">
        <v>3.9</v>
      </c>
      <c r="EE40" s="714">
        <v>4.5</v>
      </c>
      <c r="EF40" s="714">
        <v>5</v>
      </c>
      <c r="EG40" s="714">
        <v>5.1</v>
      </c>
      <c r="EH40" s="714">
        <v>5.5</v>
      </c>
      <c r="EI40" s="714">
        <v>5.9</v>
      </c>
      <c r="EJ40" s="714">
        <v>6.4</v>
      </c>
      <c r="EK40" s="714">
        <v>6.5</v>
      </c>
      <c r="EL40" s="714">
        <v>6.7</v>
      </c>
      <c r="EM40" s="714">
        <v>6.9</v>
      </c>
      <c r="EN40" s="714">
        <v>3.8</v>
      </c>
      <c r="EO40" s="714">
        <v>4.3</v>
      </c>
      <c r="EP40" s="714">
        <v>4.7</v>
      </c>
      <c r="EQ40" s="714">
        <v>5.4</v>
      </c>
      <c r="ER40" s="714">
        <v>5.8</v>
      </c>
      <c r="ES40" s="714">
        <v>6.1</v>
      </c>
      <c r="ET40" s="714">
        <v>6.4</v>
      </c>
      <c r="EU40" s="714">
        <v>6.7</v>
      </c>
      <c r="EV40" s="714">
        <v>7</v>
      </c>
      <c r="EW40" s="714">
        <v>7.2</v>
      </c>
      <c r="EX40" s="714">
        <v>7.5</v>
      </c>
      <c r="EY40" s="714">
        <v>-0.4</v>
      </c>
      <c r="EZ40" s="714">
        <v>0.4</v>
      </c>
      <c r="FA40" s="714">
        <v>1.3</v>
      </c>
      <c r="FB40" s="714">
        <v>2.1</v>
      </c>
      <c r="FC40" s="714">
        <v>2.9</v>
      </c>
      <c r="FD40" s="714">
        <v>3.3</v>
      </c>
      <c r="FE40" s="714">
        <v>3.7</v>
      </c>
      <c r="FF40" s="714">
        <v>4.2</v>
      </c>
      <c r="FG40" s="714">
        <v>4.5</v>
      </c>
      <c r="FH40" s="714">
        <v>4.8</v>
      </c>
      <c r="FI40" s="714">
        <v>5.2</v>
      </c>
      <c r="FJ40" s="725">
        <v>2.62e-6</v>
      </c>
      <c r="FK40" s="725">
        <v>2.82e-8</v>
      </c>
      <c r="FL40" s="725">
        <v>-5.41e-11</v>
      </c>
      <c r="FM40" s="725">
        <v>5.36e-7</v>
      </c>
      <c r="FN40" s="725">
        <v>-4.51e-11</v>
      </c>
      <c r="FO40" s="725">
        <v>0.224</v>
      </c>
      <c r="FP40" s="729">
        <v>1</v>
      </c>
      <c r="FQ40" s="729">
        <v>1</v>
      </c>
      <c r="FR40" s="729">
        <v>1</v>
      </c>
      <c r="FS40" s="729">
        <v>3</v>
      </c>
      <c r="FT40" s="729">
        <v>1</v>
      </c>
      <c r="FU40" s="729">
        <v>2</v>
      </c>
      <c r="FV40" s="681">
        <v>1</v>
      </c>
      <c r="FW40" s="729"/>
      <c r="FX40" s="729"/>
      <c r="FY40" s="729"/>
      <c r="FZ40" s="743">
        <v>674</v>
      </c>
      <c r="GA40" s="743">
        <v>695</v>
      </c>
      <c r="GB40" s="681">
        <v>603</v>
      </c>
      <c r="GC40" s="681">
        <v>641</v>
      </c>
      <c r="GD40" s="747">
        <v>0.8</v>
      </c>
      <c r="GE40" s="729"/>
      <c r="GF40" s="681">
        <v>53</v>
      </c>
      <c r="GG40" s="681">
        <v>66</v>
      </c>
      <c r="GH40" s="681">
        <v>49</v>
      </c>
      <c r="GI40" s="681">
        <v>51</v>
      </c>
      <c r="GJ40" s="681">
        <v>53</v>
      </c>
      <c r="GK40" s="681">
        <v>54</v>
      </c>
      <c r="GL40" s="681">
        <v>54</v>
      </c>
      <c r="GM40" s="681">
        <v>54</v>
      </c>
      <c r="GN40" s="681">
        <v>55</v>
      </c>
      <c r="GO40" s="681">
        <v>56</v>
      </c>
      <c r="GP40" s="681">
        <v>56</v>
      </c>
      <c r="GQ40" s="681">
        <v>56</v>
      </c>
      <c r="GR40" s="681">
        <v>57</v>
      </c>
      <c r="GS40" s="681">
        <v>57</v>
      </c>
      <c r="GT40" s="681">
        <v>57</v>
      </c>
      <c r="GU40" s="681">
        <v>58</v>
      </c>
      <c r="GV40" s="681">
        <v>58</v>
      </c>
      <c r="GW40" s="681">
        <v>59</v>
      </c>
      <c r="GX40" s="681">
        <v>59</v>
      </c>
      <c r="GY40" s="681">
        <v>60</v>
      </c>
      <c r="GZ40" s="681">
        <v>61</v>
      </c>
      <c r="HA40" s="681">
        <v>62</v>
      </c>
      <c r="HB40" s="681">
        <v>63</v>
      </c>
      <c r="HC40" s="681"/>
      <c r="HD40" s="750">
        <v>165</v>
      </c>
      <c r="HE40" s="681"/>
      <c r="HF40" s="681">
        <v>769</v>
      </c>
      <c r="HG40" s="681">
        <v>50</v>
      </c>
      <c r="HH40" s="714">
        <v>120.3</v>
      </c>
      <c r="HI40" s="714">
        <v>45.3</v>
      </c>
      <c r="HJ40" s="753">
        <v>0.328</v>
      </c>
      <c r="HK40" s="681">
        <v>96</v>
      </c>
      <c r="HL40" s="685">
        <v>1.56</v>
      </c>
      <c r="HM40" s="747">
        <v>4.1</v>
      </c>
      <c r="HN40" s="729" t="s">
        <v>547</v>
      </c>
      <c r="HO40" s="729" t="s">
        <v>548</v>
      </c>
      <c r="HP40" s="714">
        <v>-0.4</v>
      </c>
      <c r="HQ40" s="753">
        <v>0.779</v>
      </c>
      <c r="HR40" s="753">
        <v>0.931</v>
      </c>
      <c r="HS40" s="753">
        <v>0.986</v>
      </c>
      <c r="HT40" s="753">
        <v>0.997</v>
      </c>
      <c r="HU40" s="753">
        <v>0.999</v>
      </c>
      <c r="HV40" s="753">
        <v>0.999</v>
      </c>
      <c r="HW40" s="753">
        <v>0.999</v>
      </c>
      <c r="HX40" s="753">
        <v>0.999</v>
      </c>
      <c r="HY40" s="753">
        <v>0.999</v>
      </c>
      <c r="HZ40" s="753">
        <v>0.999</v>
      </c>
      <c r="IA40" s="753">
        <v>0.999</v>
      </c>
      <c r="IB40" s="753">
        <v>0.999</v>
      </c>
      <c r="IC40" s="753">
        <v>0.999</v>
      </c>
      <c r="ID40" s="753">
        <v>0.999</v>
      </c>
      <c r="IE40" s="753">
        <v>0.999</v>
      </c>
      <c r="IF40" s="753">
        <v>0.999</v>
      </c>
      <c r="IG40" s="753">
        <v>0.999</v>
      </c>
      <c r="IH40" s="753">
        <v>0.999</v>
      </c>
      <c r="II40" s="753">
        <v>0.999</v>
      </c>
      <c r="IJ40" s="753">
        <v>0.999</v>
      </c>
      <c r="IK40" s="753">
        <v>0.999</v>
      </c>
      <c r="IL40" s="754">
        <v>0.997</v>
      </c>
      <c r="IM40" s="753">
        <v>0.994</v>
      </c>
      <c r="IN40" s="753">
        <v>0.99</v>
      </c>
      <c r="IO40" s="753">
        <v>0.987</v>
      </c>
      <c r="IP40" s="753">
        <v>0.98</v>
      </c>
      <c r="IQ40" s="753">
        <v>0.968</v>
      </c>
      <c r="IR40" s="753">
        <v>0.946</v>
      </c>
      <c r="IS40" s="753">
        <v>0.907</v>
      </c>
      <c r="IT40" s="753">
        <v>0.85</v>
      </c>
      <c r="IU40" s="753">
        <v>0.767</v>
      </c>
      <c r="IV40" s="753">
        <v>0.64</v>
      </c>
      <c r="IW40" s="753">
        <v>0.42</v>
      </c>
      <c r="IX40" s="754">
        <v>0.155</v>
      </c>
      <c r="IY40" s="754"/>
      <c r="IZ40" s="754"/>
      <c r="JA40" s="753">
        <v>0.612</v>
      </c>
      <c r="JB40" s="753">
        <v>0.868</v>
      </c>
      <c r="JC40" s="753">
        <v>0.963</v>
      </c>
      <c r="JD40" s="753">
        <v>0.994</v>
      </c>
      <c r="JE40" s="753">
        <v>0.998</v>
      </c>
      <c r="JF40" s="753">
        <v>0.998</v>
      </c>
      <c r="JG40" s="753">
        <v>0.998</v>
      </c>
      <c r="JH40" s="753">
        <v>0.998</v>
      </c>
      <c r="JI40" s="753">
        <v>0.998</v>
      </c>
      <c r="JJ40" s="753">
        <v>0.998</v>
      </c>
      <c r="JK40" s="753">
        <v>0.998</v>
      </c>
      <c r="JL40" s="753">
        <v>0.998</v>
      </c>
      <c r="JM40" s="753">
        <v>0.998</v>
      </c>
      <c r="JN40" s="753">
        <v>0.998</v>
      </c>
      <c r="JO40" s="753">
        <v>0.998</v>
      </c>
      <c r="JP40" s="753">
        <v>0.998</v>
      </c>
      <c r="JQ40" s="753">
        <v>0.998</v>
      </c>
      <c r="JR40" s="753">
        <v>0.998</v>
      </c>
      <c r="JS40" s="753">
        <v>0.998</v>
      </c>
      <c r="JT40" s="753">
        <v>0.998</v>
      </c>
      <c r="JU40" s="753">
        <v>0.997</v>
      </c>
      <c r="JV40" s="753">
        <v>0.994</v>
      </c>
      <c r="JW40" s="753">
        <v>0.99</v>
      </c>
      <c r="JX40" s="753">
        <v>0.981</v>
      </c>
      <c r="JY40" s="753">
        <v>0.974</v>
      </c>
      <c r="JZ40" s="753">
        <v>0.959</v>
      </c>
      <c r="KA40" s="753">
        <v>0.935</v>
      </c>
      <c r="KB40" s="753">
        <v>0.891</v>
      </c>
      <c r="KC40" s="753">
        <v>0.817</v>
      </c>
      <c r="KD40" s="753">
        <v>0.724</v>
      </c>
      <c r="KE40" s="753">
        <v>0.589</v>
      </c>
      <c r="KF40" s="753">
        <v>0.41</v>
      </c>
      <c r="KG40" s="753">
        <v>0.18</v>
      </c>
      <c r="KH40" s="754">
        <v>0.034</v>
      </c>
      <c r="KI40" s="754"/>
      <c r="KJ40" s="754"/>
      <c r="KK40" s="765" t="s">
        <v>281</v>
      </c>
      <c r="KL40" s="738">
        <v>75</v>
      </c>
      <c r="KM40" s="738">
        <v>308</v>
      </c>
      <c r="KN40" s="646" t="s">
        <v>303</v>
      </c>
      <c r="KO40" s="646" t="s">
        <v>546</v>
      </c>
      <c r="KP40" s="680">
        <v>747510</v>
      </c>
      <c r="KQ40" s="766" t="s">
        <v>549</v>
      </c>
      <c r="KR40" s="750" t="s">
        <v>550</v>
      </c>
      <c r="KS40" s="769" t="s">
        <v>546</v>
      </c>
      <c r="KT40" s="770" t="s">
        <v>551</v>
      </c>
      <c r="KU40" s="766"/>
      <c r="KV40" s="750"/>
      <c r="KW40" s="771"/>
      <c r="KX40" s="750"/>
      <c r="KY40" s="769" t="s">
        <v>552</v>
      </c>
      <c r="KZ40" s="770" t="s">
        <v>553</v>
      </c>
    </row>
    <row r="41" s="628" customFormat="1" customHeight="1" spans="1:312">
      <c r="A41" s="682" t="s">
        <v>277</v>
      </c>
      <c r="B41" s="683">
        <v>37</v>
      </c>
      <c r="C41" s="689" t="s">
        <v>554</v>
      </c>
      <c r="D41" s="680">
        <v>640602</v>
      </c>
      <c r="E41" s="685">
        <v>60.2</v>
      </c>
      <c r="F41" s="685">
        <v>60</v>
      </c>
      <c r="G41" s="686">
        <v>0.010631</v>
      </c>
      <c r="H41" s="686">
        <v>0.010709</v>
      </c>
      <c r="I41" s="696">
        <v>1.60415</v>
      </c>
      <c r="J41" s="696">
        <v>1.61142</v>
      </c>
      <c r="K41" s="696">
        <v>1.61918</v>
      </c>
      <c r="L41" s="696">
        <v>1.62562</v>
      </c>
      <c r="M41" s="696">
        <v>1.6267</v>
      </c>
      <c r="N41" s="696">
        <v>1.62759</v>
      </c>
      <c r="O41" s="696">
        <v>1.63083</v>
      </c>
      <c r="P41" s="696">
        <v>1.63296</v>
      </c>
      <c r="Q41" s="697">
        <v>1.63486</v>
      </c>
      <c r="R41" s="697">
        <v>1.63674</v>
      </c>
      <c r="S41" s="697">
        <v>1.63726</v>
      </c>
      <c r="T41" s="701">
        <v>1.63775</v>
      </c>
      <c r="U41" s="697">
        <v>1.6399</v>
      </c>
      <c r="V41" s="697">
        <v>1.64</v>
      </c>
      <c r="W41" s="697">
        <v>1.64254</v>
      </c>
      <c r="X41" s="697">
        <v>1.64737</v>
      </c>
      <c r="Y41" s="697">
        <v>1.64797</v>
      </c>
      <c r="Z41" s="697">
        <v>1.65305</v>
      </c>
      <c r="AA41" s="697">
        <v>1.65776</v>
      </c>
      <c r="AB41" s="697">
        <v>1.66574</v>
      </c>
      <c r="AC41" s="704">
        <v>2.65004076</v>
      </c>
      <c r="AD41" s="704">
        <v>-0.0146730544</v>
      </c>
      <c r="AE41" s="704">
        <v>0.0138448882</v>
      </c>
      <c r="AF41" s="704">
        <v>0.000700625352</v>
      </c>
      <c r="AG41" s="704">
        <v>-6.6225e-5</v>
      </c>
      <c r="AH41" s="704">
        <v>3.53607313e-6</v>
      </c>
      <c r="AI41" s="709">
        <v>0.3067</v>
      </c>
      <c r="AJ41" s="709">
        <v>0.2389</v>
      </c>
      <c r="AK41" s="709">
        <v>0.5343</v>
      </c>
      <c r="AL41" s="709">
        <v>0.2559</v>
      </c>
      <c r="AM41" s="709">
        <v>0.2372</v>
      </c>
      <c r="AN41" s="709">
        <v>0.4744</v>
      </c>
      <c r="AO41" s="709">
        <v>-0.0026</v>
      </c>
      <c r="AP41" s="709">
        <v>-0.0093</v>
      </c>
      <c r="AQ41" s="709">
        <v>0.0289</v>
      </c>
      <c r="AR41" s="709">
        <v>0.011</v>
      </c>
      <c r="AS41" s="714">
        <v>2.7</v>
      </c>
      <c r="AT41" s="716">
        <v>2.8</v>
      </c>
      <c r="AU41" s="716">
        <v>2.9</v>
      </c>
      <c r="AV41" s="716">
        <v>2.9</v>
      </c>
      <c r="AW41" s="716">
        <v>2.9</v>
      </c>
      <c r="AX41" s="716">
        <v>2.9</v>
      </c>
      <c r="AY41" s="716">
        <v>2.9</v>
      </c>
      <c r="AZ41" s="716">
        <v>2.9</v>
      </c>
      <c r="BA41" s="716">
        <v>2.9</v>
      </c>
      <c r="BB41" s="716">
        <v>2.9</v>
      </c>
      <c r="BC41" s="716">
        <v>3</v>
      </c>
      <c r="BD41" s="716">
        <v>2.9</v>
      </c>
      <c r="BE41" s="716">
        <v>2.9</v>
      </c>
      <c r="BF41" s="716">
        <v>2.9</v>
      </c>
      <c r="BG41" s="716">
        <v>2.9</v>
      </c>
      <c r="BH41" s="716">
        <v>2.9</v>
      </c>
      <c r="BI41" s="716">
        <v>2.9</v>
      </c>
      <c r="BJ41" s="716">
        <v>3</v>
      </c>
      <c r="BK41" s="716">
        <v>3</v>
      </c>
      <c r="BL41" s="716">
        <v>3.1</v>
      </c>
      <c r="BM41" s="716">
        <v>3.1</v>
      </c>
      <c r="BN41" s="716">
        <v>3.1</v>
      </c>
      <c r="BO41" s="716">
        <v>2.9</v>
      </c>
      <c r="BP41" s="716">
        <v>2.9</v>
      </c>
      <c r="BQ41" s="716">
        <v>2.9</v>
      </c>
      <c r="BR41" s="716">
        <v>3</v>
      </c>
      <c r="BS41" s="716">
        <v>3</v>
      </c>
      <c r="BT41" s="716">
        <v>3.1</v>
      </c>
      <c r="BU41" s="716">
        <v>3.1</v>
      </c>
      <c r="BV41" s="716">
        <v>3.2</v>
      </c>
      <c r="BW41" s="716">
        <v>3.3</v>
      </c>
      <c r="BX41" s="716">
        <v>3.4</v>
      </c>
      <c r="BY41" s="716">
        <v>3.4</v>
      </c>
      <c r="BZ41" s="716">
        <v>2.9</v>
      </c>
      <c r="CA41" s="716">
        <v>2.9</v>
      </c>
      <c r="CB41" s="716">
        <v>3</v>
      </c>
      <c r="CC41" s="716">
        <v>3</v>
      </c>
      <c r="CD41" s="716">
        <v>3.1</v>
      </c>
      <c r="CE41" s="716">
        <v>3.2</v>
      </c>
      <c r="CF41" s="716">
        <v>3.2</v>
      </c>
      <c r="CG41" s="716">
        <v>3.2</v>
      </c>
      <c r="CH41" s="716">
        <v>3.3</v>
      </c>
      <c r="CI41" s="716">
        <v>3.4</v>
      </c>
      <c r="CJ41" s="716">
        <v>3.4</v>
      </c>
      <c r="CK41" s="716">
        <v>2.9</v>
      </c>
      <c r="CL41" s="716">
        <v>3</v>
      </c>
      <c r="CM41" s="716">
        <v>3.1</v>
      </c>
      <c r="CN41" s="716">
        <v>3.2</v>
      </c>
      <c r="CO41" s="716">
        <v>3.2</v>
      </c>
      <c r="CP41" s="716">
        <v>3.2</v>
      </c>
      <c r="CQ41" s="716">
        <v>3.2</v>
      </c>
      <c r="CR41" s="716">
        <v>3.2</v>
      </c>
      <c r="CS41" s="716">
        <v>3.3</v>
      </c>
      <c r="CT41" s="716">
        <v>3.4</v>
      </c>
      <c r="CU41" s="716">
        <v>3.4</v>
      </c>
      <c r="CV41" s="716">
        <v>3.1</v>
      </c>
      <c r="CW41" s="716">
        <v>3.1</v>
      </c>
      <c r="CX41" s="716">
        <v>3.2</v>
      </c>
      <c r="CY41" s="716">
        <v>3.2</v>
      </c>
      <c r="CZ41" s="716">
        <v>3.2</v>
      </c>
      <c r="DA41" s="716">
        <v>3.3</v>
      </c>
      <c r="DB41" s="716">
        <v>3.3</v>
      </c>
      <c r="DC41" s="716">
        <v>3.4</v>
      </c>
      <c r="DD41" s="716">
        <v>3.5</v>
      </c>
      <c r="DE41" s="716">
        <v>3.5</v>
      </c>
      <c r="DF41" s="716">
        <v>3.5</v>
      </c>
      <c r="DG41" s="716">
        <v>3.2</v>
      </c>
      <c r="DH41" s="716">
        <v>3.2</v>
      </c>
      <c r="DI41" s="716">
        <v>3.4</v>
      </c>
      <c r="DJ41" s="716">
        <v>3.4</v>
      </c>
      <c r="DK41" s="716">
        <v>3.5</v>
      </c>
      <c r="DL41" s="716">
        <v>3.5</v>
      </c>
      <c r="DM41" s="716">
        <v>3.5</v>
      </c>
      <c r="DN41" s="716">
        <v>3.6</v>
      </c>
      <c r="DO41" s="716">
        <v>3.7</v>
      </c>
      <c r="DP41" s="716">
        <v>3.8</v>
      </c>
      <c r="DQ41" s="716">
        <v>3.8</v>
      </c>
      <c r="DR41" s="716">
        <v>3.3</v>
      </c>
      <c r="DS41" s="716">
        <v>3.3</v>
      </c>
      <c r="DT41" s="716">
        <v>3.5</v>
      </c>
      <c r="DU41" s="716">
        <v>3.6</v>
      </c>
      <c r="DV41" s="716">
        <v>3.7</v>
      </c>
      <c r="DW41" s="716">
        <v>3.7</v>
      </c>
      <c r="DX41" s="716">
        <v>3.8</v>
      </c>
      <c r="DY41" s="716">
        <v>3.9</v>
      </c>
      <c r="DZ41" s="716">
        <v>4</v>
      </c>
      <c r="EA41" s="716">
        <v>4.1</v>
      </c>
      <c r="EB41" s="716">
        <v>4.1</v>
      </c>
      <c r="EC41" s="716">
        <v>3.4</v>
      </c>
      <c r="ED41" s="716">
        <v>3.4</v>
      </c>
      <c r="EE41" s="716">
        <v>3.5</v>
      </c>
      <c r="EF41" s="716">
        <v>3.6</v>
      </c>
      <c r="EG41" s="716">
        <v>3.7</v>
      </c>
      <c r="EH41" s="716">
        <v>3.8</v>
      </c>
      <c r="EI41" s="716">
        <v>3.8</v>
      </c>
      <c r="EJ41" s="716">
        <v>3.9</v>
      </c>
      <c r="EK41" s="716">
        <v>4</v>
      </c>
      <c r="EL41" s="716">
        <v>4.1</v>
      </c>
      <c r="EM41" s="716">
        <v>4.1</v>
      </c>
      <c r="EN41" s="716">
        <v>3.7</v>
      </c>
      <c r="EO41" s="716">
        <v>3.9</v>
      </c>
      <c r="EP41" s="716">
        <v>3.9</v>
      </c>
      <c r="EQ41" s="716">
        <v>3.9</v>
      </c>
      <c r="ER41" s="716">
        <v>3.9</v>
      </c>
      <c r="ES41" s="716">
        <v>4</v>
      </c>
      <c r="ET41" s="716">
        <v>4.1</v>
      </c>
      <c r="EU41" s="716">
        <v>4.2</v>
      </c>
      <c r="EV41" s="716">
        <v>4.3</v>
      </c>
      <c r="EW41" s="716">
        <v>4.3</v>
      </c>
      <c r="EX41" s="716">
        <v>4.3</v>
      </c>
      <c r="EY41" s="716">
        <v>0.3</v>
      </c>
      <c r="EZ41" s="716">
        <v>0.8</v>
      </c>
      <c r="FA41" s="716">
        <v>1.2</v>
      </c>
      <c r="FB41" s="716">
        <v>1.6</v>
      </c>
      <c r="FC41" s="716">
        <v>1.8</v>
      </c>
      <c r="FD41" s="716">
        <v>1.9</v>
      </c>
      <c r="FE41" s="716">
        <v>2.1</v>
      </c>
      <c r="FF41" s="716">
        <v>2.2</v>
      </c>
      <c r="FG41" s="716">
        <v>2.4</v>
      </c>
      <c r="FH41" s="716">
        <v>2.6</v>
      </c>
      <c r="FI41" s="716">
        <v>2.7</v>
      </c>
      <c r="FJ41" s="726">
        <v>2.19e-6</v>
      </c>
      <c r="FK41" s="726">
        <v>1.2e-8</v>
      </c>
      <c r="FL41" s="726">
        <v>-2.68e-11</v>
      </c>
      <c r="FM41" s="726">
        <v>3.21e-7</v>
      </c>
      <c r="FN41" s="726">
        <v>4.86e-10</v>
      </c>
      <c r="FO41" s="726">
        <v>0.22</v>
      </c>
      <c r="FP41" s="729">
        <v>3</v>
      </c>
      <c r="FQ41" s="729">
        <v>2</v>
      </c>
      <c r="FR41" s="729">
        <v>4</v>
      </c>
      <c r="FS41" s="729">
        <v>4</v>
      </c>
      <c r="FT41" s="729">
        <v>5</v>
      </c>
      <c r="FU41" s="729">
        <v>4</v>
      </c>
      <c r="FV41" s="681">
        <v>3</v>
      </c>
      <c r="FW41" s="729"/>
      <c r="FX41" s="729"/>
      <c r="FY41" s="729"/>
      <c r="FZ41" s="743">
        <v>667</v>
      </c>
      <c r="GA41" s="743">
        <v>700</v>
      </c>
      <c r="GB41" s="681">
        <v>603</v>
      </c>
      <c r="GC41" s="681">
        <v>637</v>
      </c>
      <c r="GD41" s="747">
        <v>1.03</v>
      </c>
      <c r="GE41" s="729"/>
      <c r="GF41" s="681">
        <v>62</v>
      </c>
      <c r="GG41" s="681">
        <v>80</v>
      </c>
      <c r="GH41" s="681">
        <v>57</v>
      </c>
      <c r="GI41" s="681">
        <v>59</v>
      </c>
      <c r="GJ41" s="681">
        <v>60</v>
      </c>
      <c r="GK41" s="681">
        <v>60</v>
      </c>
      <c r="GL41" s="681">
        <v>61</v>
      </c>
      <c r="GM41" s="681">
        <v>62</v>
      </c>
      <c r="GN41" s="681">
        <v>62</v>
      </c>
      <c r="GO41" s="681">
        <v>63</v>
      </c>
      <c r="GP41" s="681">
        <v>63</v>
      </c>
      <c r="GQ41" s="681">
        <v>65</v>
      </c>
      <c r="GR41" s="681">
        <v>65</v>
      </c>
      <c r="GS41" s="681">
        <v>66</v>
      </c>
      <c r="GT41" s="681">
        <v>66</v>
      </c>
      <c r="GU41" s="681">
        <v>67</v>
      </c>
      <c r="GV41" s="681">
        <v>67</v>
      </c>
      <c r="GW41" s="681">
        <v>68</v>
      </c>
      <c r="GX41" s="681">
        <v>69</v>
      </c>
      <c r="GY41" s="681">
        <v>70</v>
      </c>
      <c r="GZ41" s="681">
        <v>71</v>
      </c>
      <c r="HA41" s="681">
        <v>72</v>
      </c>
      <c r="HB41" s="681">
        <v>73</v>
      </c>
      <c r="HC41" s="681"/>
      <c r="HD41" s="750">
        <v>115</v>
      </c>
      <c r="HE41" s="681"/>
      <c r="HF41" s="681">
        <v>640</v>
      </c>
      <c r="HG41" s="681">
        <v>78</v>
      </c>
      <c r="HH41" s="714">
        <v>113.3</v>
      </c>
      <c r="HI41" s="714">
        <v>44</v>
      </c>
      <c r="HJ41" s="753">
        <v>0.289</v>
      </c>
      <c r="HK41" s="681">
        <v>86</v>
      </c>
      <c r="HL41" s="685">
        <v>1.84</v>
      </c>
      <c r="HM41" s="747">
        <v>2.98</v>
      </c>
      <c r="HN41" s="729" t="s">
        <v>555</v>
      </c>
      <c r="HO41" s="729" t="s">
        <v>556</v>
      </c>
      <c r="HP41" s="714">
        <v>-3.3</v>
      </c>
      <c r="HQ41" s="753">
        <v>0.777</v>
      </c>
      <c r="HR41" s="753">
        <v>0.926</v>
      </c>
      <c r="HS41" s="753">
        <v>0.985</v>
      </c>
      <c r="HT41" s="753">
        <v>0.999</v>
      </c>
      <c r="HU41" s="753">
        <v>0.999</v>
      </c>
      <c r="HV41" s="753">
        <v>0.999</v>
      </c>
      <c r="HW41" s="753">
        <v>0.999</v>
      </c>
      <c r="HX41" s="753">
        <v>0.999</v>
      </c>
      <c r="HY41" s="753">
        <v>0.999</v>
      </c>
      <c r="HZ41" s="753">
        <v>0.999</v>
      </c>
      <c r="IA41" s="753">
        <v>0.999</v>
      </c>
      <c r="IB41" s="753">
        <v>0.999</v>
      </c>
      <c r="IC41" s="753">
        <v>0.999</v>
      </c>
      <c r="ID41" s="753">
        <v>0.999</v>
      </c>
      <c r="IE41" s="753">
        <v>0.999</v>
      </c>
      <c r="IF41" s="753">
        <v>0.999</v>
      </c>
      <c r="IG41" s="753">
        <v>0.999</v>
      </c>
      <c r="IH41" s="753">
        <v>0.999</v>
      </c>
      <c r="II41" s="753">
        <v>0.999</v>
      </c>
      <c r="IJ41" s="753">
        <v>0.998</v>
      </c>
      <c r="IK41" s="753">
        <v>0.997</v>
      </c>
      <c r="IL41" s="753">
        <v>0.995</v>
      </c>
      <c r="IM41" s="753">
        <v>0.993</v>
      </c>
      <c r="IN41" s="753">
        <v>0.991</v>
      </c>
      <c r="IO41" s="753">
        <v>0.989</v>
      </c>
      <c r="IP41" s="753">
        <v>0.986</v>
      </c>
      <c r="IQ41" s="753">
        <v>0.979</v>
      </c>
      <c r="IR41" s="753">
        <v>0.965</v>
      </c>
      <c r="IS41" s="753">
        <v>0.941</v>
      </c>
      <c r="IT41" s="753">
        <v>0.906</v>
      </c>
      <c r="IU41" s="753">
        <v>0.858</v>
      </c>
      <c r="IV41" s="753">
        <v>0.791</v>
      </c>
      <c r="IW41" s="753">
        <v>0.706</v>
      </c>
      <c r="IX41" s="753">
        <v>0.612</v>
      </c>
      <c r="IY41" s="753">
        <v>0.514</v>
      </c>
      <c r="IZ41" s="753">
        <v>0.419</v>
      </c>
      <c r="JA41" s="753">
        <v>0.604</v>
      </c>
      <c r="JB41" s="753">
        <v>0.857</v>
      </c>
      <c r="JC41" s="753">
        <v>0.97</v>
      </c>
      <c r="JD41" s="753">
        <v>0.998</v>
      </c>
      <c r="JE41" s="753">
        <v>0.998</v>
      </c>
      <c r="JF41" s="753">
        <v>0.998</v>
      </c>
      <c r="JG41" s="753">
        <v>0.998</v>
      </c>
      <c r="JH41" s="753">
        <v>0.998</v>
      </c>
      <c r="JI41" s="753">
        <v>0.998</v>
      </c>
      <c r="JJ41" s="753">
        <v>0.998</v>
      </c>
      <c r="JK41" s="753">
        <v>0.998</v>
      </c>
      <c r="JL41" s="753">
        <v>0.998</v>
      </c>
      <c r="JM41" s="753">
        <v>0.998</v>
      </c>
      <c r="JN41" s="753">
        <v>0.998</v>
      </c>
      <c r="JO41" s="753">
        <v>0.998</v>
      </c>
      <c r="JP41" s="753">
        <v>0.998</v>
      </c>
      <c r="JQ41" s="753">
        <v>0.998</v>
      </c>
      <c r="JR41" s="753">
        <v>0.998</v>
      </c>
      <c r="JS41" s="753">
        <v>0.998</v>
      </c>
      <c r="JT41" s="753">
        <v>0.996</v>
      </c>
      <c r="JU41" s="753">
        <v>0.993</v>
      </c>
      <c r="JV41" s="753">
        <v>0.99</v>
      </c>
      <c r="JW41" s="753">
        <v>0.987</v>
      </c>
      <c r="JX41" s="753">
        <v>0.984</v>
      </c>
      <c r="JY41" s="753">
        <v>0.977</v>
      </c>
      <c r="JZ41" s="753">
        <v>0.971</v>
      </c>
      <c r="KA41" s="753">
        <v>0.956</v>
      </c>
      <c r="KB41" s="753">
        <v>0.931</v>
      </c>
      <c r="KC41" s="753">
        <v>0.883</v>
      </c>
      <c r="KD41" s="753">
        <v>0.823</v>
      </c>
      <c r="KE41" s="753">
        <v>0.736</v>
      </c>
      <c r="KF41" s="753">
        <v>0.628</v>
      </c>
      <c r="KG41" s="753">
        <v>0.505</v>
      </c>
      <c r="KH41" s="753">
        <v>0.38</v>
      </c>
      <c r="KI41" s="753">
        <v>0.271</v>
      </c>
      <c r="KJ41" s="753">
        <v>0.183</v>
      </c>
      <c r="KK41" s="765" t="s">
        <v>281</v>
      </c>
      <c r="KL41" s="738">
        <v>41</v>
      </c>
      <c r="KM41" s="738">
        <v>122</v>
      </c>
      <c r="KN41" s="646" t="s">
        <v>282</v>
      </c>
      <c r="KO41" s="646" t="s">
        <v>554</v>
      </c>
      <c r="KP41" s="680">
        <v>640602</v>
      </c>
      <c r="KQ41" s="766" t="s">
        <v>557</v>
      </c>
      <c r="KR41" s="750" t="s">
        <v>558</v>
      </c>
      <c r="KS41" s="769" t="s">
        <v>554</v>
      </c>
      <c r="KT41" s="770" t="s">
        <v>559</v>
      </c>
      <c r="KU41" s="766" t="s">
        <v>560</v>
      </c>
      <c r="KV41" s="750">
        <v>640602</v>
      </c>
      <c r="KW41" s="771" t="s">
        <v>561</v>
      </c>
      <c r="KX41" s="750" t="s">
        <v>562</v>
      </c>
      <c r="KY41" s="769" t="s">
        <v>563</v>
      </c>
      <c r="KZ41" s="770" t="s">
        <v>558</v>
      </c>
    </row>
    <row r="42" s="628" customFormat="1" customHeight="1" spans="1:312">
      <c r="A42" s="682" t="s">
        <v>300</v>
      </c>
      <c r="B42" s="683">
        <v>38</v>
      </c>
      <c r="C42" s="689" t="s">
        <v>564</v>
      </c>
      <c r="D42" s="691">
        <v>678555</v>
      </c>
      <c r="E42" s="692">
        <v>55.52</v>
      </c>
      <c r="F42" s="692">
        <v>55.26</v>
      </c>
      <c r="G42" s="693">
        <v>0.012211</v>
      </c>
      <c r="H42" s="693">
        <v>0.012319</v>
      </c>
      <c r="I42" s="696">
        <v>1.64174</v>
      </c>
      <c r="J42" s="696">
        <v>1.64851</v>
      </c>
      <c r="K42" s="696">
        <v>1.65581</v>
      </c>
      <c r="L42" s="696">
        <v>1.66213</v>
      </c>
      <c r="M42" s="696">
        <v>1.66325</v>
      </c>
      <c r="N42" s="696">
        <v>1.66416</v>
      </c>
      <c r="O42" s="696">
        <v>1.66763</v>
      </c>
      <c r="P42" s="696">
        <v>1.66996</v>
      </c>
      <c r="Q42" s="697">
        <v>1.67209</v>
      </c>
      <c r="R42" s="697">
        <v>1.6742</v>
      </c>
      <c r="S42" s="697">
        <v>1.67479</v>
      </c>
      <c r="T42" s="701">
        <v>1.67533</v>
      </c>
      <c r="U42" s="697">
        <v>1.67779</v>
      </c>
      <c r="V42" s="697">
        <v>1.6779</v>
      </c>
      <c r="W42" s="697">
        <v>1.68081</v>
      </c>
      <c r="X42" s="697">
        <v>1.68641</v>
      </c>
      <c r="Y42" s="697">
        <v>1.6871</v>
      </c>
      <c r="Z42" s="697">
        <v>1.69304</v>
      </c>
      <c r="AA42" s="697">
        <v>1.69854</v>
      </c>
      <c r="AB42" s="697">
        <v>1.70795</v>
      </c>
      <c r="AC42" s="704">
        <v>2.76662</v>
      </c>
      <c r="AD42" s="704">
        <v>-0.013765997</v>
      </c>
      <c r="AE42" s="704">
        <v>0.0168042016</v>
      </c>
      <c r="AF42" s="704">
        <v>0.000709094213</v>
      </c>
      <c r="AG42" s="704">
        <v>-5.52664143e-5</v>
      </c>
      <c r="AH42" s="704">
        <v>3.02453719e-6</v>
      </c>
      <c r="AI42" s="709">
        <v>0.303</v>
      </c>
      <c r="AJ42" s="709">
        <v>0.2383</v>
      </c>
      <c r="AK42" s="709">
        <v>0.543</v>
      </c>
      <c r="AL42" s="709">
        <v>0.2525</v>
      </c>
      <c r="AM42" s="709">
        <v>0.2362</v>
      </c>
      <c r="AN42" s="709">
        <v>0.4822</v>
      </c>
      <c r="AO42" s="709">
        <v>-0.001</v>
      </c>
      <c r="AP42" s="709">
        <v>-0.0084</v>
      </c>
      <c r="AQ42" s="709">
        <v>0.0131</v>
      </c>
      <c r="AR42" s="709">
        <v>0.0044</v>
      </c>
      <c r="AS42" s="714">
        <v>1.9</v>
      </c>
      <c r="AT42" s="717">
        <v>1.8</v>
      </c>
      <c r="AU42" s="717">
        <v>1.8</v>
      </c>
      <c r="AV42" s="717">
        <v>1.8</v>
      </c>
      <c r="AW42" s="717">
        <v>1.8</v>
      </c>
      <c r="AX42" s="717">
        <v>1.8</v>
      </c>
      <c r="AY42" s="717">
        <v>2</v>
      </c>
      <c r="AZ42" s="717">
        <v>2</v>
      </c>
      <c r="BA42" s="717">
        <v>2.2</v>
      </c>
      <c r="BB42" s="717">
        <v>2.3</v>
      </c>
      <c r="BC42" s="717">
        <v>2.4</v>
      </c>
      <c r="BD42" s="717">
        <v>2.1</v>
      </c>
      <c r="BE42" s="717">
        <v>2</v>
      </c>
      <c r="BF42" s="717">
        <v>2</v>
      </c>
      <c r="BG42" s="717">
        <v>2.1</v>
      </c>
      <c r="BH42" s="717">
        <v>2</v>
      </c>
      <c r="BI42" s="717">
        <v>2.1</v>
      </c>
      <c r="BJ42" s="717">
        <v>2.1</v>
      </c>
      <c r="BK42" s="717">
        <v>2.2</v>
      </c>
      <c r="BL42" s="717">
        <v>2.3</v>
      </c>
      <c r="BM42" s="717">
        <v>2.4</v>
      </c>
      <c r="BN42" s="717">
        <v>2.5</v>
      </c>
      <c r="BO42" s="717">
        <v>2.2</v>
      </c>
      <c r="BP42" s="717">
        <v>2.2</v>
      </c>
      <c r="BQ42" s="717">
        <v>2.2</v>
      </c>
      <c r="BR42" s="717">
        <v>2.2</v>
      </c>
      <c r="BS42" s="717">
        <v>2.2</v>
      </c>
      <c r="BT42" s="717">
        <v>2.3</v>
      </c>
      <c r="BU42" s="717">
        <v>2.3</v>
      </c>
      <c r="BV42" s="717">
        <v>2.4</v>
      </c>
      <c r="BW42" s="717">
        <v>2.5</v>
      </c>
      <c r="BX42" s="717">
        <v>2.6</v>
      </c>
      <c r="BY42" s="717">
        <v>2.7</v>
      </c>
      <c r="BZ42" s="717">
        <v>2.2</v>
      </c>
      <c r="CA42" s="717">
        <v>2.2</v>
      </c>
      <c r="CB42" s="717">
        <v>2.2</v>
      </c>
      <c r="CC42" s="717">
        <v>2.2</v>
      </c>
      <c r="CD42" s="717">
        <v>2.2</v>
      </c>
      <c r="CE42" s="717">
        <v>2.3</v>
      </c>
      <c r="CF42" s="717">
        <v>2.4</v>
      </c>
      <c r="CG42" s="717">
        <v>2.5</v>
      </c>
      <c r="CH42" s="717">
        <v>2.7</v>
      </c>
      <c r="CI42" s="717">
        <v>2.7</v>
      </c>
      <c r="CJ42" s="717">
        <v>2.7</v>
      </c>
      <c r="CK42" s="717">
        <v>2.2</v>
      </c>
      <c r="CL42" s="717">
        <v>2.2</v>
      </c>
      <c r="CM42" s="717">
        <v>2.2</v>
      </c>
      <c r="CN42" s="717">
        <v>2.2</v>
      </c>
      <c r="CO42" s="717">
        <v>2.3</v>
      </c>
      <c r="CP42" s="717">
        <v>2.4</v>
      </c>
      <c r="CQ42" s="717">
        <v>2.4</v>
      </c>
      <c r="CR42" s="717">
        <v>2.5</v>
      </c>
      <c r="CS42" s="717">
        <v>2.7</v>
      </c>
      <c r="CT42" s="717">
        <v>2.7</v>
      </c>
      <c r="CU42" s="717">
        <v>2.8</v>
      </c>
      <c r="CV42" s="717">
        <v>2.3</v>
      </c>
      <c r="CW42" s="717">
        <v>2.4</v>
      </c>
      <c r="CX42" s="717">
        <v>2.4</v>
      </c>
      <c r="CY42" s="717">
        <v>2.4</v>
      </c>
      <c r="CZ42" s="717">
        <v>2.4</v>
      </c>
      <c r="DA42" s="717">
        <v>2.5</v>
      </c>
      <c r="DB42" s="717">
        <v>2.5</v>
      </c>
      <c r="DC42" s="717">
        <v>2.5</v>
      </c>
      <c r="DD42" s="717">
        <v>2.7</v>
      </c>
      <c r="DE42" s="717">
        <v>2.8</v>
      </c>
      <c r="DF42" s="717">
        <v>2.9</v>
      </c>
      <c r="DG42" s="717">
        <v>2.5</v>
      </c>
      <c r="DH42" s="717">
        <v>2.5</v>
      </c>
      <c r="DI42" s="717">
        <v>2.6</v>
      </c>
      <c r="DJ42" s="717">
        <v>2.6</v>
      </c>
      <c r="DK42" s="717">
        <v>2.6</v>
      </c>
      <c r="DL42" s="717">
        <v>2.6</v>
      </c>
      <c r="DM42" s="717">
        <v>2.9</v>
      </c>
      <c r="DN42" s="717">
        <v>3</v>
      </c>
      <c r="DO42" s="717">
        <v>3.2</v>
      </c>
      <c r="DP42" s="717">
        <v>3.3</v>
      </c>
      <c r="DQ42" s="717">
        <v>3.5</v>
      </c>
      <c r="DR42" s="717">
        <v>2.7</v>
      </c>
      <c r="DS42" s="717">
        <v>2.7</v>
      </c>
      <c r="DT42" s="717">
        <v>2.8</v>
      </c>
      <c r="DU42" s="717">
        <v>2.8</v>
      </c>
      <c r="DV42" s="717">
        <v>2.9</v>
      </c>
      <c r="DW42" s="717">
        <v>3</v>
      </c>
      <c r="DX42" s="717">
        <v>3.2</v>
      </c>
      <c r="DY42" s="717">
        <v>3.3</v>
      </c>
      <c r="DZ42" s="717">
        <v>3.4</v>
      </c>
      <c r="EA42" s="717">
        <v>3.5</v>
      </c>
      <c r="EB42" s="717">
        <v>3.7</v>
      </c>
      <c r="EC42" s="717">
        <v>2.7</v>
      </c>
      <c r="ED42" s="717">
        <v>2.8</v>
      </c>
      <c r="EE42" s="717">
        <v>2.8</v>
      </c>
      <c r="EF42" s="717">
        <v>2.9</v>
      </c>
      <c r="EG42" s="717">
        <v>2.9</v>
      </c>
      <c r="EH42" s="717">
        <v>3</v>
      </c>
      <c r="EI42" s="717">
        <v>3.2</v>
      </c>
      <c r="EJ42" s="717">
        <v>3.4</v>
      </c>
      <c r="EK42" s="717">
        <v>3.5</v>
      </c>
      <c r="EL42" s="717">
        <v>3.7</v>
      </c>
      <c r="EM42" s="717">
        <v>3.8</v>
      </c>
      <c r="EN42" s="717">
        <v>3.1</v>
      </c>
      <c r="EO42" s="717">
        <v>3.2</v>
      </c>
      <c r="EP42" s="717">
        <v>3.2</v>
      </c>
      <c r="EQ42" s="717">
        <v>3.2</v>
      </c>
      <c r="ER42" s="717">
        <v>3.4</v>
      </c>
      <c r="ES42" s="717">
        <v>3.4</v>
      </c>
      <c r="ET42" s="717">
        <v>3.6</v>
      </c>
      <c r="EU42" s="717">
        <v>3.6</v>
      </c>
      <c r="EV42" s="717">
        <v>3.8</v>
      </c>
      <c r="EW42" s="717">
        <v>3.9</v>
      </c>
      <c r="EX42" s="717">
        <v>4</v>
      </c>
      <c r="EY42" s="717">
        <v>-0.5</v>
      </c>
      <c r="EZ42" s="717">
        <v>-0.1</v>
      </c>
      <c r="FA42" s="717">
        <v>0.3</v>
      </c>
      <c r="FB42" s="717">
        <v>0.5</v>
      </c>
      <c r="FC42" s="717">
        <v>0.8</v>
      </c>
      <c r="FD42" s="717">
        <v>1.1</v>
      </c>
      <c r="FE42" s="717">
        <v>1.3</v>
      </c>
      <c r="FF42" s="717">
        <v>1.5</v>
      </c>
      <c r="FG42" s="717">
        <v>1.8</v>
      </c>
      <c r="FH42" s="717">
        <v>1.9</v>
      </c>
      <c r="FI42" s="717">
        <v>2.1</v>
      </c>
      <c r="FJ42" s="727">
        <v>1.13e-7</v>
      </c>
      <c r="FK42" s="727">
        <v>1.17e-8</v>
      </c>
      <c r="FL42" s="727">
        <v>-1.44e-11</v>
      </c>
      <c r="FM42" s="727">
        <v>4.21e-7</v>
      </c>
      <c r="FN42" s="727">
        <v>4.77e-10</v>
      </c>
      <c r="FO42" s="727">
        <v>0.211</v>
      </c>
      <c r="FP42" s="731">
        <v>3</v>
      </c>
      <c r="FQ42" s="731">
        <v>3</v>
      </c>
      <c r="FR42" s="731">
        <v>3</v>
      </c>
      <c r="FS42" s="731">
        <v>3</v>
      </c>
      <c r="FT42" s="731">
        <v>2</v>
      </c>
      <c r="FU42" s="731">
        <v>3</v>
      </c>
      <c r="FV42" s="681">
        <v>1</v>
      </c>
      <c r="FW42" s="729"/>
      <c r="FX42" s="729"/>
      <c r="FY42" s="729"/>
      <c r="FZ42" s="744">
        <v>658</v>
      </c>
      <c r="GA42" s="744">
        <v>684</v>
      </c>
      <c r="GB42" s="745">
        <v>595</v>
      </c>
      <c r="GC42" s="745">
        <v>630</v>
      </c>
      <c r="GD42" s="749">
        <v>0.76</v>
      </c>
      <c r="GE42" s="731"/>
      <c r="GF42" s="745">
        <v>70</v>
      </c>
      <c r="GG42" s="745">
        <v>81</v>
      </c>
      <c r="GH42" s="738">
        <v>62</v>
      </c>
      <c r="GI42" s="738">
        <v>65</v>
      </c>
      <c r="GJ42" s="738">
        <v>67</v>
      </c>
      <c r="GK42" s="738">
        <v>68</v>
      </c>
      <c r="GL42" s="738">
        <v>69</v>
      </c>
      <c r="GM42" s="738">
        <v>70</v>
      </c>
      <c r="GN42" s="738">
        <v>71</v>
      </c>
      <c r="GO42" s="738">
        <v>71</v>
      </c>
      <c r="GP42" s="738">
        <v>72</v>
      </c>
      <c r="GQ42" s="738">
        <v>73</v>
      </c>
      <c r="GR42" s="738">
        <v>73</v>
      </c>
      <c r="GS42" s="738">
        <v>74</v>
      </c>
      <c r="GT42" s="738">
        <v>75</v>
      </c>
      <c r="GU42" s="738">
        <v>75</v>
      </c>
      <c r="GV42" s="738">
        <v>76</v>
      </c>
      <c r="GW42" s="738">
        <v>78</v>
      </c>
      <c r="GX42" s="738">
        <v>79</v>
      </c>
      <c r="GY42" s="738">
        <v>80</v>
      </c>
      <c r="GZ42" s="738">
        <v>81</v>
      </c>
      <c r="HA42" s="738">
        <v>82</v>
      </c>
      <c r="HB42" s="738">
        <v>83</v>
      </c>
      <c r="HC42" s="738"/>
      <c r="HD42" s="738">
        <v>120</v>
      </c>
      <c r="HE42" s="738"/>
      <c r="HF42" s="745">
        <v>595</v>
      </c>
      <c r="HG42" s="750">
        <v>117</v>
      </c>
      <c r="HH42" s="714">
        <v>94.6</v>
      </c>
      <c r="HI42" s="714">
        <v>37.3</v>
      </c>
      <c r="HJ42" s="757">
        <v>0.27</v>
      </c>
      <c r="HK42" s="745">
        <v>90</v>
      </c>
      <c r="HL42" s="685">
        <v>1.74</v>
      </c>
      <c r="HM42" s="749">
        <v>3.53</v>
      </c>
      <c r="HN42" s="731" t="s">
        <v>565</v>
      </c>
      <c r="HO42" s="731" t="s">
        <v>566</v>
      </c>
      <c r="HP42" s="715">
        <v>-1.3</v>
      </c>
      <c r="HQ42" s="759">
        <v>0.791</v>
      </c>
      <c r="HR42" s="757">
        <v>0.925</v>
      </c>
      <c r="HS42" s="759">
        <v>0.976</v>
      </c>
      <c r="HT42" s="757">
        <v>0.99</v>
      </c>
      <c r="HU42" s="757">
        <v>0.996</v>
      </c>
      <c r="HV42" s="757">
        <v>0.996</v>
      </c>
      <c r="HW42" s="757">
        <v>0.999</v>
      </c>
      <c r="HX42" s="757">
        <v>0.999</v>
      </c>
      <c r="HY42" s="757">
        <v>0.999</v>
      </c>
      <c r="HZ42" s="757">
        <v>0.999</v>
      </c>
      <c r="IA42" s="757">
        <v>0.999</v>
      </c>
      <c r="IB42" s="757">
        <v>0.999</v>
      </c>
      <c r="IC42" s="757">
        <v>0.999</v>
      </c>
      <c r="ID42" s="757">
        <v>0.999</v>
      </c>
      <c r="IE42" s="757">
        <v>0.999</v>
      </c>
      <c r="IF42" s="757">
        <v>0.998</v>
      </c>
      <c r="IG42" s="757">
        <v>0.998</v>
      </c>
      <c r="IH42" s="757">
        <v>0.998</v>
      </c>
      <c r="II42" s="757">
        <v>0.998</v>
      </c>
      <c r="IJ42" s="757">
        <v>0.998</v>
      </c>
      <c r="IK42" s="757">
        <v>0.996</v>
      </c>
      <c r="IL42" s="757">
        <v>0.996</v>
      </c>
      <c r="IM42" s="757">
        <v>0.995</v>
      </c>
      <c r="IN42" s="757">
        <v>0.993</v>
      </c>
      <c r="IO42" s="757">
        <v>0.991</v>
      </c>
      <c r="IP42" s="757">
        <v>0.987</v>
      </c>
      <c r="IQ42" s="757">
        <v>0.98</v>
      </c>
      <c r="IR42" s="757">
        <v>0.966</v>
      </c>
      <c r="IS42" s="757">
        <v>0.943</v>
      </c>
      <c r="IT42" s="757">
        <v>0.909</v>
      </c>
      <c r="IU42" s="757">
        <v>0.853</v>
      </c>
      <c r="IV42" s="757">
        <v>0.777</v>
      </c>
      <c r="IW42" s="757">
        <v>0.686</v>
      </c>
      <c r="IX42" s="757">
        <v>0.58</v>
      </c>
      <c r="IY42" s="757">
        <v>0.467</v>
      </c>
      <c r="IZ42" s="757">
        <v>0.355</v>
      </c>
      <c r="JA42" s="759">
        <v>0.625</v>
      </c>
      <c r="JB42" s="759">
        <v>0.855</v>
      </c>
      <c r="JC42" s="757">
        <v>0.953</v>
      </c>
      <c r="JD42" s="757">
        <v>0.979</v>
      </c>
      <c r="JE42" s="757">
        <v>0.991</v>
      </c>
      <c r="JF42" s="757">
        <v>0.991</v>
      </c>
      <c r="JG42" s="757">
        <v>0.998</v>
      </c>
      <c r="JH42" s="757">
        <v>0.998</v>
      </c>
      <c r="JI42" s="757">
        <v>0.998</v>
      </c>
      <c r="JJ42" s="757">
        <v>0.998</v>
      </c>
      <c r="JK42" s="757">
        <v>0.998</v>
      </c>
      <c r="JL42" s="757">
        <v>0.998</v>
      </c>
      <c r="JM42" s="757">
        <v>0.998</v>
      </c>
      <c r="JN42" s="757">
        <v>0.998</v>
      </c>
      <c r="JO42" s="757">
        <v>0.998</v>
      </c>
      <c r="JP42" s="757">
        <v>0.997</v>
      </c>
      <c r="JQ42" s="757">
        <v>0.997</v>
      </c>
      <c r="JR42" s="757">
        <v>0.997</v>
      </c>
      <c r="JS42" s="757">
        <v>0.997</v>
      </c>
      <c r="JT42" s="757">
        <v>0.996</v>
      </c>
      <c r="JU42" s="757">
        <v>0.993</v>
      </c>
      <c r="JV42" s="757">
        <v>0.992</v>
      </c>
      <c r="JW42" s="757">
        <v>0.99</v>
      </c>
      <c r="JX42" s="757">
        <v>0.987</v>
      </c>
      <c r="JY42" s="757">
        <v>0.983</v>
      </c>
      <c r="JZ42" s="757">
        <v>0.974</v>
      </c>
      <c r="KA42" s="757">
        <v>0.96</v>
      </c>
      <c r="KB42" s="757">
        <v>0.933</v>
      </c>
      <c r="KC42" s="757">
        <v>0.889</v>
      </c>
      <c r="KD42" s="757">
        <v>0.826</v>
      </c>
      <c r="KE42" s="757">
        <v>0.727</v>
      </c>
      <c r="KF42" s="757">
        <v>0.603</v>
      </c>
      <c r="KG42" s="757">
        <v>0.471</v>
      </c>
      <c r="KH42" s="757">
        <v>0.336</v>
      </c>
      <c r="KI42" s="757">
        <v>0.218</v>
      </c>
      <c r="KJ42" s="757">
        <v>0.126</v>
      </c>
      <c r="KK42" s="765" t="s">
        <v>281</v>
      </c>
      <c r="KL42" s="738">
        <v>45</v>
      </c>
      <c r="KM42" s="738">
        <v>159</v>
      </c>
      <c r="KN42" s="646" t="s">
        <v>339</v>
      </c>
      <c r="KO42" s="646" t="s">
        <v>564</v>
      </c>
      <c r="KP42" s="691">
        <v>678555</v>
      </c>
      <c r="KQ42" s="766" t="s">
        <v>567</v>
      </c>
      <c r="KR42" s="750" t="s">
        <v>568</v>
      </c>
      <c r="KS42" s="769" t="s">
        <v>564</v>
      </c>
      <c r="KT42" s="770" t="s">
        <v>569</v>
      </c>
      <c r="KU42" s="766" t="s">
        <v>570</v>
      </c>
      <c r="KV42" s="750">
        <v>678555</v>
      </c>
      <c r="KW42" s="771" t="s">
        <v>571</v>
      </c>
      <c r="KX42" s="750" t="s">
        <v>569</v>
      </c>
      <c r="KY42" s="769" t="s">
        <v>572</v>
      </c>
      <c r="KZ42" s="770" t="s">
        <v>573</v>
      </c>
    </row>
    <row r="43" s="628" customFormat="1" customHeight="1" spans="1:312">
      <c r="A43" s="682" t="s">
        <v>374</v>
      </c>
      <c r="B43" s="683">
        <v>39</v>
      </c>
      <c r="C43" s="689" t="s">
        <v>574</v>
      </c>
      <c r="D43" s="680">
        <v>694533</v>
      </c>
      <c r="E43" s="685">
        <v>53.31</v>
      </c>
      <c r="F43" s="685">
        <v>53.11</v>
      </c>
      <c r="G43" s="686">
        <v>0.013008</v>
      </c>
      <c r="H43" s="686">
        <v>0.013115</v>
      </c>
      <c r="I43" s="696">
        <v>1.65451</v>
      </c>
      <c r="J43" s="696">
        <v>1.66191</v>
      </c>
      <c r="K43" s="696">
        <v>1.66989</v>
      </c>
      <c r="L43" s="696">
        <v>1.67672</v>
      </c>
      <c r="M43" s="696">
        <v>1.67791</v>
      </c>
      <c r="N43" s="696">
        <v>1.67889</v>
      </c>
      <c r="O43" s="696">
        <v>1.68258</v>
      </c>
      <c r="P43" s="696">
        <v>1.68506</v>
      </c>
      <c r="Q43" s="697">
        <v>1.68731</v>
      </c>
      <c r="R43" s="697">
        <v>1.68955</v>
      </c>
      <c r="S43" s="697">
        <v>1.69018</v>
      </c>
      <c r="T43" s="701">
        <v>1.69076</v>
      </c>
      <c r="U43" s="697">
        <v>1.69337</v>
      </c>
      <c r="V43" s="697">
        <v>1.6935</v>
      </c>
      <c r="W43" s="697">
        <v>1.6966</v>
      </c>
      <c r="X43" s="697">
        <v>1.70256</v>
      </c>
      <c r="Y43" s="697">
        <v>1.7033</v>
      </c>
      <c r="Z43" s="697">
        <v>1.70965</v>
      </c>
      <c r="AA43" s="697">
        <v>1.71556</v>
      </c>
      <c r="AB43" s="697">
        <v>1.72565</v>
      </c>
      <c r="AC43" s="704">
        <v>2.81648072</v>
      </c>
      <c r="AD43" s="705">
        <v>-0.0152313167</v>
      </c>
      <c r="AE43" s="705">
        <v>0.0176168363</v>
      </c>
      <c r="AF43" s="705">
        <v>0.000807769313</v>
      </c>
      <c r="AG43" s="705">
        <v>-5.32742539e-5</v>
      </c>
      <c r="AH43" s="705">
        <v>2.58509025e-6</v>
      </c>
      <c r="AI43" s="709">
        <v>0.3037</v>
      </c>
      <c r="AJ43" s="709">
        <v>0.2383</v>
      </c>
      <c r="AK43" s="709">
        <v>0.545</v>
      </c>
      <c r="AL43" s="709">
        <v>0.2531</v>
      </c>
      <c r="AM43" s="709">
        <v>0.2364</v>
      </c>
      <c r="AN43" s="709">
        <v>0.4842</v>
      </c>
      <c r="AO43" s="709">
        <v>-0.0026</v>
      </c>
      <c r="AP43" s="709">
        <v>-0.01</v>
      </c>
      <c r="AQ43" s="709">
        <v>0.0211</v>
      </c>
      <c r="AR43" s="709">
        <v>0.0075</v>
      </c>
      <c r="AS43" s="714">
        <v>5</v>
      </c>
      <c r="AT43" s="716">
        <v>4.8</v>
      </c>
      <c r="AU43" s="716">
        <v>4.7</v>
      </c>
      <c r="AV43" s="716">
        <v>4.7</v>
      </c>
      <c r="AW43" s="716">
        <v>4.6</v>
      </c>
      <c r="AX43" s="716">
        <v>4.9</v>
      </c>
      <c r="AY43" s="716">
        <v>5</v>
      </c>
      <c r="AZ43" s="716">
        <v>5</v>
      </c>
      <c r="BA43" s="716">
        <v>5.1</v>
      </c>
      <c r="BB43" s="716">
        <v>5.1</v>
      </c>
      <c r="BC43" s="716">
        <v>5</v>
      </c>
      <c r="BD43" s="716">
        <v>5.1</v>
      </c>
      <c r="BE43" s="716">
        <v>5.1</v>
      </c>
      <c r="BF43" s="716">
        <v>5</v>
      </c>
      <c r="BG43" s="716">
        <v>5</v>
      </c>
      <c r="BH43" s="716">
        <v>5</v>
      </c>
      <c r="BI43" s="716">
        <v>5.1</v>
      </c>
      <c r="BJ43" s="716">
        <v>5.2</v>
      </c>
      <c r="BK43" s="716">
        <v>5.3</v>
      </c>
      <c r="BL43" s="716">
        <v>5.4</v>
      </c>
      <c r="BM43" s="716">
        <v>5.5</v>
      </c>
      <c r="BN43" s="716">
        <v>5.4</v>
      </c>
      <c r="BO43" s="716">
        <v>5.2</v>
      </c>
      <c r="BP43" s="716">
        <v>5.3</v>
      </c>
      <c r="BQ43" s="716">
        <v>5.3</v>
      </c>
      <c r="BR43" s="716">
        <v>5.2</v>
      </c>
      <c r="BS43" s="716">
        <v>5.2</v>
      </c>
      <c r="BT43" s="716">
        <v>5.3</v>
      </c>
      <c r="BU43" s="716">
        <v>5.4</v>
      </c>
      <c r="BV43" s="716">
        <v>5.6</v>
      </c>
      <c r="BW43" s="716">
        <v>5.8</v>
      </c>
      <c r="BX43" s="716">
        <v>5.9</v>
      </c>
      <c r="BY43" s="716">
        <v>6</v>
      </c>
      <c r="BZ43" s="716">
        <v>5.3</v>
      </c>
      <c r="CA43" s="716">
        <v>5.3</v>
      </c>
      <c r="CB43" s="716">
        <v>5.3</v>
      </c>
      <c r="CC43" s="716">
        <v>5.2</v>
      </c>
      <c r="CD43" s="716">
        <v>5.2</v>
      </c>
      <c r="CE43" s="716">
        <v>5.3</v>
      </c>
      <c r="CF43" s="716">
        <v>5.5</v>
      </c>
      <c r="CG43" s="716">
        <v>5.7</v>
      </c>
      <c r="CH43" s="716">
        <v>5.9</v>
      </c>
      <c r="CI43" s="716">
        <v>6</v>
      </c>
      <c r="CJ43" s="716">
        <v>6</v>
      </c>
      <c r="CK43" s="716">
        <v>5.3</v>
      </c>
      <c r="CL43" s="719">
        <v>5.4</v>
      </c>
      <c r="CM43" s="719">
        <v>5.3</v>
      </c>
      <c r="CN43" s="719">
        <v>5.3</v>
      </c>
      <c r="CO43" s="719">
        <v>5.3</v>
      </c>
      <c r="CP43" s="719">
        <v>5.4</v>
      </c>
      <c r="CQ43" s="719">
        <v>5.6</v>
      </c>
      <c r="CR43" s="716">
        <v>5.8</v>
      </c>
      <c r="CS43" s="716">
        <v>6</v>
      </c>
      <c r="CT43" s="716">
        <v>6.1</v>
      </c>
      <c r="CU43" s="716">
        <v>6.1</v>
      </c>
      <c r="CV43" s="716">
        <v>5.4</v>
      </c>
      <c r="CW43" s="719">
        <v>5.5</v>
      </c>
      <c r="CX43" s="719">
        <v>5.4</v>
      </c>
      <c r="CY43" s="719">
        <v>5.3</v>
      </c>
      <c r="CZ43" s="719">
        <v>5.4</v>
      </c>
      <c r="DA43" s="719">
        <v>5.6</v>
      </c>
      <c r="DB43" s="719">
        <v>5.8</v>
      </c>
      <c r="DC43" s="716">
        <v>6</v>
      </c>
      <c r="DD43" s="716">
        <v>6.1</v>
      </c>
      <c r="DE43" s="716">
        <v>6.3</v>
      </c>
      <c r="DF43" s="716">
        <v>6.3</v>
      </c>
      <c r="DG43" s="716">
        <v>5.8</v>
      </c>
      <c r="DH43" s="719">
        <v>5.7</v>
      </c>
      <c r="DI43" s="719">
        <v>5.6</v>
      </c>
      <c r="DJ43" s="719">
        <v>5.6</v>
      </c>
      <c r="DK43" s="719">
        <v>5.7</v>
      </c>
      <c r="DL43" s="719">
        <v>5.8</v>
      </c>
      <c r="DM43" s="719">
        <v>6</v>
      </c>
      <c r="DN43" s="716">
        <v>6.1</v>
      </c>
      <c r="DO43" s="716">
        <v>6.4</v>
      </c>
      <c r="DP43" s="716">
        <v>6.6</v>
      </c>
      <c r="DQ43" s="716">
        <v>6.7</v>
      </c>
      <c r="DR43" s="716">
        <v>6.1</v>
      </c>
      <c r="DS43" s="719">
        <v>5.9</v>
      </c>
      <c r="DT43" s="719">
        <v>5.9</v>
      </c>
      <c r="DU43" s="719">
        <v>5.9</v>
      </c>
      <c r="DV43" s="719">
        <v>6</v>
      </c>
      <c r="DW43" s="719">
        <v>6.2</v>
      </c>
      <c r="DX43" s="719">
        <v>6.4</v>
      </c>
      <c r="DY43" s="716">
        <v>6.5</v>
      </c>
      <c r="DZ43" s="716">
        <v>6.8</v>
      </c>
      <c r="EA43" s="716">
        <v>7</v>
      </c>
      <c r="EB43" s="716">
        <v>7.2</v>
      </c>
      <c r="EC43" s="716">
        <v>6.1</v>
      </c>
      <c r="ED43" s="719">
        <v>6</v>
      </c>
      <c r="EE43" s="719">
        <v>6</v>
      </c>
      <c r="EF43" s="719">
        <v>6</v>
      </c>
      <c r="EG43" s="719">
        <v>6.1</v>
      </c>
      <c r="EH43" s="719">
        <v>6.3</v>
      </c>
      <c r="EI43" s="719">
        <v>6.5</v>
      </c>
      <c r="EJ43" s="716">
        <v>6.6</v>
      </c>
      <c r="EK43" s="716">
        <v>6.9</v>
      </c>
      <c r="EL43" s="716">
        <v>7.1</v>
      </c>
      <c r="EM43" s="716">
        <v>7.3</v>
      </c>
      <c r="EN43" s="716">
        <v>6.5</v>
      </c>
      <c r="EO43" s="719">
        <v>6.4</v>
      </c>
      <c r="EP43" s="719">
        <v>6.4</v>
      </c>
      <c r="EQ43" s="719">
        <v>6.4</v>
      </c>
      <c r="ER43" s="719">
        <v>6.5</v>
      </c>
      <c r="ES43" s="719">
        <v>6.7</v>
      </c>
      <c r="ET43" s="719">
        <v>6.9</v>
      </c>
      <c r="EU43" s="716">
        <v>7</v>
      </c>
      <c r="EV43" s="716">
        <v>7.3</v>
      </c>
      <c r="EW43" s="716">
        <v>7.5</v>
      </c>
      <c r="EX43" s="716">
        <v>7.6</v>
      </c>
      <c r="EY43" s="716">
        <v>2.6</v>
      </c>
      <c r="EZ43" s="719">
        <v>3.1</v>
      </c>
      <c r="FA43" s="719">
        <v>3.3</v>
      </c>
      <c r="FB43" s="719">
        <v>3.6</v>
      </c>
      <c r="FC43" s="719">
        <v>3.8</v>
      </c>
      <c r="FD43" s="719">
        <v>4.1</v>
      </c>
      <c r="FE43" s="719">
        <v>4.5</v>
      </c>
      <c r="FF43" s="716">
        <v>4.8</v>
      </c>
      <c r="FG43" s="716">
        <v>5.1</v>
      </c>
      <c r="FH43" s="716">
        <v>5.3</v>
      </c>
      <c r="FI43" s="716">
        <v>5.3</v>
      </c>
      <c r="FJ43" s="724">
        <v>5.25e-6</v>
      </c>
      <c r="FK43" s="724">
        <v>1.04e-8</v>
      </c>
      <c r="FL43" s="724">
        <v>-7.12e-12</v>
      </c>
      <c r="FM43" s="724">
        <v>6.31e-7</v>
      </c>
      <c r="FN43" s="724">
        <v>9.91e-10</v>
      </c>
      <c r="FO43" s="724">
        <v>0.0671</v>
      </c>
      <c r="FP43" s="729">
        <v>2</v>
      </c>
      <c r="FQ43" s="729">
        <v>3</v>
      </c>
      <c r="FR43" s="729">
        <v>1</v>
      </c>
      <c r="FS43" s="729">
        <v>3</v>
      </c>
      <c r="FT43" s="729">
        <v>1</v>
      </c>
      <c r="FU43" s="729">
        <v>2</v>
      </c>
      <c r="FV43" s="681">
        <v>1</v>
      </c>
      <c r="FW43" s="729"/>
      <c r="FX43" s="729"/>
      <c r="FY43" s="729"/>
      <c r="FZ43" s="743">
        <v>646</v>
      </c>
      <c r="GA43" s="743">
        <v>674</v>
      </c>
      <c r="GB43" s="681">
        <v>580</v>
      </c>
      <c r="GC43" s="681">
        <v>625</v>
      </c>
      <c r="GD43" s="747">
        <v>0.94</v>
      </c>
      <c r="GE43" s="729"/>
      <c r="GF43" s="681">
        <v>51</v>
      </c>
      <c r="GG43" s="681">
        <v>67</v>
      </c>
      <c r="GH43" s="745">
        <v>46</v>
      </c>
      <c r="GI43" s="745">
        <v>47</v>
      </c>
      <c r="GJ43" s="745">
        <v>49</v>
      </c>
      <c r="GK43" s="745">
        <v>50</v>
      </c>
      <c r="GL43" s="745">
        <v>51</v>
      </c>
      <c r="GM43" s="745">
        <v>52</v>
      </c>
      <c r="GN43" s="745">
        <v>52</v>
      </c>
      <c r="GO43" s="745">
        <v>53</v>
      </c>
      <c r="GP43" s="745">
        <v>54</v>
      </c>
      <c r="GQ43" s="745">
        <v>54</v>
      </c>
      <c r="GR43" s="745">
        <v>55</v>
      </c>
      <c r="GS43" s="745">
        <v>55</v>
      </c>
      <c r="GT43" s="745">
        <v>56</v>
      </c>
      <c r="GU43" s="745">
        <v>56</v>
      </c>
      <c r="GV43" s="745">
        <v>57</v>
      </c>
      <c r="GW43" s="745">
        <v>58</v>
      </c>
      <c r="GX43" s="745">
        <v>58</v>
      </c>
      <c r="GY43" s="745">
        <v>59</v>
      </c>
      <c r="GZ43" s="745">
        <v>60</v>
      </c>
      <c r="HA43" s="745">
        <v>61</v>
      </c>
      <c r="HB43" s="745">
        <v>62</v>
      </c>
      <c r="HC43" s="681"/>
      <c r="HD43" s="750">
        <v>145</v>
      </c>
      <c r="HE43" s="681"/>
      <c r="HF43" s="681">
        <v>665</v>
      </c>
      <c r="HG43" s="681">
        <v>84</v>
      </c>
      <c r="HH43" s="714">
        <v>109.8</v>
      </c>
      <c r="HI43" s="714">
        <v>42</v>
      </c>
      <c r="HJ43" s="753">
        <v>0.309</v>
      </c>
      <c r="HK43" s="681">
        <v>87</v>
      </c>
      <c r="HL43" s="685">
        <v>1.96</v>
      </c>
      <c r="HM43" s="747">
        <v>3.57</v>
      </c>
      <c r="HN43" s="729" t="s">
        <v>451</v>
      </c>
      <c r="HO43" s="729" t="s">
        <v>575</v>
      </c>
      <c r="HP43" s="714">
        <v>-1.8</v>
      </c>
      <c r="HQ43" s="754">
        <v>0.752</v>
      </c>
      <c r="HR43" s="754">
        <v>0.915</v>
      </c>
      <c r="HS43" s="754">
        <v>0.983</v>
      </c>
      <c r="HT43" s="754">
        <v>0.998</v>
      </c>
      <c r="HU43" s="754">
        <v>0.999</v>
      </c>
      <c r="HV43" s="754">
        <v>0.999</v>
      </c>
      <c r="HW43" s="754">
        <v>0.999</v>
      </c>
      <c r="HX43" s="754">
        <v>0.999</v>
      </c>
      <c r="HY43" s="754">
        <v>0.999</v>
      </c>
      <c r="HZ43" s="754">
        <v>0.999</v>
      </c>
      <c r="IA43" s="754">
        <v>0.999</v>
      </c>
      <c r="IB43" s="754">
        <v>0.999</v>
      </c>
      <c r="IC43" s="754">
        <v>0.999</v>
      </c>
      <c r="ID43" s="754">
        <v>0.999</v>
      </c>
      <c r="IE43" s="754">
        <v>0.999</v>
      </c>
      <c r="IF43" s="754">
        <v>0.999</v>
      </c>
      <c r="IG43" s="754">
        <v>0.999</v>
      </c>
      <c r="IH43" s="754">
        <v>0.999</v>
      </c>
      <c r="II43" s="754">
        <v>0.999</v>
      </c>
      <c r="IJ43" s="754">
        <v>0.999</v>
      </c>
      <c r="IK43" s="754">
        <v>0.999</v>
      </c>
      <c r="IL43" s="754">
        <v>0.999</v>
      </c>
      <c r="IM43" s="754">
        <v>0.994</v>
      </c>
      <c r="IN43" s="754">
        <v>0.99</v>
      </c>
      <c r="IO43" s="754">
        <v>0.987</v>
      </c>
      <c r="IP43" s="754">
        <v>0.981</v>
      </c>
      <c r="IQ43" s="754">
        <v>0.971</v>
      </c>
      <c r="IR43" s="754">
        <v>0.955</v>
      </c>
      <c r="IS43" s="754">
        <v>0.924</v>
      </c>
      <c r="IT43" s="754">
        <v>0.879</v>
      </c>
      <c r="IU43" s="754">
        <v>0.81</v>
      </c>
      <c r="IV43" s="754">
        <v>0.707</v>
      </c>
      <c r="IW43" s="754">
        <v>0.551</v>
      </c>
      <c r="IX43" s="754">
        <v>0.301</v>
      </c>
      <c r="IY43" s="753"/>
      <c r="IZ43" s="753"/>
      <c r="JA43" s="754">
        <v>0.566</v>
      </c>
      <c r="JB43" s="754">
        <v>0.837</v>
      </c>
      <c r="JC43" s="754">
        <v>0.966</v>
      </c>
      <c r="JD43" s="754">
        <v>0.996</v>
      </c>
      <c r="JE43" s="754">
        <v>0.998</v>
      </c>
      <c r="JF43" s="754">
        <v>0.998</v>
      </c>
      <c r="JG43" s="754">
        <v>0.998</v>
      </c>
      <c r="JH43" s="754">
        <v>0.998</v>
      </c>
      <c r="JI43" s="754">
        <v>0.998</v>
      </c>
      <c r="JJ43" s="754">
        <v>0.998</v>
      </c>
      <c r="JK43" s="754">
        <v>0.998</v>
      </c>
      <c r="JL43" s="754">
        <v>0.998</v>
      </c>
      <c r="JM43" s="754">
        <v>0.998</v>
      </c>
      <c r="JN43" s="754">
        <v>0.998</v>
      </c>
      <c r="JO43" s="754">
        <v>0.998</v>
      </c>
      <c r="JP43" s="754">
        <v>0.998</v>
      </c>
      <c r="JQ43" s="754">
        <v>0.998</v>
      </c>
      <c r="JR43" s="754">
        <v>0.998</v>
      </c>
      <c r="JS43" s="754">
        <v>0.998</v>
      </c>
      <c r="JT43" s="754">
        <v>0.998</v>
      </c>
      <c r="JU43" s="754">
        <v>0.998</v>
      </c>
      <c r="JV43" s="754">
        <v>0.998</v>
      </c>
      <c r="JW43" s="754">
        <v>0.989</v>
      </c>
      <c r="JX43" s="754">
        <v>0.985</v>
      </c>
      <c r="JY43" s="754">
        <v>0.977</v>
      </c>
      <c r="JZ43" s="754">
        <v>0.966</v>
      </c>
      <c r="KA43" s="754">
        <v>0.946</v>
      </c>
      <c r="KB43" s="754">
        <v>0.91</v>
      </c>
      <c r="KC43" s="754">
        <v>0.856</v>
      </c>
      <c r="KD43" s="754">
        <v>0.771</v>
      </c>
      <c r="KE43" s="754">
        <v>0.654</v>
      </c>
      <c r="KF43" s="754">
        <v>0.499</v>
      </c>
      <c r="KG43" s="754">
        <v>0.3</v>
      </c>
      <c r="KH43" s="754">
        <v>0.089</v>
      </c>
      <c r="KI43" s="753"/>
      <c r="KJ43" s="753"/>
      <c r="KK43" s="765" t="s">
        <v>281</v>
      </c>
      <c r="KL43" s="738">
        <v>60</v>
      </c>
      <c r="KM43" s="738">
        <v>214</v>
      </c>
      <c r="KN43" s="646" t="s">
        <v>303</v>
      </c>
      <c r="KO43" s="646" t="s">
        <v>574</v>
      </c>
      <c r="KP43" s="680">
        <v>694533</v>
      </c>
      <c r="KQ43" s="766" t="s">
        <v>576</v>
      </c>
      <c r="KR43" s="750" t="s">
        <v>577</v>
      </c>
      <c r="KS43" s="769" t="s">
        <v>578</v>
      </c>
      <c r="KT43" s="770" t="s">
        <v>579</v>
      </c>
      <c r="KU43" s="766" t="s">
        <v>580</v>
      </c>
      <c r="KV43" s="750">
        <v>694533</v>
      </c>
      <c r="KW43" s="771"/>
      <c r="KX43" s="750"/>
      <c r="KY43" s="769"/>
      <c r="KZ43" s="770"/>
    </row>
    <row r="44" s="628" customFormat="1" customHeight="1" spans="1:312">
      <c r="A44" s="682" t="s">
        <v>277</v>
      </c>
      <c r="B44" s="683">
        <v>40</v>
      </c>
      <c r="C44" s="689" t="s">
        <v>581</v>
      </c>
      <c r="D44" s="680">
        <v>713539</v>
      </c>
      <c r="E44" s="685">
        <v>53.94</v>
      </c>
      <c r="F44" s="685">
        <v>53.72</v>
      </c>
      <c r="G44" s="686">
        <v>0.013219</v>
      </c>
      <c r="H44" s="686">
        <v>0.013332</v>
      </c>
      <c r="I44" s="696">
        <v>1.6745</v>
      </c>
      <c r="J44" s="696">
        <v>1.6816</v>
      </c>
      <c r="K44" s="696">
        <v>1.6893</v>
      </c>
      <c r="L44" s="696">
        <v>1.69601</v>
      </c>
      <c r="M44" s="696">
        <v>1.6972</v>
      </c>
      <c r="N44" s="696">
        <v>1.69818</v>
      </c>
      <c r="O44" s="696">
        <v>1.7019</v>
      </c>
      <c r="P44" s="696">
        <v>1.70441</v>
      </c>
      <c r="Q44" s="697">
        <v>1.7067</v>
      </c>
      <c r="R44" s="697">
        <v>1.70898</v>
      </c>
      <c r="S44" s="697">
        <v>1.70962</v>
      </c>
      <c r="T44" s="701">
        <v>1.71021</v>
      </c>
      <c r="U44" s="697">
        <v>1.71287</v>
      </c>
      <c r="V44" s="697">
        <v>1.713</v>
      </c>
      <c r="W44" s="697">
        <v>1.71615</v>
      </c>
      <c r="X44" s="697">
        <v>1.7222</v>
      </c>
      <c r="Y44" s="697">
        <v>1.72295</v>
      </c>
      <c r="Z44" s="697">
        <v>1.72943</v>
      </c>
      <c r="AA44" s="697">
        <v>1.73545</v>
      </c>
      <c r="AB44" s="697">
        <v>1.74574</v>
      </c>
      <c r="AC44" s="704">
        <v>2.87989018</v>
      </c>
      <c r="AD44" s="705">
        <v>-0.0146958687</v>
      </c>
      <c r="AE44" s="705">
        <v>0.0189956868</v>
      </c>
      <c r="AF44" s="705">
        <v>0.000606495285</v>
      </c>
      <c r="AG44" s="705">
        <v>-2.91346717e-5</v>
      </c>
      <c r="AH44" s="705">
        <v>1.65584289e-6</v>
      </c>
      <c r="AI44" s="709">
        <v>0.3041</v>
      </c>
      <c r="AJ44" s="709">
        <v>0.2383</v>
      </c>
      <c r="AK44" s="709">
        <v>0.5469</v>
      </c>
      <c r="AL44" s="709">
        <v>0.2535</v>
      </c>
      <c r="AM44" s="709">
        <v>0.2363</v>
      </c>
      <c r="AN44" s="709">
        <v>0.486</v>
      </c>
      <c r="AO44" s="709">
        <v>-0.0028</v>
      </c>
      <c r="AP44" s="709">
        <v>-0.0071</v>
      </c>
      <c r="AQ44" s="709">
        <v>0.0155</v>
      </c>
      <c r="AR44" s="709">
        <v>0.0057</v>
      </c>
      <c r="AS44" s="714">
        <v>3.6</v>
      </c>
      <c r="AT44" s="714">
        <v>3.6</v>
      </c>
      <c r="AU44" s="714">
        <v>3.7</v>
      </c>
      <c r="AV44" s="714">
        <v>3.7</v>
      </c>
      <c r="AW44" s="714">
        <v>3.7</v>
      </c>
      <c r="AX44" s="714">
        <v>3.7</v>
      </c>
      <c r="AY44" s="714">
        <v>3.8</v>
      </c>
      <c r="AZ44" s="714">
        <v>3.9</v>
      </c>
      <c r="BA44" s="714">
        <v>4.1</v>
      </c>
      <c r="BB44" s="714">
        <v>4.2</v>
      </c>
      <c r="BC44" s="714">
        <v>4.3</v>
      </c>
      <c r="BD44" s="714">
        <v>3.8</v>
      </c>
      <c r="BE44" s="714">
        <v>3.8</v>
      </c>
      <c r="BF44" s="714">
        <v>3.9</v>
      </c>
      <c r="BG44" s="714">
        <v>3.9</v>
      </c>
      <c r="BH44" s="714">
        <v>3.9</v>
      </c>
      <c r="BI44" s="714">
        <v>3.9</v>
      </c>
      <c r="BJ44" s="714">
        <v>4</v>
      </c>
      <c r="BK44" s="714">
        <v>4.1</v>
      </c>
      <c r="BL44" s="714">
        <v>4.3</v>
      </c>
      <c r="BM44" s="714">
        <v>4.4</v>
      </c>
      <c r="BN44" s="714">
        <v>4.5</v>
      </c>
      <c r="BO44" s="714">
        <v>4</v>
      </c>
      <c r="BP44" s="714">
        <v>4</v>
      </c>
      <c r="BQ44" s="714">
        <v>4.1</v>
      </c>
      <c r="BR44" s="714">
        <v>4.1</v>
      </c>
      <c r="BS44" s="714">
        <v>4.1</v>
      </c>
      <c r="BT44" s="714">
        <v>4.2</v>
      </c>
      <c r="BU44" s="714">
        <v>4.3</v>
      </c>
      <c r="BV44" s="714">
        <v>4.5</v>
      </c>
      <c r="BW44" s="714">
        <v>4.7</v>
      </c>
      <c r="BX44" s="714">
        <v>4.8</v>
      </c>
      <c r="BY44" s="714">
        <v>5</v>
      </c>
      <c r="BZ44" s="714">
        <v>4.1</v>
      </c>
      <c r="CA44" s="714">
        <v>4</v>
      </c>
      <c r="CB44" s="714">
        <v>4.1</v>
      </c>
      <c r="CC44" s="714">
        <v>4.1</v>
      </c>
      <c r="CD44" s="714">
        <v>4.1</v>
      </c>
      <c r="CE44" s="714">
        <v>4.2</v>
      </c>
      <c r="CF44" s="714">
        <v>4.3</v>
      </c>
      <c r="CG44" s="714">
        <v>4.5</v>
      </c>
      <c r="CH44" s="714">
        <v>4.7</v>
      </c>
      <c r="CI44" s="714">
        <v>4.8</v>
      </c>
      <c r="CJ44" s="714">
        <v>5</v>
      </c>
      <c r="CK44" s="714">
        <v>4.1</v>
      </c>
      <c r="CL44" s="715">
        <v>4.1</v>
      </c>
      <c r="CM44" s="715">
        <v>4.1</v>
      </c>
      <c r="CN44" s="715">
        <v>4.1</v>
      </c>
      <c r="CO44" s="715">
        <v>4.2</v>
      </c>
      <c r="CP44" s="715">
        <v>4.2</v>
      </c>
      <c r="CQ44" s="715">
        <v>4.4</v>
      </c>
      <c r="CR44" s="714">
        <v>4.5</v>
      </c>
      <c r="CS44" s="714">
        <v>4.8</v>
      </c>
      <c r="CT44" s="714">
        <v>4.9</v>
      </c>
      <c r="CU44" s="714">
        <v>5.1</v>
      </c>
      <c r="CV44" s="714">
        <v>4.2</v>
      </c>
      <c r="CW44" s="715">
        <v>4.3</v>
      </c>
      <c r="CX44" s="715">
        <v>4.3</v>
      </c>
      <c r="CY44" s="715">
        <v>4.4</v>
      </c>
      <c r="CZ44" s="715">
        <v>4.4</v>
      </c>
      <c r="DA44" s="715">
        <v>4.5</v>
      </c>
      <c r="DB44" s="715">
        <v>4.7</v>
      </c>
      <c r="DC44" s="714">
        <v>4.8</v>
      </c>
      <c r="DD44" s="714">
        <v>5.1</v>
      </c>
      <c r="DE44" s="714">
        <v>5.3</v>
      </c>
      <c r="DF44" s="714">
        <v>5.4</v>
      </c>
      <c r="DG44" s="714">
        <v>4.3</v>
      </c>
      <c r="DH44" s="715">
        <v>4.3</v>
      </c>
      <c r="DI44" s="715">
        <v>4.5</v>
      </c>
      <c r="DJ44" s="715">
        <v>4.5</v>
      </c>
      <c r="DK44" s="715">
        <v>4.6</v>
      </c>
      <c r="DL44" s="715">
        <v>4.7</v>
      </c>
      <c r="DM44" s="715">
        <v>4.9</v>
      </c>
      <c r="DN44" s="714">
        <v>5</v>
      </c>
      <c r="DO44" s="714">
        <v>5.3</v>
      </c>
      <c r="DP44" s="714">
        <v>5.4</v>
      </c>
      <c r="DQ44" s="714">
        <v>5.6</v>
      </c>
      <c r="DR44" s="714">
        <v>4.7</v>
      </c>
      <c r="DS44" s="715">
        <v>4.8</v>
      </c>
      <c r="DT44" s="715">
        <v>4.8</v>
      </c>
      <c r="DU44" s="715">
        <v>5</v>
      </c>
      <c r="DV44" s="715">
        <v>5</v>
      </c>
      <c r="DW44" s="715">
        <v>5.1</v>
      </c>
      <c r="DX44" s="715">
        <v>5.3</v>
      </c>
      <c r="DY44" s="714">
        <v>5.4</v>
      </c>
      <c r="DZ44" s="714">
        <v>5.4</v>
      </c>
      <c r="EA44" s="714">
        <v>5.6</v>
      </c>
      <c r="EB44" s="714">
        <v>5.7</v>
      </c>
      <c r="EC44" s="714">
        <v>4.7</v>
      </c>
      <c r="ED44" s="715">
        <v>4.9</v>
      </c>
      <c r="EE44" s="715">
        <v>4.9</v>
      </c>
      <c r="EF44" s="715">
        <v>5.1</v>
      </c>
      <c r="EG44" s="715">
        <v>5.1</v>
      </c>
      <c r="EH44" s="715">
        <v>5.2</v>
      </c>
      <c r="EI44" s="715">
        <v>5.3</v>
      </c>
      <c r="EJ44" s="714">
        <v>5.4</v>
      </c>
      <c r="EK44" s="714">
        <v>5.4</v>
      </c>
      <c r="EL44" s="714">
        <v>5.6</v>
      </c>
      <c r="EM44" s="714">
        <v>5.7</v>
      </c>
      <c r="EN44" s="714">
        <v>5.1</v>
      </c>
      <c r="EO44" s="715">
        <v>5.2</v>
      </c>
      <c r="EP44" s="715">
        <v>5.3</v>
      </c>
      <c r="EQ44" s="715">
        <v>5.4</v>
      </c>
      <c r="ER44" s="715">
        <v>5.5</v>
      </c>
      <c r="ES44" s="715">
        <v>5.6</v>
      </c>
      <c r="ET44" s="715">
        <v>5.7</v>
      </c>
      <c r="EU44" s="714">
        <v>5.8</v>
      </c>
      <c r="EV44" s="714">
        <v>6</v>
      </c>
      <c r="EW44" s="714">
        <v>6.2</v>
      </c>
      <c r="EX44" s="714">
        <v>6.5</v>
      </c>
      <c r="EY44" s="714">
        <v>1.3</v>
      </c>
      <c r="EZ44" s="715">
        <v>1.8</v>
      </c>
      <c r="FA44" s="715">
        <v>2.1</v>
      </c>
      <c r="FB44" s="715">
        <v>2.4</v>
      </c>
      <c r="FC44" s="715">
        <v>2.7</v>
      </c>
      <c r="FD44" s="715">
        <v>2.9</v>
      </c>
      <c r="FE44" s="715">
        <v>3.2</v>
      </c>
      <c r="FF44" s="714">
        <v>3.5</v>
      </c>
      <c r="FG44" s="714">
        <v>3.9</v>
      </c>
      <c r="FH44" s="714">
        <v>4.1</v>
      </c>
      <c r="FI44" s="714">
        <v>4.3</v>
      </c>
      <c r="FJ44" s="723">
        <v>3.18e-6</v>
      </c>
      <c r="FK44" s="723">
        <v>1.31e-8</v>
      </c>
      <c r="FL44" s="723">
        <v>-1.47e-11</v>
      </c>
      <c r="FM44" s="723">
        <v>5.57e-7</v>
      </c>
      <c r="FN44" s="723">
        <v>3.42e-10</v>
      </c>
      <c r="FO44" s="723">
        <v>0.146</v>
      </c>
      <c r="FP44" s="676">
        <v>1</v>
      </c>
      <c r="FQ44" s="676">
        <v>2</v>
      </c>
      <c r="FR44" s="729">
        <v>1</v>
      </c>
      <c r="FS44" s="729">
        <v>3</v>
      </c>
      <c r="FT44" s="729">
        <v>1</v>
      </c>
      <c r="FU44" s="729">
        <v>2</v>
      </c>
      <c r="FV44" s="681">
        <v>1</v>
      </c>
      <c r="FW44" s="729"/>
      <c r="FX44" s="729"/>
      <c r="FY44" s="729"/>
      <c r="FZ44" s="743">
        <v>640</v>
      </c>
      <c r="GA44" s="743">
        <v>665</v>
      </c>
      <c r="GB44" s="681">
        <v>573</v>
      </c>
      <c r="GC44" s="681">
        <v>619</v>
      </c>
      <c r="GD44" s="747">
        <v>0.77</v>
      </c>
      <c r="GE44" s="729"/>
      <c r="GF44" s="681">
        <v>61</v>
      </c>
      <c r="GG44" s="681">
        <v>77</v>
      </c>
      <c r="GH44" s="681">
        <v>53</v>
      </c>
      <c r="GI44" s="681">
        <v>54</v>
      </c>
      <c r="GJ44" s="681">
        <v>56</v>
      </c>
      <c r="GK44" s="681">
        <v>57</v>
      </c>
      <c r="GL44" s="681">
        <v>57</v>
      </c>
      <c r="GM44" s="681">
        <v>58</v>
      </c>
      <c r="GN44" s="681">
        <v>61</v>
      </c>
      <c r="GO44" s="681">
        <v>62</v>
      </c>
      <c r="GP44" s="681">
        <v>62</v>
      </c>
      <c r="GQ44" s="681">
        <v>63</v>
      </c>
      <c r="GR44" s="681">
        <v>64</v>
      </c>
      <c r="GS44" s="681">
        <v>64</v>
      </c>
      <c r="GT44" s="681">
        <v>65</v>
      </c>
      <c r="GU44" s="681">
        <v>65</v>
      </c>
      <c r="GV44" s="681">
        <v>66</v>
      </c>
      <c r="GW44" s="681">
        <v>67</v>
      </c>
      <c r="GX44" s="681">
        <v>67</v>
      </c>
      <c r="GY44" s="681">
        <v>68</v>
      </c>
      <c r="GZ44" s="681">
        <v>69</v>
      </c>
      <c r="HA44" s="681">
        <v>70</v>
      </c>
      <c r="HB44" s="681">
        <v>71</v>
      </c>
      <c r="HC44" s="681"/>
      <c r="HD44" s="750">
        <v>142</v>
      </c>
      <c r="HE44" s="681"/>
      <c r="HF44" s="681">
        <v>626</v>
      </c>
      <c r="HG44" s="681">
        <v>76</v>
      </c>
      <c r="HH44" s="714">
        <v>111.1</v>
      </c>
      <c r="HI44" s="714">
        <v>43.2</v>
      </c>
      <c r="HJ44" s="753">
        <v>0.285</v>
      </c>
      <c r="HK44" s="681">
        <v>64</v>
      </c>
      <c r="HL44" s="685">
        <v>1.67</v>
      </c>
      <c r="HM44" s="747">
        <v>3.78</v>
      </c>
      <c r="HN44" s="729" t="s">
        <v>539</v>
      </c>
      <c r="HO44" s="729" t="s">
        <v>582</v>
      </c>
      <c r="HP44" s="714">
        <v>-1.7</v>
      </c>
      <c r="HQ44" s="753">
        <v>0.774</v>
      </c>
      <c r="HR44" s="753">
        <v>0.924</v>
      </c>
      <c r="HS44" s="753">
        <v>0.986</v>
      </c>
      <c r="HT44" s="753">
        <v>0.999</v>
      </c>
      <c r="HU44" s="753">
        <v>0.999</v>
      </c>
      <c r="HV44" s="753">
        <v>0.999</v>
      </c>
      <c r="HW44" s="753">
        <v>0.999</v>
      </c>
      <c r="HX44" s="753">
        <v>0.999</v>
      </c>
      <c r="HY44" s="753">
        <v>0.999</v>
      </c>
      <c r="HZ44" s="753">
        <v>0.999</v>
      </c>
      <c r="IA44" s="753">
        <v>0.999</v>
      </c>
      <c r="IB44" s="753">
        <v>0.999</v>
      </c>
      <c r="IC44" s="753">
        <v>0.999</v>
      </c>
      <c r="ID44" s="753">
        <v>0.999</v>
      </c>
      <c r="IE44" s="753">
        <v>0.999</v>
      </c>
      <c r="IF44" s="753">
        <v>0.999</v>
      </c>
      <c r="IG44" s="753">
        <v>0.999</v>
      </c>
      <c r="IH44" s="753">
        <v>0.999</v>
      </c>
      <c r="II44" s="753">
        <v>0.999</v>
      </c>
      <c r="IJ44" s="753">
        <v>0.999</v>
      </c>
      <c r="IK44" s="753">
        <v>0.998</v>
      </c>
      <c r="IL44" s="753">
        <v>0.997</v>
      </c>
      <c r="IM44" s="753">
        <v>0.995</v>
      </c>
      <c r="IN44" s="753">
        <v>0.993</v>
      </c>
      <c r="IO44" s="753">
        <v>0.99</v>
      </c>
      <c r="IP44" s="753">
        <v>0.987</v>
      </c>
      <c r="IQ44" s="753">
        <v>0.975</v>
      </c>
      <c r="IR44" s="753">
        <v>0.95</v>
      </c>
      <c r="IS44" s="753">
        <v>0.914</v>
      </c>
      <c r="IT44" s="753">
        <v>0.86</v>
      </c>
      <c r="IU44" s="753">
        <v>0.785</v>
      </c>
      <c r="IV44" s="753">
        <v>0.687</v>
      </c>
      <c r="IW44" s="753">
        <v>0.577</v>
      </c>
      <c r="IX44" s="753">
        <v>0.464</v>
      </c>
      <c r="IY44" s="753">
        <v>0.355</v>
      </c>
      <c r="IZ44" s="753">
        <v>0.248</v>
      </c>
      <c r="JA44" s="753">
        <v>0.6</v>
      </c>
      <c r="JB44" s="753">
        <v>0.854</v>
      </c>
      <c r="JC44" s="753">
        <v>0.972</v>
      </c>
      <c r="JD44" s="753">
        <v>0.998</v>
      </c>
      <c r="JE44" s="753">
        <v>0.998</v>
      </c>
      <c r="JF44" s="753">
        <v>0.998</v>
      </c>
      <c r="JG44" s="753">
        <v>0.998</v>
      </c>
      <c r="JH44" s="753">
        <v>0.998</v>
      </c>
      <c r="JI44" s="753">
        <v>0.998</v>
      </c>
      <c r="JJ44" s="753">
        <v>0.998</v>
      </c>
      <c r="JK44" s="753">
        <v>0.998</v>
      </c>
      <c r="JL44" s="753">
        <v>0.998</v>
      </c>
      <c r="JM44" s="753">
        <v>0.998</v>
      </c>
      <c r="JN44" s="753">
        <v>0.998</v>
      </c>
      <c r="JO44" s="753">
        <v>0.998</v>
      </c>
      <c r="JP44" s="753">
        <v>0.998</v>
      </c>
      <c r="JQ44" s="753">
        <v>0.998</v>
      </c>
      <c r="JR44" s="753">
        <v>0.998</v>
      </c>
      <c r="JS44" s="753">
        <v>0.998</v>
      </c>
      <c r="JT44" s="753">
        <v>0.998</v>
      </c>
      <c r="JU44" s="753">
        <v>0.996</v>
      </c>
      <c r="JV44" s="753">
        <v>0.993</v>
      </c>
      <c r="JW44" s="753">
        <v>0.99</v>
      </c>
      <c r="JX44" s="753">
        <v>0.984</v>
      </c>
      <c r="JY44" s="753">
        <v>0.977</v>
      </c>
      <c r="JZ44" s="753">
        <v>0.964</v>
      </c>
      <c r="KA44" s="753">
        <v>0.939</v>
      </c>
      <c r="KB44" s="753">
        <v>0.899</v>
      </c>
      <c r="KC44" s="753">
        <v>0.833</v>
      </c>
      <c r="KD44" s="753">
        <v>0.738</v>
      </c>
      <c r="KE44" s="753">
        <v>0.614</v>
      </c>
      <c r="KF44" s="753">
        <v>0.473</v>
      </c>
      <c r="KG44" s="753">
        <v>0.334</v>
      </c>
      <c r="KH44" s="753">
        <v>0.217</v>
      </c>
      <c r="KI44" s="753">
        <v>0.128</v>
      </c>
      <c r="KJ44" s="753">
        <v>0.063</v>
      </c>
      <c r="KK44" s="765" t="s">
        <v>281</v>
      </c>
      <c r="KL44" s="738">
        <v>32</v>
      </c>
      <c r="KM44" s="738">
        <v>121</v>
      </c>
      <c r="KN44" s="646" t="s">
        <v>282</v>
      </c>
      <c r="KO44" s="646" t="s">
        <v>581</v>
      </c>
      <c r="KP44" s="680">
        <v>713539</v>
      </c>
      <c r="KQ44" s="766" t="s">
        <v>583</v>
      </c>
      <c r="KR44" s="750" t="s">
        <v>584</v>
      </c>
      <c r="KS44" s="769" t="s">
        <v>585</v>
      </c>
      <c r="KT44" s="770" t="s">
        <v>586</v>
      </c>
      <c r="KU44" s="766" t="s">
        <v>587</v>
      </c>
      <c r="KV44" s="750">
        <v>713539</v>
      </c>
      <c r="KW44" s="771" t="s">
        <v>588</v>
      </c>
      <c r="KX44" s="750" t="s">
        <v>584</v>
      </c>
      <c r="KY44" s="769" t="s">
        <v>589</v>
      </c>
      <c r="KZ44" s="770" t="s">
        <v>586</v>
      </c>
    </row>
    <row r="45" s="628" customFormat="1" customHeight="1" spans="1:312">
      <c r="A45" s="682" t="s">
        <v>374</v>
      </c>
      <c r="B45" s="683">
        <v>41</v>
      </c>
      <c r="C45" s="689" t="s">
        <v>590</v>
      </c>
      <c r="D45" s="680">
        <v>720503</v>
      </c>
      <c r="E45" s="685">
        <v>50.34</v>
      </c>
      <c r="F45" s="685">
        <v>50.1</v>
      </c>
      <c r="G45" s="686">
        <v>0.014302</v>
      </c>
      <c r="H45" s="686">
        <v>0.014439</v>
      </c>
      <c r="I45" s="696">
        <v>1.68225</v>
      </c>
      <c r="J45" s="696">
        <v>1.68879</v>
      </c>
      <c r="K45" s="696">
        <v>1.69593</v>
      </c>
      <c r="L45" s="696">
        <v>1.70232</v>
      </c>
      <c r="M45" s="696">
        <v>1.70349</v>
      </c>
      <c r="N45" s="696">
        <v>1.70446</v>
      </c>
      <c r="O45" s="696">
        <v>1.70823</v>
      </c>
      <c r="P45" s="696">
        <v>1.71084</v>
      </c>
      <c r="Q45" s="697">
        <v>1.71325</v>
      </c>
      <c r="R45" s="697">
        <v>1.71568</v>
      </c>
      <c r="S45" s="697">
        <v>1.71636</v>
      </c>
      <c r="T45" s="701">
        <v>1.717</v>
      </c>
      <c r="U45" s="697">
        <v>1.71987</v>
      </c>
      <c r="V45" s="697">
        <v>1.72</v>
      </c>
      <c r="W45" s="697">
        <v>1.72341</v>
      </c>
      <c r="X45" s="697">
        <v>1.72998</v>
      </c>
      <c r="Y45" s="697">
        <v>1.7308</v>
      </c>
      <c r="Z45" s="697">
        <v>1.73785</v>
      </c>
      <c r="AA45" s="697">
        <v>1.74443</v>
      </c>
      <c r="AB45" s="697">
        <v>1.75588</v>
      </c>
      <c r="AC45" s="704">
        <v>2.8993347</v>
      </c>
      <c r="AD45" s="705">
        <v>-0.0134878716</v>
      </c>
      <c r="AE45" s="705">
        <v>0.0190766692</v>
      </c>
      <c r="AF45" s="705">
        <v>0.00136400166</v>
      </c>
      <c r="AG45" s="705">
        <v>-0.000150217455</v>
      </c>
      <c r="AH45" s="705">
        <v>9.1604847e-6</v>
      </c>
      <c r="AI45" s="709">
        <v>0.3021</v>
      </c>
      <c r="AJ45" s="709">
        <v>0.2384</v>
      </c>
      <c r="AK45" s="709">
        <v>0.5503</v>
      </c>
      <c r="AL45" s="709">
        <v>0.2521</v>
      </c>
      <c r="AM45" s="709">
        <v>0.2362</v>
      </c>
      <c r="AN45" s="709">
        <v>0.4883</v>
      </c>
      <c r="AO45" s="709">
        <v>-0.003</v>
      </c>
      <c r="AP45" s="709">
        <v>-0.0097</v>
      </c>
      <c r="AQ45" s="709">
        <v>0.0005</v>
      </c>
      <c r="AR45" s="709">
        <v>-0.0003</v>
      </c>
      <c r="AS45" s="714">
        <v>2</v>
      </c>
      <c r="AT45" s="715">
        <v>1.9</v>
      </c>
      <c r="AU45" s="715">
        <v>1.9</v>
      </c>
      <c r="AV45" s="715">
        <v>2</v>
      </c>
      <c r="AW45" s="715">
        <v>2</v>
      </c>
      <c r="AX45" s="715">
        <v>2.1</v>
      </c>
      <c r="AY45" s="715">
        <v>2.2</v>
      </c>
      <c r="AZ45" s="715">
        <v>2.2</v>
      </c>
      <c r="BA45" s="715">
        <v>2.3</v>
      </c>
      <c r="BB45" s="715">
        <v>2.5</v>
      </c>
      <c r="BC45" s="715">
        <v>2.6</v>
      </c>
      <c r="BD45" s="715">
        <v>2.2</v>
      </c>
      <c r="BE45" s="715">
        <v>2.2</v>
      </c>
      <c r="BF45" s="715">
        <v>2.2</v>
      </c>
      <c r="BG45" s="715">
        <v>2.2</v>
      </c>
      <c r="BH45" s="715">
        <v>2.3</v>
      </c>
      <c r="BI45" s="715">
        <v>2.4</v>
      </c>
      <c r="BJ45" s="715">
        <v>2.5</v>
      </c>
      <c r="BK45" s="715">
        <v>2.5</v>
      </c>
      <c r="BL45" s="715">
        <v>2.7</v>
      </c>
      <c r="BM45" s="715">
        <v>2.8</v>
      </c>
      <c r="BN45" s="715">
        <v>2.9</v>
      </c>
      <c r="BO45" s="715">
        <v>2.4</v>
      </c>
      <c r="BP45" s="715">
        <v>2.4</v>
      </c>
      <c r="BQ45" s="715">
        <v>2.4</v>
      </c>
      <c r="BR45" s="715">
        <v>2.5</v>
      </c>
      <c r="BS45" s="715">
        <v>2.5</v>
      </c>
      <c r="BT45" s="715">
        <v>2.5</v>
      </c>
      <c r="BU45" s="715">
        <v>2.6</v>
      </c>
      <c r="BV45" s="715">
        <v>2.7</v>
      </c>
      <c r="BW45" s="715">
        <v>2.9</v>
      </c>
      <c r="BX45" s="715">
        <v>3</v>
      </c>
      <c r="BY45" s="715">
        <v>3.2</v>
      </c>
      <c r="BZ45" s="715">
        <v>2.5</v>
      </c>
      <c r="CA45" s="715">
        <v>2.4</v>
      </c>
      <c r="CB45" s="715">
        <v>2.4</v>
      </c>
      <c r="CC45" s="715">
        <v>2.5</v>
      </c>
      <c r="CD45" s="715">
        <v>2.5</v>
      </c>
      <c r="CE45" s="715">
        <v>2.5</v>
      </c>
      <c r="CF45" s="715">
        <v>2.7</v>
      </c>
      <c r="CG45" s="715">
        <v>2.7</v>
      </c>
      <c r="CH45" s="715">
        <v>2.9</v>
      </c>
      <c r="CI45" s="715">
        <v>3.1</v>
      </c>
      <c r="CJ45" s="715">
        <v>3.3</v>
      </c>
      <c r="CK45" s="715">
        <v>2.5</v>
      </c>
      <c r="CL45" s="715">
        <v>2.5</v>
      </c>
      <c r="CM45" s="715">
        <v>2.5</v>
      </c>
      <c r="CN45" s="715">
        <v>2.6</v>
      </c>
      <c r="CO45" s="715">
        <v>2.6</v>
      </c>
      <c r="CP45" s="715">
        <v>2.6</v>
      </c>
      <c r="CQ45" s="715">
        <v>2.7</v>
      </c>
      <c r="CR45" s="715">
        <v>2.8</v>
      </c>
      <c r="CS45" s="715">
        <v>3</v>
      </c>
      <c r="CT45" s="715">
        <v>3.1</v>
      </c>
      <c r="CU45" s="715">
        <v>3.3</v>
      </c>
      <c r="CV45" s="715">
        <v>2.6</v>
      </c>
      <c r="CW45" s="715">
        <v>2.6</v>
      </c>
      <c r="CX45" s="715">
        <v>2.6</v>
      </c>
      <c r="CY45" s="715">
        <v>2.7</v>
      </c>
      <c r="CZ45" s="715">
        <v>2.7</v>
      </c>
      <c r="DA45" s="715">
        <v>2.8</v>
      </c>
      <c r="DB45" s="715">
        <v>2.9</v>
      </c>
      <c r="DC45" s="715">
        <v>3</v>
      </c>
      <c r="DD45" s="715">
        <v>3.2</v>
      </c>
      <c r="DE45" s="715">
        <v>3.4</v>
      </c>
      <c r="DF45" s="715">
        <v>3.6</v>
      </c>
      <c r="DG45" s="715">
        <v>2.9</v>
      </c>
      <c r="DH45" s="715">
        <v>2.9</v>
      </c>
      <c r="DI45" s="715">
        <v>3</v>
      </c>
      <c r="DJ45" s="715">
        <v>3</v>
      </c>
      <c r="DK45" s="715">
        <v>3</v>
      </c>
      <c r="DL45" s="715">
        <v>3.1</v>
      </c>
      <c r="DM45" s="715">
        <v>3.3</v>
      </c>
      <c r="DN45" s="715">
        <v>3.4</v>
      </c>
      <c r="DO45" s="715">
        <v>3.6</v>
      </c>
      <c r="DP45" s="715">
        <v>3.8</v>
      </c>
      <c r="DQ45" s="715">
        <v>4</v>
      </c>
      <c r="DR45" s="715">
        <v>3.3</v>
      </c>
      <c r="DS45" s="715">
        <v>3.3</v>
      </c>
      <c r="DT45" s="715">
        <v>3.3</v>
      </c>
      <c r="DU45" s="715">
        <v>3.3</v>
      </c>
      <c r="DV45" s="715">
        <v>3.4</v>
      </c>
      <c r="DW45" s="715">
        <v>3.5</v>
      </c>
      <c r="DX45" s="715">
        <v>3.7</v>
      </c>
      <c r="DY45" s="715">
        <v>3.8</v>
      </c>
      <c r="DZ45" s="715">
        <v>3.9</v>
      </c>
      <c r="EA45" s="715">
        <v>4</v>
      </c>
      <c r="EB45" s="715">
        <v>4.2</v>
      </c>
      <c r="EC45" s="715">
        <v>3.3</v>
      </c>
      <c r="ED45" s="715">
        <v>3.4</v>
      </c>
      <c r="EE45" s="715">
        <v>3.4</v>
      </c>
      <c r="EF45" s="715">
        <v>3.4</v>
      </c>
      <c r="EG45" s="715">
        <v>3.4</v>
      </c>
      <c r="EH45" s="715">
        <v>3.5</v>
      </c>
      <c r="EI45" s="715">
        <v>3.7</v>
      </c>
      <c r="EJ45" s="715">
        <v>3.8</v>
      </c>
      <c r="EK45" s="715">
        <v>4</v>
      </c>
      <c r="EL45" s="715">
        <v>4.1</v>
      </c>
      <c r="EM45" s="715">
        <v>4.3</v>
      </c>
      <c r="EN45" s="715">
        <v>3.6</v>
      </c>
      <c r="EO45" s="715">
        <v>3.7</v>
      </c>
      <c r="EP45" s="715">
        <v>3.8</v>
      </c>
      <c r="EQ45" s="715">
        <v>3.8</v>
      </c>
      <c r="ER45" s="715">
        <v>3.9</v>
      </c>
      <c r="ES45" s="715">
        <v>4</v>
      </c>
      <c r="ET45" s="715">
        <v>4.2</v>
      </c>
      <c r="EU45" s="715">
        <v>4.3</v>
      </c>
      <c r="EV45" s="715">
        <v>4.6</v>
      </c>
      <c r="EW45" s="715">
        <v>4.7</v>
      </c>
      <c r="EX45" s="715">
        <v>5</v>
      </c>
      <c r="EY45" s="715">
        <v>-0.3</v>
      </c>
      <c r="EZ45" s="715">
        <v>0.2</v>
      </c>
      <c r="FA45" s="715">
        <v>0.5</v>
      </c>
      <c r="FB45" s="715">
        <v>0.9</v>
      </c>
      <c r="FC45" s="715">
        <v>1.1</v>
      </c>
      <c r="FD45" s="715">
        <v>1.3</v>
      </c>
      <c r="FE45" s="715">
        <v>1.5</v>
      </c>
      <c r="FF45" s="715">
        <v>1.8</v>
      </c>
      <c r="FG45" s="715">
        <v>2.1</v>
      </c>
      <c r="FH45" s="715">
        <v>2.3</v>
      </c>
      <c r="FI45" s="715">
        <v>2.5</v>
      </c>
      <c r="FJ45" s="723">
        <v>1.67e-7</v>
      </c>
      <c r="FK45" s="723">
        <v>1.21e-8</v>
      </c>
      <c r="FL45" s="723">
        <v>-1.18e-11</v>
      </c>
      <c r="FM45" s="723">
        <v>5.4e-7</v>
      </c>
      <c r="FN45" s="723">
        <v>3.41e-10</v>
      </c>
      <c r="FO45" s="723">
        <v>0.206</v>
      </c>
      <c r="FP45" s="729">
        <v>1</v>
      </c>
      <c r="FQ45" s="729">
        <v>3</v>
      </c>
      <c r="FR45" s="729">
        <v>1</v>
      </c>
      <c r="FS45" s="729">
        <v>3</v>
      </c>
      <c r="FT45" s="729">
        <v>1</v>
      </c>
      <c r="FU45" s="729">
        <v>2</v>
      </c>
      <c r="FV45" s="681">
        <v>1</v>
      </c>
      <c r="FW45" s="729"/>
      <c r="FX45" s="729"/>
      <c r="FY45" s="729"/>
      <c r="FZ45" s="743">
        <v>650</v>
      </c>
      <c r="GA45" s="743">
        <v>679</v>
      </c>
      <c r="GB45" s="681">
        <v>588</v>
      </c>
      <c r="GC45" s="681">
        <v>616</v>
      </c>
      <c r="GD45" s="747">
        <v>0.96</v>
      </c>
      <c r="GE45" s="729"/>
      <c r="GF45" s="681">
        <v>71</v>
      </c>
      <c r="GG45" s="681">
        <v>88</v>
      </c>
      <c r="GH45" s="681">
        <v>63</v>
      </c>
      <c r="GI45" s="681">
        <v>66</v>
      </c>
      <c r="GJ45" s="681">
        <v>68</v>
      </c>
      <c r="GK45" s="681">
        <v>68</v>
      </c>
      <c r="GL45" s="681">
        <v>69</v>
      </c>
      <c r="GM45" s="681">
        <v>70</v>
      </c>
      <c r="GN45" s="681">
        <v>71</v>
      </c>
      <c r="GO45" s="681">
        <v>71</v>
      </c>
      <c r="GP45" s="681">
        <v>72</v>
      </c>
      <c r="GQ45" s="681">
        <v>72</v>
      </c>
      <c r="GR45" s="681">
        <v>73</v>
      </c>
      <c r="GS45" s="681">
        <v>73</v>
      </c>
      <c r="GT45" s="681">
        <v>74</v>
      </c>
      <c r="GU45" s="681">
        <v>74</v>
      </c>
      <c r="GV45" s="681">
        <v>75</v>
      </c>
      <c r="GW45" s="681">
        <v>75</v>
      </c>
      <c r="GX45" s="681">
        <v>76</v>
      </c>
      <c r="GY45" s="681">
        <v>77</v>
      </c>
      <c r="GZ45" s="681">
        <v>79</v>
      </c>
      <c r="HA45" s="681">
        <v>80</v>
      </c>
      <c r="HB45" s="681">
        <v>81</v>
      </c>
      <c r="HC45" s="681"/>
      <c r="HD45" s="750">
        <v>125</v>
      </c>
      <c r="HE45" s="681"/>
      <c r="HF45" s="681">
        <v>606</v>
      </c>
      <c r="HG45" s="681">
        <v>108</v>
      </c>
      <c r="HH45" s="714">
        <v>107.5</v>
      </c>
      <c r="HI45" s="714">
        <v>40.9</v>
      </c>
      <c r="HJ45" s="753">
        <v>0.313</v>
      </c>
      <c r="HK45" s="681">
        <v>76</v>
      </c>
      <c r="HL45" s="685">
        <v>1.73</v>
      </c>
      <c r="HM45" s="747">
        <v>3.87</v>
      </c>
      <c r="HN45" s="729" t="s">
        <v>591</v>
      </c>
      <c r="HO45" s="729" t="s">
        <v>592</v>
      </c>
      <c r="HP45" s="714">
        <v>-0.5</v>
      </c>
      <c r="HQ45" s="753">
        <v>0.828</v>
      </c>
      <c r="HR45" s="753">
        <v>0.946</v>
      </c>
      <c r="HS45" s="753">
        <v>0.991</v>
      </c>
      <c r="HT45" s="753">
        <v>0.999</v>
      </c>
      <c r="HU45" s="753">
        <v>0.999</v>
      </c>
      <c r="HV45" s="753">
        <v>0.999</v>
      </c>
      <c r="HW45" s="753">
        <v>0.999</v>
      </c>
      <c r="HX45" s="753">
        <v>0.999</v>
      </c>
      <c r="HY45" s="753">
        <v>0.999</v>
      </c>
      <c r="HZ45" s="753">
        <v>0.999</v>
      </c>
      <c r="IA45" s="753">
        <v>0.999</v>
      </c>
      <c r="IB45" s="753">
        <v>0.999</v>
      </c>
      <c r="IC45" s="753">
        <v>0.999</v>
      </c>
      <c r="ID45" s="753">
        <v>0.999</v>
      </c>
      <c r="IE45" s="753">
        <v>0.999</v>
      </c>
      <c r="IF45" s="753">
        <v>0.999</v>
      </c>
      <c r="IG45" s="753">
        <v>0.999</v>
      </c>
      <c r="IH45" s="753">
        <v>0.999</v>
      </c>
      <c r="II45" s="753">
        <v>0.999</v>
      </c>
      <c r="IJ45" s="753">
        <v>0.999</v>
      </c>
      <c r="IK45" s="753">
        <v>0.998</v>
      </c>
      <c r="IL45" s="753">
        <v>0.997</v>
      </c>
      <c r="IM45" s="753">
        <v>0.995</v>
      </c>
      <c r="IN45" s="753">
        <v>0.992</v>
      </c>
      <c r="IO45" s="753">
        <v>0.987</v>
      </c>
      <c r="IP45" s="753">
        <v>0.979</v>
      </c>
      <c r="IQ45" s="753">
        <v>0.965</v>
      </c>
      <c r="IR45" s="753">
        <v>0.945</v>
      </c>
      <c r="IS45" s="753">
        <v>0.9</v>
      </c>
      <c r="IT45" s="753">
        <v>0.812</v>
      </c>
      <c r="IU45" s="753">
        <v>0.717</v>
      </c>
      <c r="IV45" s="753">
        <v>0.581</v>
      </c>
      <c r="IW45" s="753">
        <v>0.326</v>
      </c>
      <c r="IX45" s="753">
        <v>0.088</v>
      </c>
      <c r="IY45" s="753"/>
      <c r="IZ45" s="753"/>
      <c r="JA45" s="753">
        <v>0.686</v>
      </c>
      <c r="JB45" s="753">
        <v>0.895</v>
      </c>
      <c r="JC45" s="753">
        <v>0.982</v>
      </c>
      <c r="JD45" s="753">
        <v>0.998</v>
      </c>
      <c r="JE45" s="753">
        <v>0.998</v>
      </c>
      <c r="JF45" s="753">
        <v>0.998</v>
      </c>
      <c r="JG45" s="753">
        <v>0.998</v>
      </c>
      <c r="JH45" s="753">
        <v>0.998</v>
      </c>
      <c r="JI45" s="753">
        <v>0.998</v>
      </c>
      <c r="JJ45" s="753">
        <v>0.998</v>
      </c>
      <c r="JK45" s="753">
        <v>0.998</v>
      </c>
      <c r="JL45" s="753">
        <v>0.998</v>
      </c>
      <c r="JM45" s="753">
        <v>0.998</v>
      </c>
      <c r="JN45" s="753">
        <v>0.998</v>
      </c>
      <c r="JO45" s="753">
        <v>0.998</v>
      </c>
      <c r="JP45" s="753">
        <v>0.998</v>
      </c>
      <c r="JQ45" s="753">
        <v>0.998</v>
      </c>
      <c r="JR45" s="753">
        <v>0.998</v>
      </c>
      <c r="JS45" s="753">
        <v>0.998</v>
      </c>
      <c r="JT45" s="753">
        <v>0.998</v>
      </c>
      <c r="JU45" s="753">
        <v>0.996</v>
      </c>
      <c r="JV45" s="753">
        <v>0.994</v>
      </c>
      <c r="JW45" s="753">
        <v>0.99</v>
      </c>
      <c r="JX45" s="753">
        <v>0.983</v>
      </c>
      <c r="JY45" s="753">
        <v>0.974</v>
      </c>
      <c r="JZ45" s="753">
        <v>0.959</v>
      </c>
      <c r="KA45" s="753">
        <v>0.931</v>
      </c>
      <c r="KB45" s="753">
        <v>0.88</v>
      </c>
      <c r="KC45" s="753">
        <v>0.804</v>
      </c>
      <c r="KD45" s="753">
        <v>0.689</v>
      </c>
      <c r="KE45" s="753">
        <v>0.53</v>
      </c>
      <c r="KF45" s="753">
        <v>0.33</v>
      </c>
      <c r="KG45" s="753">
        <v>0.11</v>
      </c>
      <c r="KH45" s="753">
        <v>0.008</v>
      </c>
      <c r="KI45" s="753"/>
      <c r="KJ45" s="754"/>
      <c r="KK45" s="765" t="s">
        <v>281</v>
      </c>
      <c r="KL45" s="738">
        <v>52</v>
      </c>
      <c r="KM45" s="738">
        <v>201</v>
      </c>
      <c r="KN45" s="646" t="s">
        <v>339</v>
      </c>
      <c r="KO45" s="646" t="s">
        <v>590</v>
      </c>
      <c r="KP45" s="680">
        <v>720503</v>
      </c>
      <c r="KQ45" s="766" t="s">
        <v>593</v>
      </c>
      <c r="KR45" s="750" t="s">
        <v>594</v>
      </c>
      <c r="KS45" s="769" t="s">
        <v>590</v>
      </c>
      <c r="KT45" s="770" t="s">
        <v>595</v>
      </c>
      <c r="KU45" s="766" t="s">
        <v>596</v>
      </c>
      <c r="KV45" s="750">
        <v>720504</v>
      </c>
      <c r="KW45" s="771" t="s">
        <v>597</v>
      </c>
      <c r="KX45" s="750" t="s">
        <v>595</v>
      </c>
      <c r="KY45" s="769" t="s">
        <v>598</v>
      </c>
      <c r="KZ45" s="770" t="s">
        <v>599</v>
      </c>
    </row>
    <row r="46" s="628" customFormat="1" customHeight="1" spans="1:312">
      <c r="A46" s="682" t="s">
        <v>300</v>
      </c>
      <c r="B46" s="683">
        <v>42</v>
      </c>
      <c r="C46" s="689" t="s">
        <v>600</v>
      </c>
      <c r="D46" s="680">
        <v>720503</v>
      </c>
      <c r="E46" s="685">
        <v>50.34</v>
      </c>
      <c r="F46" s="685">
        <v>50.1</v>
      </c>
      <c r="G46" s="686">
        <v>0.014302</v>
      </c>
      <c r="H46" s="686">
        <v>0.014439</v>
      </c>
      <c r="I46" s="696"/>
      <c r="J46" s="696"/>
      <c r="K46" s="696"/>
      <c r="L46" s="696">
        <v>1.70247</v>
      </c>
      <c r="M46" s="696">
        <v>1.7036</v>
      </c>
      <c r="N46" s="696">
        <v>1.70455</v>
      </c>
      <c r="O46" s="696">
        <v>1.70826</v>
      </c>
      <c r="P46" s="696">
        <v>1.71086</v>
      </c>
      <c r="Q46" s="697">
        <v>1.71327</v>
      </c>
      <c r="R46" s="697">
        <v>1.71569</v>
      </c>
      <c r="S46" s="697">
        <v>1.71638</v>
      </c>
      <c r="T46" s="701">
        <v>1.71701</v>
      </c>
      <c r="U46" s="697">
        <v>1.71987</v>
      </c>
      <c r="V46" s="697">
        <v>1.72</v>
      </c>
      <c r="W46" s="697">
        <v>1.72341</v>
      </c>
      <c r="X46" s="697">
        <v>1.73</v>
      </c>
      <c r="Y46" s="697">
        <v>1.73082</v>
      </c>
      <c r="Z46" s="697">
        <v>1.73789</v>
      </c>
      <c r="AA46" s="697">
        <v>1.7445</v>
      </c>
      <c r="AB46" s="697">
        <v>1.75588</v>
      </c>
      <c r="AC46" s="704">
        <v>2.89634931</v>
      </c>
      <c r="AD46" s="705">
        <v>-0.0117449806</v>
      </c>
      <c r="AE46" s="705">
        <v>0.021215699</v>
      </c>
      <c r="AF46" s="705">
        <v>0.000632018297</v>
      </c>
      <c r="AG46" s="705">
        <v>-3.39053843e-5</v>
      </c>
      <c r="AH46" s="705">
        <v>2.46626102e-6</v>
      </c>
      <c r="AI46" s="709">
        <v>0.3014</v>
      </c>
      <c r="AJ46" s="709">
        <v>0.2384</v>
      </c>
      <c r="AK46" s="709">
        <v>0.5517</v>
      </c>
      <c r="AL46" s="709">
        <v>0.2507</v>
      </c>
      <c r="AM46" s="709">
        <v>0.2362</v>
      </c>
      <c r="AN46" s="709">
        <v>0.4896</v>
      </c>
      <c r="AO46" s="709">
        <v>-0.0016</v>
      </c>
      <c r="AP46" s="709">
        <v>-0.0083</v>
      </c>
      <c r="AQ46" s="709">
        <v>-0.0051</v>
      </c>
      <c r="AR46" s="709">
        <v>-0.0017</v>
      </c>
      <c r="AS46" s="714">
        <v>1</v>
      </c>
      <c r="AT46" s="715">
        <v>1.1</v>
      </c>
      <c r="AU46" s="715">
        <v>1.2</v>
      </c>
      <c r="AV46" s="715">
        <v>1.2</v>
      </c>
      <c r="AW46" s="715">
        <v>1.2</v>
      </c>
      <c r="AX46" s="715">
        <v>1.3</v>
      </c>
      <c r="AY46" s="715">
        <v>1.4</v>
      </c>
      <c r="AZ46" s="715">
        <v>1.5</v>
      </c>
      <c r="BA46" s="715">
        <v>1.6</v>
      </c>
      <c r="BB46" s="715">
        <v>1.7</v>
      </c>
      <c r="BC46" s="715">
        <v>1.7</v>
      </c>
      <c r="BD46" s="715">
        <v>1.2</v>
      </c>
      <c r="BE46" s="715">
        <v>1.3</v>
      </c>
      <c r="BF46" s="715">
        <v>1.3</v>
      </c>
      <c r="BG46" s="715">
        <v>1.4</v>
      </c>
      <c r="BH46" s="715">
        <v>1.4</v>
      </c>
      <c r="BI46" s="715">
        <v>1.4</v>
      </c>
      <c r="BJ46" s="715">
        <v>1.5</v>
      </c>
      <c r="BK46" s="715">
        <v>1.7</v>
      </c>
      <c r="BL46" s="715">
        <v>1.7</v>
      </c>
      <c r="BM46" s="715">
        <v>1.9</v>
      </c>
      <c r="BN46" s="715">
        <v>2</v>
      </c>
      <c r="BO46" s="715">
        <v>1.5</v>
      </c>
      <c r="BP46" s="715">
        <v>1.6</v>
      </c>
      <c r="BQ46" s="715">
        <v>1.6</v>
      </c>
      <c r="BR46" s="715">
        <v>1.6</v>
      </c>
      <c r="BS46" s="715">
        <v>1.6</v>
      </c>
      <c r="BT46" s="715">
        <v>1.7</v>
      </c>
      <c r="BU46" s="715">
        <v>1.7</v>
      </c>
      <c r="BV46" s="715">
        <v>1.9</v>
      </c>
      <c r="BW46" s="715">
        <v>2</v>
      </c>
      <c r="BX46" s="715">
        <v>2.2</v>
      </c>
      <c r="BY46" s="715">
        <v>2.3</v>
      </c>
      <c r="BZ46" s="715">
        <v>1.7</v>
      </c>
      <c r="CA46" s="715">
        <v>1.8</v>
      </c>
      <c r="CB46" s="715">
        <v>1.8</v>
      </c>
      <c r="CC46" s="715">
        <v>1.8</v>
      </c>
      <c r="CD46" s="715">
        <v>1.8</v>
      </c>
      <c r="CE46" s="715">
        <v>2</v>
      </c>
      <c r="CF46" s="715">
        <v>2</v>
      </c>
      <c r="CG46" s="715">
        <v>2.1</v>
      </c>
      <c r="CH46" s="715">
        <v>2.2</v>
      </c>
      <c r="CI46" s="715">
        <v>2.4</v>
      </c>
      <c r="CJ46" s="715">
        <v>2.5</v>
      </c>
      <c r="CK46" s="715">
        <v>1.8</v>
      </c>
      <c r="CL46" s="715">
        <v>2</v>
      </c>
      <c r="CM46" s="715">
        <v>2</v>
      </c>
      <c r="CN46" s="715">
        <v>2</v>
      </c>
      <c r="CO46" s="715">
        <v>2</v>
      </c>
      <c r="CP46" s="715">
        <v>2.2</v>
      </c>
      <c r="CQ46" s="715">
        <v>2.2</v>
      </c>
      <c r="CR46" s="715">
        <v>2.3</v>
      </c>
      <c r="CS46" s="715">
        <v>2.4</v>
      </c>
      <c r="CT46" s="715">
        <v>2.6</v>
      </c>
      <c r="CU46" s="715">
        <v>2.7</v>
      </c>
      <c r="CV46" s="715">
        <v>2</v>
      </c>
      <c r="CW46" s="715">
        <v>2.2</v>
      </c>
      <c r="CX46" s="715">
        <v>2.3</v>
      </c>
      <c r="CY46" s="715">
        <v>2.3</v>
      </c>
      <c r="CZ46" s="715">
        <v>2.3</v>
      </c>
      <c r="DA46" s="715">
        <v>2.4</v>
      </c>
      <c r="DB46" s="715">
        <v>2.5</v>
      </c>
      <c r="DC46" s="715">
        <v>2.7</v>
      </c>
      <c r="DD46" s="715">
        <v>2.8</v>
      </c>
      <c r="DE46" s="715">
        <v>2.9</v>
      </c>
      <c r="DF46" s="715">
        <v>3</v>
      </c>
      <c r="DG46" s="715">
        <v>2.4</v>
      </c>
      <c r="DH46" s="715">
        <v>2.4</v>
      </c>
      <c r="DI46" s="715">
        <v>2.5</v>
      </c>
      <c r="DJ46" s="715">
        <v>2.6</v>
      </c>
      <c r="DK46" s="715">
        <v>2.7</v>
      </c>
      <c r="DL46" s="715">
        <v>2.7</v>
      </c>
      <c r="DM46" s="715">
        <v>2.8</v>
      </c>
      <c r="DN46" s="715">
        <v>2.9</v>
      </c>
      <c r="DO46" s="715">
        <v>3.1</v>
      </c>
      <c r="DP46" s="715">
        <v>3.3</v>
      </c>
      <c r="DQ46" s="715">
        <v>3.3</v>
      </c>
      <c r="DR46" s="715">
        <v>2.7</v>
      </c>
      <c r="DS46" s="715">
        <v>2.8</v>
      </c>
      <c r="DT46" s="715">
        <v>2.8</v>
      </c>
      <c r="DU46" s="715">
        <v>2.8</v>
      </c>
      <c r="DV46" s="715">
        <v>2.9</v>
      </c>
      <c r="DW46" s="715">
        <v>2.9</v>
      </c>
      <c r="DX46" s="715">
        <v>3</v>
      </c>
      <c r="DY46" s="715">
        <v>3.2</v>
      </c>
      <c r="DZ46" s="715">
        <v>3.3</v>
      </c>
      <c r="EA46" s="715">
        <v>3.5</v>
      </c>
      <c r="EB46" s="715">
        <v>3.5</v>
      </c>
      <c r="EC46" s="715">
        <v>2.7</v>
      </c>
      <c r="ED46" s="715">
        <v>2.9</v>
      </c>
      <c r="EE46" s="715">
        <v>2.9</v>
      </c>
      <c r="EF46" s="715">
        <v>2.9</v>
      </c>
      <c r="EG46" s="715">
        <v>3</v>
      </c>
      <c r="EH46" s="715">
        <v>3</v>
      </c>
      <c r="EI46" s="715">
        <v>3.1</v>
      </c>
      <c r="EJ46" s="715">
        <v>3.3</v>
      </c>
      <c r="EK46" s="715">
        <v>3.4</v>
      </c>
      <c r="EL46" s="715">
        <v>3.6</v>
      </c>
      <c r="EM46" s="715">
        <v>3.7</v>
      </c>
      <c r="EN46" s="715">
        <v>3.1</v>
      </c>
      <c r="EO46" s="715">
        <v>3.3</v>
      </c>
      <c r="EP46" s="715">
        <v>3.3</v>
      </c>
      <c r="EQ46" s="715">
        <v>3.4</v>
      </c>
      <c r="ER46" s="715">
        <v>3.4</v>
      </c>
      <c r="ES46" s="715">
        <v>3.4</v>
      </c>
      <c r="ET46" s="715">
        <v>3.5</v>
      </c>
      <c r="EU46" s="715">
        <v>3.7</v>
      </c>
      <c r="EV46" s="715">
        <v>3.8</v>
      </c>
      <c r="EW46" s="715">
        <v>3.9</v>
      </c>
      <c r="EX46" s="715">
        <v>4</v>
      </c>
      <c r="EY46" s="715">
        <v>-1</v>
      </c>
      <c r="EZ46" s="715">
        <v>-0.3</v>
      </c>
      <c r="FA46" s="715">
        <v>0</v>
      </c>
      <c r="FB46" s="715">
        <v>0.3</v>
      </c>
      <c r="FC46" s="715">
        <v>0.5</v>
      </c>
      <c r="FD46" s="715">
        <v>0.9</v>
      </c>
      <c r="FE46" s="715">
        <v>1</v>
      </c>
      <c r="FF46" s="715">
        <v>1.3</v>
      </c>
      <c r="FG46" s="715">
        <v>1.5</v>
      </c>
      <c r="FH46" s="715">
        <v>1.8</v>
      </c>
      <c r="FI46" s="715">
        <v>1.9</v>
      </c>
      <c r="FJ46" s="723">
        <v>-1.62e-6</v>
      </c>
      <c r="FK46" s="723">
        <v>1.34e-8</v>
      </c>
      <c r="FL46" s="723">
        <v>-1.84e-11</v>
      </c>
      <c r="FM46" s="723">
        <v>8.88e-7</v>
      </c>
      <c r="FN46" s="723">
        <v>4.63e-11</v>
      </c>
      <c r="FO46" s="723">
        <v>6.23e-9</v>
      </c>
      <c r="FP46" s="729">
        <v>1</v>
      </c>
      <c r="FQ46" s="729">
        <v>3</v>
      </c>
      <c r="FR46" s="729">
        <v>1</v>
      </c>
      <c r="FS46" s="729">
        <v>3</v>
      </c>
      <c r="FT46" s="729">
        <v>1</v>
      </c>
      <c r="FU46" s="729">
        <v>2</v>
      </c>
      <c r="FV46" s="681">
        <v>1</v>
      </c>
      <c r="FW46" s="729"/>
      <c r="FX46" s="729"/>
      <c r="FY46" s="729"/>
      <c r="FZ46" s="743">
        <v>651</v>
      </c>
      <c r="GA46" s="743">
        <v>680</v>
      </c>
      <c r="GB46" s="681">
        <v>589</v>
      </c>
      <c r="GC46" s="681">
        <v>617</v>
      </c>
      <c r="GD46" s="747">
        <v>0.83</v>
      </c>
      <c r="GE46" s="729"/>
      <c r="GF46" s="681">
        <v>74</v>
      </c>
      <c r="GG46" s="681">
        <v>88</v>
      </c>
      <c r="GH46" s="681">
        <v>66</v>
      </c>
      <c r="GI46" s="681">
        <v>68</v>
      </c>
      <c r="GJ46" s="681">
        <v>69</v>
      </c>
      <c r="GK46" s="681">
        <v>70</v>
      </c>
      <c r="GL46" s="681">
        <v>71</v>
      </c>
      <c r="GM46" s="681">
        <v>72</v>
      </c>
      <c r="GN46" s="681">
        <v>73</v>
      </c>
      <c r="GO46" s="681">
        <v>74</v>
      </c>
      <c r="GP46" s="681">
        <v>75</v>
      </c>
      <c r="GQ46" s="681">
        <v>75</v>
      </c>
      <c r="GR46" s="681">
        <v>76</v>
      </c>
      <c r="GS46" s="681">
        <v>77</v>
      </c>
      <c r="GT46" s="681">
        <v>78</v>
      </c>
      <c r="GU46" s="681">
        <v>79</v>
      </c>
      <c r="GV46" s="681">
        <v>79</v>
      </c>
      <c r="GW46" s="681">
        <v>80</v>
      </c>
      <c r="GX46" s="681">
        <v>81</v>
      </c>
      <c r="GY46" s="681">
        <v>83</v>
      </c>
      <c r="GZ46" s="681">
        <v>84</v>
      </c>
      <c r="HA46" s="681">
        <v>85</v>
      </c>
      <c r="HB46" s="681">
        <v>87</v>
      </c>
      <c r="HC46" s="681"/>
      <c r="HD46" s="750">
        <v>113</v>
      </c>
      <c r="HE46" s="681"/>
      <c r="HF46" s="681">
        <v>606</v>
      </c>
      <c r="HG46" s="681">
        <v>156</v>
      </c>
      <c r="HH46" s="714">
        <v>103.9</v>
      </c>
      <c r="HI46" s="714">
        <v>39.9</v>
      </c>
      <c r="HJ46" s="753">
        <v>0.301</v>
      </c>
      <c r="HK46" s="681">
        <v>90</v>
      </c>
      <c r="HL46" s="685">
        <v>1.67</v>
      </c>
      <c r="HM46" s="747">
        <v>3.91</v>
      </c>
      <c r="HN46" s="729" t="s">
        <v>601</v>
      </c>
      <c r="HO46" s="729" t="s">
        <v>602</v>
      </c>
      <c r="HP46" s="714">
        <v>-1.3</v>
      </c>
      <c r="HQ46" s="753">
        <v>0.876</v>
      </c>
      <c r="HR46" s="753">
        <v>0.965</v>
      </c>
      <c r="HS46" s="753">
        <v>0.986</v>
      </c>
      <c r="HT46" s="753">
        <v>0.995</v>
      </c>
      <c r="HU46" s="753">
        <v>0.998</v>
      </c>
      <c r="HV46" s="753">
        <v>0.999</v>
      </c>
      <c r="HW46" s="753">
        <v>0.999</v>
      </c>
      <c r="HX46" s="753">
        <v>0.999</v>
      </c>
      <c r="HY46" s="753">
        <v>0.999</v>
      </c>
      <c r="HZ46" s="753">
        <v>0.999</v>
      </c>
      <c r="IA46" s="753">
        <v>0.999</v>
      </c>
      <c r="IB46" s="753">
        <v>0.999</v>
      </c>
      <c r="IC46" s="753">
        <v>0.999</v>
      </c>
      <c r="ID46" s="753">
        <v>0.999</v>
      </c>
      <c r="IE46" s="753">
        <v>0.999</v>
      </c>
      <c r="IF46" s="753">
        <v>0.999</v>
      </c>
      <c r="IG46" s="753">
        <v>0.999</v>
      </c>
      <c r="IH46" s="753">
        <v>0.999</v>
      </c>
      <c r="II46" s="753">
        <v>0.999</v>
      </c>
      <c r="IJ46" s="753">
        <v>0.998</v>
      </c>
      <c r="IK46" s="753">
        <v>0.997</v>
      </c>
      <c r="IL46" s="753">
        <v>0.996</v>
      </c>
      <c r="IM46" s="753">
        <v>0.994</v>
      </c>
      <c r="IN46" s="753">
        <v>0.992</v>
      </c>
      <c r="IO46" s="753">
        <v>0.989</v>
      </c>
      <c r="IP46" s="753">
        <v>0.984</v>
      </c>
      <c r="IQ46" s="753">
        <v>0.975</v>
      </c>
      <c r="IR46" s="753">
        <v>0.958</v>
      </c>
      <c r="IS46" s="753">
        <v>0.931</v>
      </c>
      <c r="IT46" s="753">
        <v>0.89</v>
      </c>
      <c r="IU46" s="753">
        <v>0.821</v>
      </c>
      <c r="IV46" s="753">
        <v>0.724</v>
      </c>
      <c r="IW46" s="753">
        <v>0.57</v>
      </c>
      <c r="IX46" s="753">
        <v>0.336</v>
      </c>
      <c r="IY46" s="753"/>
      <c r="IZ46" s="753"/>
      <c r="JA46" s="753">
        <v>0.768</v>
      </c>
      <c r="JB46" s="753">
        <v>0.932</v>
      </c>
      <c r="JC46" s="753">
        <v>0.973</v>
      </c>
      <c r="JD46" s="753">
        <v>0.99</v>
      </c>
      <c r="JE46" s="753">
        <v>0.997</v>
      </c>
      <c r="JF46" s="753">
        <v>0.998</v>
      </c>
      <c r="JG46" s="753">
        <v>0.998</v>
      </c>
      <c r="JH46" s="753">
        <v>0.998</v>
      </c>
      <c r="JI46" s="753">
        <v>0.998</v>
      </c>
      <c r="JJ46" s="753">
        <v>0.998</v>
      </c>
      <c r="JK46" s="753">
        <v>0.998</v>
      </c>
      <c r="JL46" s="753">
        <v>0.998</v>
      </c>
      <c r="JM46" s="753">
        <v>0.998</v>
      </c>
      <c r="JN46" s="753">
        <v>0.998</v>
      </c>
      <c r="JO46" s="753">
        <v>0.998</v>
      </c>
      <c r="JP46" s="753">
        <v>0.998</v>
      </c>
      <c r="JQ46" s="753">
        <v>0.998</v>
      </c>
      <c r="JR46" s="753">
        <v>0.998</v>
      </c>
      <c r="JS46" s="753">
        <v>0.997</v>
      </c>
      <c r="JT46" s="753">
        <v>0.996</v>
      </c>
      <c r="JU46" s="753">
        <v>0.994</v>
      </c>
      <c r="JV46" s="753">
        <v>0.992</v>
      </c>
      <c r="JW46" s="753">
        <v>0.989</v>
      </c>
      <c r="JX46" s="753">
        <v>0.984</v>
      </c>
      <c r="JY46" s="753">
        <v>0.978</v>
      </c>
      <c r="JZ46" s="753">
        <v>0.968</v>
      </c>
      <c r="KA46" s="753">
        <v>0.95</v>
      </c>
      <c r="KB46" s="753">
        <v>0.919</v>
      </c>
      <c r="KC46" s="753">
        <v>0.868</v>
      </c>
      <c r="KD46" s="753">
        <v>0.792</v>
      </c>
      <c r="KE46" s="753">
        <v>0.674</v>
      </c>
      <c r="KF46" s="753">
        <v>0.524</v>
      </c>
      <c r="KG46" s="753">
        <v>0.325</v>
      </c>
      <c r="KH46" s="753">
        <v>0.113</v>
      </c>
      <c r="KI46" s="753"/>
      <c r="KJ46" s="754"/>
      <c r="KK46" s="765" t="s">
        <v>281</v>
      </c>
      <c r="KL46" s="738">
        <v>52</v>
      </c>
      <c r="KM46" s="738">
        <v>203</v>
      </c>
      <c r="KN46" s="646" t="s">
        <v>282</v>
      </c>
      <c r="KO46" s="646" t="s">
        <v>600</v>
      </c>
      <c r="KP46" s="680">
        <v>720503</v>
      </c>
      <c r="KQ46" s="766" t="s">
        <v>593</v>
      </c>
      <c r="KR46" s="750" t="s">
        <v>594</v>
      </c>
      <c r="KS46" s="769" t="s">
        <v>600</v>
      </c>
      <c r="KT46" s="770" t="s">
        <v>595</v>
      </c>
      <c r="KU46" s="766" t="s">
        <v>596</v>
      </c>
      <c r="KV46" s="750">
        <v>720504</v>
      </c>
      <c r="KW46" s="771" t="s">
        <v>597</v>
      </c>
      <c r="KX46" s="750" t="s">
        <v>595</v>
      </c>
      <c r="KY46" s="769" t="s">
        <v>598</v>
      </c>
      <c r="KZ46" s="770" t="s">
        <v>599</v>
      </c>
    </row>
    <row r="47" s="628" customFormat="1" customHeight="1" spans="1:312">
      <c r="A47" s="682" t="s">
        <v>300</v>
      </c>
      <c r="B47" s="683">
        <v>43</v>
      </c>
      <c r="C47" s="684" t="s">
        <v>603</v>
      </c>
      <c r="D47" s="646">
        <v>699511</v>
      </c>
      <c r="E47" s="685">
        <v>51.11</v>
      </c>
      <c r="F47" s="685">
        <v>50.82</v>
      </c>
      <c r="G47" s="686">
        <v>0.013682</v>
      </c>
      <c r="H47" s="686">
        <v>0.013825</v>
      </c>
      <c r="I47" s="696">
        <v>1.66716</v>
      </c>
      <c r="J47" s="696">
        <v>1.67189</v>
      </c>
      <c r="K47" s="696">
        <v>1.6773</v>
      </c>
      <c r="L47" s="696">
        <v>1.68265</v>
      </c>
      <c r="M47" s="696">
        <v>1.6837</v>
      </c>
      <c r="N47" s="696">
        <v>1.68458</v>
      </c>
      <c r="O47" s="696">
        <v>1.6881</v>
      </c>
      <c r="P47" s="696">
        <v>1.69058</v>
      </c>
      <c r="Q47" s="696">
        <v>1.69288</v>
      </c>
      <c r="R47" s="696">
        <v>1.6952</v>
      </c>
      <c r="S47" s="696">
        <v>1.69585</v>
      </c>
      <c r="T47" s="696">
        <v>1.69646</v>
      </c>
      <c r="U47" s="696">
        <v>1.69918</v>
      </c>
      <c r="V47" s="696">
        <v>1.6993</v>
      </c>
      <c r="W47" s="696">
        <v>1.70256</v>
      </c>
      <c r="X47" s="696">
        <v>1.70888</v>
      </c>
      <c r="Y47" s="696">
        <v>1.70967</v>
      </c>
      <c r="Z47" s="696">
        <v>1.7165</v>
      </c>
      <c r="AA47" s="696">
        <v>1.72288</v>
      </c>
      <c r="AB47" s="696">
        <v>1.73368</v>
      </c>
      <c r="AC47" s="705">
        <v>2.82518848</v>
      </c>
      <c r="AD47" s="705">
        <v>-0.00925237822</v>
      </c>
      <c r="AE47" s="705">
        <v>0.0231572298</v>
      </c>
      <c r="AF47" s="705">
        <v>-0.000565059188</v>
      </c>
      <c r="AG47" s="705">
        <v>0.000162553405</v>
      </c>
      <c r="AH47" s="705">
        <v>-9.14469356e-6</v>
      </c>
      <c r="AI47" s="710">
        <v>0.2997</v>
      </c>
      <c r="AJ47" s="710">
        <v>0.2383</v>
      </c>
      <c r="AK47" s="710">
        <v>0.5569</v>
      </c>
      <c r="AL47" s="710">
        <v>0.2495</v>
      </c>
      <c r="AM47" s="710">
        <v>0.2358</v>
      </c>
      <c r="AN47" s="710">
        <v>0.494</v>
      </c>
      <c r="AO47" s="710">
        <v>-0.0001</v>
      </c>
      <c r="AP47" s="710">
        <v>-0.0018</v>
      </c>
      <c r="AQ47" s="710">
        <v>-0.0116</v>
      </c>
      <c r="AR47" s="710">
        <v>-0.0041</v>
      </c>
      <c r="AS47" s="715">
        <v>-2.7</v>
      </c>
      <c r="AT47" s="715">
        <v>-2.7</v>
      </c>
      <c r="AU47" s="715">
        <v>-2.6</v>
      </c>
      <c r="AV47" s="715">
        <v>-2.5</v>
      </c>
      <c r="AW47" s="715">
        <v>-2.5</v>
      </c>
      <c r="AX47" s="715">
        <v>-2.5</v>
      </c>
      <c r="AY47" s="715">
        <v>-2.4</v>
      </c>
      <c r="AZ47" s="715">
        <v>-2.3</v>
      </c>
      <c r="BA47" s="715">
        <v>-2.3</v>
      </c>
      <c r="BB47" s="715">
        <v>-2.1</v>
      </c>
      <c r="BC47" s="715">
        <v>-2.1</v>
      </c>
      <c r="BD47" s="715">
        <v>-2.5</v>
      </c>
      <c r="BE47" s="715">
        <v>-2.5</v>
      </c>
      <c r="BF47" s="715">
        <v>-2.4</v>
      </c>
      <c r="BG47" s="715">
        <v>-2.3</v>
      </c>
      <c r="BH47" s="715">
        <v>-2.2</v>
      </c>
      <c r="BI47" s="715">
        <v>-2.2</v>
      </c>
      <c r="BJ47" s="715">
        <v>-2.1</v>
      </c>
      <c r="BK47" s="715">
        <v>-1.8</v>
      </c>
      <c r="BL47" s="715">
        <v>-1.8</v>
      </c>
      <c r="BM47" s="715">
        <v>-1.7</v>
      </c>
      <c r="BN47" s="715">
        <v>-1.6</v>
      </c>
      <c r="BO47" s="715">
        <v>-2.3</v>
      </c>
      <c r="BP47" s="715">
        <v>-2.2</v>
      </c>
      <c r="BQ47" s="715">
        <v>-2</v>
      </c>
      <c r="BR47" s="715">
        <v>-1.8</v>
      </c>
      <c r="BS47" s="715">
        <v>-1.7</v>
      </c>
      <c r="BT47" s="715">
        <v>-1.7</v>
      </c>
      <c r="BU47" s="715">
        <v>-1.5</v>
      </c>
      <c r="BV47" s="715">
        <v>-1.4</v>
      </c>
      <c r="BW47" s="715">
        <v>-1.2</v>
      </c>
      <c r="BX47" s="715">
        <v>-1.2</v>
      </c>
      <c r="BY47" s="715">
        <v>-1.1</v>
      </c>
      <c r="BZ47" s="715">
        <v>-2.3</v>
      </c>
      <c r="CA47" s="715">
        <v>-2.1</v>
      </c>
      <c r="CB47" s="715">
        <v>-2</v>
      </c>
      <c r="CC47" s="715">
        <v>-1.8</v>
      </c>
      <c r="CD47" s="715">
        <v>-1.7</v>
      </c>
      <c r="CE47" s="715">
        <v>-1.6</v>
      </c>
      <c r="CF47" s="715">
        <v>-1.5</v>
      </c>
      <c r="CG47" s="715">
        <v>-1.4</v>
      </c>
      <c r="CH47" s="715">
        <v>-1.2</v>
      </c>
      <c r="CI47" s="715">
        <v>-1.2</v>
      </c>
      <c r="CJ47" s="715">
        <v>-1.1</v>
      </c>
      <c r="CK47" s="715">
        <v>-2.2</v>
      </c>
      <c r="CL47" s="715">
        <v>-2</v>
      </c>
      <c r="CM47" s="715">
        <v>-1.9</v>
      </c>
      <c r="CN47" s="715">
        <v>-1.8</v>
      </c>
      <c r="CO47" s="715">
        <v>-1.6</v>
      </c>
      <c r="CP47" s="715">
        <v>-1.6</v>
      </c>
      <c r="CQ47" s="715">
        <v>-1.4</v>
      </c>
      <c r="CR47" s="715">
        <v>-1.4</v>
      </c>
      <c r="CS47" s="715">
        <v>-1.2</v>
      </c>
      <c r="CT47" s="715">
        <v>-1.2</v>
      </c>
      <c r="CU47" s="715">
        <v>-1</v>
      </c>
      <c r="CV47" s="715">
        <v>-2</v>
      </c>
      <c r="CW47" s="715">
        <v>-1.8</v>
      </c>
      <c r="CX47" s="715">
        <v>-1.7</v>
      </c>
      <c r="CY47" s="715">
        <v>-1.5</v>
      </c>
      <c r="CZ47" s="715">
        <v>-1.5</v>
      </c>
      <c r="DA47" s="715">
        <v>-1.4</v>
      </c>
      <c r="DB47" s="715">
        <v>-1.2</v>
      </c>
      <c r="DC47" s="715">
        <v>-1</v>
      </c>
      <c r="DD47" s="715">
        <v>-1</v>
      </c>
      <c r="DE47" s="715">
        <v>-0.8</v>
      </c>
      <c r="DF47" s="715">
        <v>-0.7</v>
      </c>
      <c r="DG47" s="715">
        <v>-1.7</v>
      </c>
      <c r="DH47" s="715">
        <v>-1.7</v>
      </c>
      <c r="DI47" s="715">
        <v>-1.5</v>
      </c>
      <c r="DJ47" s="715">
        <v>-1.4</v>
      </c>
      <c r="DK47" s="715">
        <v>-1.4</v>
      </c>
      <c r="DL47" s="715">
        <v>-1.3</v>
      </c>
      <c r="DM47" s="715">
        <v>-1.1</v>
      </c>
      <c r="DN47" s="715">
        <v>-1</v>
      </c>
      <c r="DO47" s="715">
        <v>-0.9</v>
      </c>
      <c r="DP47" s="715">
        <v>-0.8</v>
      </c>
      <c r="DQ47" s="715">
        <v>-0.5</v>
      </c>
      <c r="DR47" s="715">
        <v>-1.6</v>
      </c>
      <c r="DS47" s="715">
        <v>-1.5</v>
      </c>
      <c r="DT47" s="715">
        <v>-1.4</v>
      </c>
      <c r="DU47" s="715">
        <v>-1.3</v>
      </c>
      <c r="DV47" s="715">
        <v>-1.3</v>
      </c>
      <c r="DW47" s="715">
        <v>-1.1</v>
      </c>
      <c r="DX47" s="715">
        <v>-0.9</v>
      </c>
      <c r="DY47" s="715">
        <v>-0.8</v>
      </c>
      <c r="DZ47" s="715">
        <v>-0.6</v>
      </c>
      <c r="EA47" s="715">
        <v>-0.7</v>
      </c>
      <c r="EB47" s="715">
        <v>-0.3</v>
      </c>
      <c r="EC47" s="715">
        <v>-1.6</v>
      </c>
      <c r="ED47" s="715">
        <v>-1.5</v>
      </c>
      <c r="EE47" s="715">
        <v>-1.3</v>
      </c>
      <c r="EF47" s="715">
        <v>-1.2</v>
      </c>
      <c r="EG47" s="715">
        <v>-1.1</v>
      </c>
      <c r="EH47" s="715">
        <v>-1</v>
      </c>
      <c r="EI47" s="715">
        <v>-0.8</v>
      </c>
      <c r="EJ47" s="715">
        <v>-0.7</v>
      </c>
      <c r="EK47" s="715">
        <v>-0.6</v>
      </c>
      <c r="EL47" s="715">
        <v>-0.5</v>
      </c>
      <c r="EM47" s="715">
        <v>-0.2</v>
      </c>
      <c r="EN47" s="715">
        <v>-1.4</v>
      </c>
      <c r="EO47" s="715">
        <v>-1.4</v>
      </c>
      <c r="EP47" s="715">
        <v>-1.2</v>
      </c>
      <c r="EQ47" s="715">
        <v>-1</v>
      </c>
      <c r="ER47" s="715">
        <v>-0.9</v>
      </c>
      <c r="ES47" s="715">
        <v>-0.8</v>
      </c>
      <c r="ET47" s="715">
        <v>-0.6</v>
      </c>
      <c r="EU47" s="715">
        <v>-0.4</v>
      </c>
      <c r="EV47" s="715">
        <v>-0.4</v>
      </c>
      <c r="EW47" s="715">
        <v>-0.1</v>
      </c>
      <c r="EX47" s="715">
        <v>0.1</v>
      </c>
      <c r="EY47" s="715">
        <v>-4.9</v>
      </c>
      <c r="EZ47" s="715">
        <v>-4.3</v>
      </c>
      <c r="FA47" s="715">
        <v>-3.9</v>
      </c>
      <c r="FB47" s="715">
        <v>-3.5</v>
      </c>
      <c r="FC47" s="715">
        <v>-3.1</v>
      </c>
      <c r="FD47" s="715">
        <v>-2.9</v>
      </c>
      <c r="FE47" s="715">
        <v>-2.6</v>
      </c>
      <c r="FF47" s="715">
        <v>-2.4</v>
      </c>
      <c r="FG47" s="715">
        <v>-2.1</v>
      </c>
      <c r="FH47" s="715">
        <v>-2</v>
      </c>
      <c r="FI47" s="715">
        <v>-1.8</v>
      </c>
      <c r="FJ47" s="723">
        <v>-7.86e-6</v>
      </c>
      <c r="FK47" s="723">
        <v>1.43e-8</v>
      </c>
      <c r="FL47" s="723">
        <v>-2.55e-11</v>
      </c>
      <c r="FM47" s="723">
        <v>6.68e-7</v>
      </c>
      <c r="FN47" s="723">
        <v>5.75e-10</v>
      </c>
      <c r="FO47" s="723">
        <v>2.86e-16</v>
      </c>
      <c r="FP47" s="646">
        <v>1</v>
      </c>
      <c r="FQ47" s="646">
        <v>3</v>
      </c>
      <c r="FR47" s="646">
        <v>2</v>
      </c>
      <c r="FS47" s="646">
        <v>3</v>
      </c>
      <c r="FT47" s="646">
        <v>1</v>
      </c>
      <c r="FU47" s="646">
        <v>3</v>
      </c>
      <c r="FV47" s="681">
        <v>1</v>
      </c>
      <c r="FW47" s="646"/>
      <c r="FX47" s="646"/>
      <c r="FY47" s="646"/>
      <c r="FZ47" s="738">
        <v>654</v>
      </c>
      <c r="GA47" s="738">
        <v>695</v>
      </c>
      <c r="GB47" s="738">
        <v>618</v>
      </c>
      <c r="GC47" s="738">
        <v>645</v>
      </c>
      <c r="GD47" s="692">
        <v>0.66</v>
      </c>
      <c r="GE47" s="646"/>
      <c r="GF47" s="738">
        <v>85</v>
      </c>
      <c r="GG47" s="738">
        <v>95</v>
      </c>
      <c r="GH47" s="738">
        <v>79</v>
      </c>
      <c r="GI47" s="738">
        <v>80</v>
      </c>
      <c r="GJ47" s="738">
        <v>81</v>
      </c>
      <c r="GK47" s="738">
        <v>82</v>
      </c>
      <c r="GL47" s="738">
        <v>83</v>
      </c>
      <c r="GM47" s="738">
        <v>85</v>
      </c>
      <c r="GN47" s="738">
        <v>85</v>
      </c>
      <c r="GO47" s="738">
        <v>87</v>
      </c>
      <c r="GP47" s="738">
        <v>88</v>
      </c>
      <c r="GQ47" s="738">
        <v>88</v>
      </c>
      <c r="GR47" s="738">
        <v>90</v>
      </c>
      <c r="GS47" s="738">
        <v>91</v>
      </c>
      <c r="GT47" s="738">
        <v>91</v>
      </c>
      <c r="GU47" s="738">
        <v>91</v>
      </c>
      <c r="GV47" s="738">
        <v>93</v>
      </c>
      <c r="GW47" s="738">
        <v>94</v>
      </c>
      <c r="GX47" s="738">
        <v>94</v>
      </c>
      <c r="GY47" s="738">
        <v>96</v>
      </c>
      <c r="GZ47" s="738">
        <v>96</v>
      </c>
      <c r="HA47" s="738">
        <v>96</v>
      </c>
      <c r="HB47" s="738">
        <v>98</v>
      </c>
      <c r="HC47" s="738"/>
      <c r="HD47" s="738">
        <v>96</v>
      </c>
      <c r="HE47" s="738"/>
      <c r="HF47" s="738">
        <v>511</v>
      </c>
      <c r="HG47" s="738">
        <v>253</v>
      </c>
      <c r="HH47" s="715">
        <v>84.5</v>
      </c>
      <c r="HI47" s="715">
        <v>32.3</v>
      </c>
      <c r="HJ47" s="754">
        <v>0.309</v>
      </c>
      <c r="HK47" s="738">
        <v>81</v>
      </c>
      <c r="HL47" s="685">
        <v>1.37</v>
      </c>
      <c r="HM47" s="685">
        <v>4.26</v>
      </c>
      <c r="HN47" s="646" t="s">
        <v>604</v>
      </c>
      <c r="HO47" s="729" t="s">
        <v>605</v>
      </c>
      <c r="HP47" s="714">
        <v>-0.4</v>
      </c>
      <c r="HQ47" s="754">
        <v>0.916</v>
      </c>
      <c r="HR47" s="754">
        <v>0.969</v>
      </c>
      <c r="HS47" s="754">
        <v>0.987</v>
      </c>
      <c r="HT47" s="758">
        <v>0.994</v>
      </c>
      <c r="HU47" s="754">
        <v>0.998</v>
      </c>
      <c r="HV47" s="754">
        <v>0.999</v>
      </c>
      <c r="HW47" s="753">
        <v>0.999</v>
      </c>
      <c r="HX47" s="753">
        <v>0.999</v>
      </c>
      <c r="HY47" s="754">
        <v>0.999</v>
      </c>
      <c r="HZ47" s="754">
        <v>0.999</v>
      </c>
      <c r="IA47" s="754">
        <v>0.999</v>
      </c>
      <c r="IB47" s="754">
        <v>0.999</v>
      </c>
      <c r="IC47" s="754">
        <v>0.999</v>
      </c>
      <c r="ID47" s="754">
        <v>0.999</v>
      </c>
      <c r="IE47" s="754">
        <v>0.999</v>
      </c>
      <c r="IF47" s="754">
        <v>0.999</v>
      </c>
      <c r="IG47" s="754">
        <v>0.999</v>
      </c>
      <c r="IH47" s="754">
        <v>0.999</v>
      </c>
      <c r="II47" s="754">
        <v>0.996</v>
      </c>
      <c r="IJ47" s="754">
        <v>0.994</v>
      </c>
      <c r="IK47" s="754">
        <v>0.991</v>
      </c>
      <c r="IL47" s="754">
        <v>0.989</v>
      </c>
      <c r="IM47" s="754">
        <v>0.987</v>
      </c>
      <c r="IN47" s="754">
        <v>0.982</v>
      </c>
      <c r="IO47" s="754">
        <v>0.976</v>
      </c>
      <c r="IP47" s="754">
        <v>0.966</v>
      </c>
      <c r="IQ47" s="754">
        <v>0.948</v>
      </c>
      <c r="IR47" s="754">
        <v>0.918</v>
      </c>
      <c r="IS47" s="754">
        <v>0.868</v>
      </c>
      <c r="IT47" s="754">
        <v>0.792</v>
      </c>
      <c r="IU47" s="754">
        <v>0.685</v>
      </c>
      <c r="IV47" s="754">
        <v>0.54</v>
      </c>
      <c r="IW47" s="754">
        <v>0.366</v>
      </c>
      <c r="IX47" s="754">
        <v>0.2</v>
      </c>
      <c r="IY47" s="754"/>
      <c r="IZ47" s="754"/>
      <c r="JA47" s="754">
        <v>0.838</v>
      </c>
      <c r="JB47" s="754">
        <v>0.939</v>
      </c>
      <c r="JC47" s="754">
        <v>0.974</v>
      </c>
      <c r="JD47" s="754">
        <v>0.988</v>
      </c>
      <c r="JE47" s="754">
        <v>0.995</v>
      </c>
      <c r="JF47" s="754">
        <v>0.998</v>
      </c>
      <c r="JG47" s="754">
        <v>0.998</v>
      </c>
      <c r="JH47" s="754">
        <v>0.998</v>
      </c>
      <c r="JI47" s="754">
        <v>0.998</v>
      </c>
      <c r="JJ47" s="754">
        <v>0.998</v>
      </c>
      <c r="JK47" s="754">
        <v>0.998</v>
      </c>
      <c r="JL47" s="754">
        <v>0.998</v>
      </c>
      <c r="JM47" s="754">
        <v>0.998</v>
      </c>
      <c r="JN47" s="754">
        <v>0.998</v>
      </c>
      <c r="JO47" s="754">
        <v>0.998</v>
      </c>
      <c r="JP47" s="754">
        <v>0.998</v>
      </c>
      <c r="JQ47" s="754">
        <v>0.998</v>
      </c>
      <c r="JR47" s="754">
        <v>0.998</v>
      </c>
      <c r="JS47" s="754">
        <v>0.992</v>
      </c>
      <c r="JT47" s="754">
        <v>0.988</v>
      </c>
      <c r="JU47" s="754">
        <v>0.983</v>
      </c>
      <c r="JV47" s="754">
        <v>0.978</v>
      </c>
      <c r="JW47" s="754">
        <v>0.974</v>
      </c>
      <c r="JX47" s="754">
        <v>0.964</v>
      </c>
      <c r="JY47" s="754">
        <v>0.953</v>
      </c>
      <c r="JZ47" s="754">
        <v>0.934</v>
      </c>
      <c r="KA47" s="754">
        <v>0.899</v>
      </c>
      <c r="KB47" s="754">
        <v>0.842</v>
      </c>
      <c r="KC47" s="754">
        <v>0.754</v>
      </c>
      <c r="KD47" s="754">
        <v>0.627</v>
      </c>
      <c r="KE47" s="754">
        <v>0.469</v>
      </c>
      <c r="KF47" s="754">
        <v>0.292</v>
      </c>
      <c r="KG47" s="754">
        <v>0.134</v>
      </c>
      <c r="KH47" s="754">
        <v>0.04</v>
      </c>
      <c r="KI47" s="754"/>
      <c r="KJ47" s="754"/>
      <c r="KK47" s="765" t="s">
        <v>281</v>
      </c>
      <c r="KL47" s="738">
        <v>65</v>
      </c>
      <c r="KM47" s="738">
        <v>277</v>
      </c>
      <c r="KN47" s="646" t="s">
        <v>303</v>
      </c>
      <c r="KO47" s="646" t="s">
        <v>603</v>
      </c>
      <c r="KP47" s="646">
        <v>699511</v>
      </c>
      <c r="KQ47" s="766" t="s">
        <v>606</v>
      </c>
      <c r="KR47" s="750" t="s">
        <v>607</v>
      </c>
      <c r="KS47" s="769"/>
      <c r="KT47" s="770"/>
      <c r="KU47" s="766"/>
      <c r="KV47" s="750"/>
      <c r="KW47" s="771"/>
      <c r="KX47" s="750"/>
      <c r="KY47" s="769"/>
      <c r="KZ47" s="770"/>
    </row>
    <row r="48" s="628" customFormat="1" customHeight="1" spans="1:312">
      <c r="A48" s="682" t="s">
        <v>374</v>
      </c>
      <c r="B48" s="683">
        <v>44</v>
      </c>
      <c r="C48" s="689" t="s">
        <v>608</v>
      </c>
      <c r="D48" s="680">
        <v>651559</v>
      </c>
      <c r="E48" s="685">
        <v>55.89</v>
      </c>
      <c r="F48" s="685">
        <v>55.62</v>
      </c>
      <c r="G48" s="686">
        <v>0.01165</v>
      </c>
      <c r="H48" s="686">
        <v>0.011757</v>
      </c>
      <c r="I48" s="696">
        <v>1.61921</v>
      </c>
      <c r="J48" s="696">
        <v>1.62487</v>
      </c>
      <c r="K48" s="696">
        <v>1.63105</v>
      </c>
      <c r="L48" s="696">
        <v>1.6365</v>
      </c>
      <c r="M48" s="696">
        <v>1.63749</v>
      </c>
      <c r="N48" s="696">
        <v>1.6383</v>
      </c>
      <c r="O48" s="696">
        <v>1.64144</v>
      </c>
      <c r="P48" s="696">
        <v>1.64361</v>
      </c>
      <c r="Q48" s="697">
        <v>1.6456</v>
      </c>
      <c r="R48" s="697">
        <v>1.6476</v>
      </c>
      <c r="S48" s="697">
        <v>1.64816</v>
      </c>
      <c r="T48" s="701">
        <v>1.64869</v>
      </c>
      <c r="U48" s="697">
        <v>1.65103</v>
      </c>
      <c r="V48" s="697">
        <v>1.65113</v>
      </c>
      <c r="W48" s="697">
        <v>1.65391</v>
      </c>
      <c r="X48" s="697">
        <v>1.65925</v>
      </c>
      <c r="Y48" s="697">
        <v>1.65992</v>
      </c>
      <c r="Z48" s="697">
        <v>1.66558</v>
      </c>
      <c r="AA48" s="697">
        <v>1.67083</v>
      </c>
      <c r="AB48" s="697">
        <v>1.67985</v>
      </c>
      <c r="AC48" s="704">
        <v>2.68014719</v>
      </c>
      <c r="AD48" s="705">
        <v>-0.0113022222</v>
      </c>
      <c r="AE48" s="705">
        <v>0.0149971961</v>
      </c>
      <c r="AF48" s="705">
        <v>0.00108435</v>
      </c>
      <c r="AG48" s="705">
        <v>-0.000125822106</v>
      </c>
      <c r="AH48" s="705">
        <v>7.18648482e-6</v>
      </c>
      <c r="AI48" s="709">
        <v>0.303</v>
      </c>
      <c r="AJ48" s="709">
        <v>0.2386</v>
      </c>
      <c r="AK48" s="709">
        <v>0.5433</v>
      </c>
      <c r="AL48" s="709">
        <v>0.2526</v>
      </c>
      <c r="AM48" s="709">
        <v>0.2365</v>
      </c>
      <c r="AN48" s="709">
        <v>0.4814</v>
      </c>
      <c r="AO48" s="709">
        <v>-0.001</v>
      </c>
      <c r="AP48" s="709">
        <v>-0.0074</v>
      </c>
      <c r="AQ48" s="709">
        <v>-0.0127</v>
      </c>
      <c r="AR48" s="709">
        <v>-0.0058</v>
      </c>
      <c r="AS48" s="714">
        <v>2.5</v>
      </c>
      <c r="AT48" s="714">
        <v>2.5</v>
      </c>
      <c r="AU48" s="714">
        <v>2.5</v>
      </c>
      <c r="AV48" s="714">
        <v>2.5</v>
      </c>
      <c r="AW48" s="714">
        <v>2.5</v>
      </c>
      <c r="AX48" s="714">
        <v>2.6</v>
      </c>
      <c r="AY48" s="714">
        <v>2.6</v>
      </c>
      <c r="AZ48" s="714">
        <v>2.7</v>
      </c>
      <c r="BA48" s="714">
        <v>2.8</v>
      </c>
      <c r="BB48" s="714">
        <v>2.9</v>
      </c>
      <c r="BC48" s="714">
        <v>3</v>
      </c>
      <c r="BD48" s="714">
        <v>2.8</v>
      </c>
      <c r="BE48" s="714">
        <v>2.7</v>
      </c>
      <c r="BF48" s="714">
        <v>2.8</v>
      </c>
      <c r="BG48" s="714">
        <v>2.8</v>
      </c>
      <c r="BH48" s="714">
        <v>2.8</v>
      </c>
      <c r="BI48" s="714">
        <v>2.8</v>
      </c>
      <c r="BJ48" s="714">
        <v>2.9</v>
      </c>
      <c r="BK48" s="714">
        <v>3</v>
      </c>
      <c r="BL48" s="714">
        <v>3.1</v>
      </c>
      <c r="BM48" s="714">
        <v>3.2</v>
      </c>
      <c r="BN48" s="714">
        <v>3.3</v>
      </c>
      <c r="BO48" s="714">
        <v>2.9</v>
      </c>
      <c r="BP48" s="714">
        <v>2.8</v>
      </c>
      <c r="BQ48" s="714">
        <v>2.9</v>
      </c>
      <c r="BR48" s="714">
        <v>3</v>
      </c>
      <c r="BS48" s="714">
        <v>3</v>
      </c>
      <c r="BT48" s="714">
        <v>3</v>
      </c>
      <c r="BU48" s="714">
        <v>3.1</v>
      </c>
      <c r="BV48" s="714">
        <v>3.2</v>
      </c>
      <c r="BW48" s="714">
        <v>3.2</v>
      </c>
      <c r="BX48" s="714">
        <v>3.3</v>
      </c>
      <c r="BY48" s="714">
        <v>3.4</v>
      </c>
      <c r="BZ48" s="714">
        <v>3</v>
      </c>
      <c r="CA48" s="714">
        <v>2.9</v>
      </c>
      <c r="CB48" s="714">
        <v>2.9</v>
      </c>
      <c r="CC48" s="714">
        <v>3</v>
      </c>
      <c r="CD48" s="714">
        <v>3</v>
      </c>
      <c r="CE48" s="714">
        <v>3</v>
      </c>
      <c r="CF48" s="714">
        <v>3.1</v>
      </c>
      <c r="CG48" s="714">
        <v>3.2</v>
      </c>
      <c r="CH48" s="714">
        <v>3.2</v>
      </c>
      <c r="CI48" s="714">
        <v>3.3</v>
      </c>
      <c r="CJ48" s="714">
        <v>3.4</v>
      </c>
      <c r="CK48" s="714">
        <v>3</v>
      </c>
      <c r="CL48" s="715">
        <v>2.9</v>
      </c>
      <c r="CM48" s="715">
        <v>2.9</v>
      </c>
      <c r="CN48" s="715">
        <v>3</v>
      </c>
      <c r="CO48" s="715">
        <v>3</v>
      </c>
      <c r="CP48" s="715">
        <v>3</v>
      </c>
      <c r="CQ48" s="715">
        <v>3.1</v>
      </c>
      <c r="CR48" s="714">
        <v>3.3</v>
      </c>
      <c r="CS48" s="714">
        <v>3.3</v>
      </c>
      <c r="CT48" s="714">
        <v>3.4</v>
      </c>
      <c r="CU48" s="714">
        <v>3.5</v>
      </c>
      <c r="CV48" s="714">
        <v>3.1</v>
      </c>
      <c r="CW48" s="715">
        <v>3.1</v>
      </c>
      <c r="CX48" s="715">
        <v>3.1</v>
      </c>
      <c r="CY48" s="715">
        <v>3.1</v>
      </c>
      <c r="CZ48" s="715">
        <v>3.1</v>
      </c>
      <c r="DA48" s="715">
        <v>3.1</v>
      </c>
      <c r="DB48" s="715">
        <v>3.2</v>
      </c>
      <c r="DC48" s="714">
        <v>3.4</v>
      </c>
      <c r="DD48" s="714">
        <v>3.5</v>
      </c>
      <c r="DE48" s="714">
        <v>3.6</v>
      </c>
      <c r="DF48" s="714">
        <v>3.7</v>
      </c>
      <c r="DG48" s="714">
        <v>3.3</v>
      </c>
      <c r="DH48" s="715">
        <v>3.3</v>
      </c>
      <c r="DI48" s="715">
        <v>3.3</v>
      </c>
      <c r="DJ48" s="715">
        <v>3.3</v>
      </c>
      <c r="DK48" s="715">
        <v>3.3</v>
      </c>
      <c r="DL48" s="715">
        <v>3.4</v>
      </c>
      <c r="DM48" s="715">
        <v>3.6</v>
      </c>
      <c r="DN48" s="714">
        <v>3.7</v>
      </c>
      <c r="DO48" s="714">
        <v>3.8</v>
      </c>
      <c r="DP48" s="714">
        <v>3.9</v>
      </c>
      <c r="DQ48" s="714">
        <v>4</v>
      </c>
      <c r="DR48" s="714">
        <v>3.5</v>
      </c>
      <c r="DS48" s="715">
        <v>3.5</v>
      </c>
      <c r="DT48" s="715">
        <v>3.5</v>
      </c>
      <c r="DU48" s="715">
        <v>3.5</v>
      </c>
      <c r="DV48" s="715">
        <v>3.5</v>
      </c>
      <c r="DW48" s="715">
        <v>3.6</v>
      </c>
      <c r="DX48" s="715">
        <v>3.8</v>
      </c>
      <c r="DY48" s="714">
        <v>3.9</v>
      </c>
      <c r="DZ48" s="714">
        <v>4.1</v>
      </c>
      <c r="EA48" s="714">
        <v>4.2</v>
      </c>
      <c r="EB48" s="714">
        <v>4.3</v>
      </c>
      <c r="EC48" s="714">
        <v>3.6</v>
      </c>
      <c r="ED48" s="715">
        <v>3.6</v>
      </c>
      <c r="EE48" s="715">
        <v>3.6</v>
      </c>
      <c r="EF48" s="715">
        <v>3.6</v>
      </c>
      <c r="EG48" s="715">
        <v>3.6</v>
      </c>
      <c r="EH48" s="715">
        <v>3.7</v>
      </c>
      <c r="EI48" s="715">
        <v>3.9</v>
      </c>
      <c r="EJ48" s="714">
        <v>4</v>
      </c>
      <c r="EK48" s="714">
        <v>4.2</v>
      </c>
      <c r="EL48" s="714">
        <v>4.3</v>
      </c>
      <c r="EM48" s="714">
        <v>4.4</v>
      </c>
      <c r="EN48" s="714">
        <v>4</v>
      </c>
      <c r="EO48" s="715">
        <v>4</v>
      </c>
      <c r="EP48" s="715">
        <v>4</v>
      </c>
      <c r="EQ48" s="715">
        <v>4.1</v>
      </c>
      <c r="ER48" s="715">
        <v>4.1</v>
      </c>
      <c r="ES48" s="715">
        <v>4.2</v>
      </c>
      <c r="ET48" s="715">
        <v>4.4</v>
      </c>
      <c r="EU48" s="714">
        <v>4.6</v>
      </c>
      <c r="EV48" s="714">
        <v>4.8</v>
      </c>
      <c r="EW48" s="714">
        <v>4.9</v>
      </c>
      <c r="EX48" s="714">
        <v>5</v>
      </c>
      <c r="EY48" s="714">
        <v>0.3</v>
      </c>
      <c r="EZ48" s="715">
        <v>0.7</v>
      </c>
      <c r="FA48" s="715">
        <v>1</v>
      </c>
      <c r="FB48" s="715">
        <v>1.4</v>
      </c>
      <c r="FC48" s="715">
        <v>1.6</v>
      </c>
      <c r="FD48" s="715">
        <v>1.7</v>
      </c>
      <c r="FE48" s="715">
        <v>2</v>
      </c>
      <c r="FF48" s="714">
        <v>2.3</v>
      </c>
      <c r="FG48" s="714">
        <v>2.4</v>
      </c>
      <c r="FH48" s="714">
        <v>2.6</v>
      </c>
      <c r="FI48" s="714">
        <v>2.8</v>
      </c>
      <c r="FJ48" s="723">
        <v>1.69e-6</v>
      </c>
      <c r="FK48" s="723">
        <v>1.16e-8</v>
      </c>
      <c r="FL48" s="723">
        <v>-1.39e-11</v>
      </c>
      <c r="FM48" s="723">
        <v>3.41e-7</v>
      </c>
      <c r="FN48" s="723">
        <v>4.23e-10</v>
      </c>
      <c r="FO48" s="723">
        <v>0.278</v>
      </c>
      <c r="FP48" s="729">
        <v>1</v>
      </c>
      <c r="FQ48" s="729">
        <v>2</v>
      </c>
      <c r="FR48" s="729">
        <v>1</v>
      </c>
      <c r="FS48" s="729">
        <v>4</v>
      </c>
      <c r="FT48" s="729">
        <v>1</v>
      </c>
      <c r="FU48" s="729">
        <v>2</v>
      </c>
      <c r="FV48" s="681">
        <v>2</v>
      </c>
      <c r="FW48" s="729"/>
      <c r="FX48" s="729"/>
      <c r="FY48" s="729"/>
      <c r="FZ48" s="743">
        <v>656</v>
      </c>
      <c r="GA48" s="743">
        <v>687</v>
      </c>
      <c r="GB48" s="681">
        <v>589</v>
      </c>
      <c r="GC48" s="681">
        <v>629</v>
      </c>
      <c r="GD48" s="747">
        <v>0.8</v>
      </c>
      <c r="GE48" s="729"/>
      <c r="GF48" s="681">
        <v>67</v>
      </c>
      <c r="GG48" s="681">
        <v>82</v>
      </c>
      <c r="GH48" s="681">
        <v>59</v>
      </c>
      <c r="GI48" s="681">
        <v>61</v>
      </c>
      <c r="GJ48" s="681">
        <v>62</v>
      </c>
      <c r="GK48" s="681">
        <v>63</v>
      </c>
      <c r="GL48" s="681">
        <v>63</v>
      </c>
      <c r="GM48" s="681">
        <v>64</v>
      </c>
      <c r="GN48" s="681">
        <v>65</v>
      </c>
      <c r="GO48" s="681">
        <v>65</v>
      </c>
      <c r="GP48" s="681">
        <v>66</v>
      </c>
      <c r="GQ48" s="681">
        <v>67</v>
      </c>
      <c r="GR48" s="681">
        <v>68</v>
      </c>
      <c r="GS48" s="681">
        <v>68</v>
      </c>
      <c r="GT48" s="681">
        <v>69</v>
      </c>
      <c r="GU48" s="681">
        <v>69</v>
      </c>
      <c r="GV48" s="681">
        <v>70</v>
      </c>
      <c r="GW48" s="681">
        <v>71</v>
      </c>
      <c r="GX48" s="681">
        <v>72</v>
      </c>
      <c r="GY48" s="681">
        <v>73</v>
      </c>
      <c r="GZ48" s="681">
        <v>74</v>
      </c>
      <c r="HA48" s="681">
        <v>75</v>
      </c>
      <c r="HB48" s="681">
        <v>76</v>
      </c>
      <c r="HC48" s="681"/>
      <c r="HD48" s="750">
        <v>127</v>
      </c>
      <c r="HE48" s="681"/>
      <c r="HF48" s="681">
        <v>552</v>
      </c>
      <c r="HG48" s="681">
        <v>170</v>
      </c>
      <c r="HH48" s="714">
        <v>90.3</v>
      </c>
      <c r="HI48" s="714">
        <v>34.4</v>
      </c>
      <c r="HJ48" s="753">
        <v>0.311</v>
      </c>
      <c r="HK48" s="681">
        <v>54</v>
      </c>
      <c r="HL48" s="685">
        <v>1.9</v>
      </c>
      <c r="HM48" s="747">
        <v>3.72</v>
      </c>
      <c r="HN48" s="729" t="s">
        <v>609</v>
      </c>
      <c r="HO48" s="729" t="s">
        <v>610</v>
      </c>
      <c r="HP48" s="714">
        <v>-4</v>
      </c>
      <c r="HQ48" s="753">
        <v>0.891</v>
      </c>
      <c r="HR48" s="753">
        <v>0.966</v>
      </c>
      <c r="HS48" s="753">
        <v>0.99</v>
      </c>
      <c r="HT48" s="753">
        <v>0.995</v>
      </c>
      <c r="HU48" s="753">
        <v>0.999</v>
      </c>
      <c r="HV48" s="753">
        <v>0.999</v>
      </c>
      <c r="HW48" s="753">
        <v>0.999</v>
      </c>
      <c r="HX48" s="753">
        <v>0.999</v>
      </c>
      <c r="HY48" s="753">
        <v>0.999</v>
      </c>
      <c r="HZ48" s="753">
        <v>0.999</v>
      </c>
      <c r="IA48" s="753">
        <v>0.999</v>
      </c>
      <c r="IB48" s="753">
        <v>0.999</v>
      </c>
      <c r="IC48" s="753">
        <v>0.999</v>
      </c>
      <c r="ID48" s="753">
        <v>0.999</v>
      </c>
      <c r="IE48" s="753">
        <v>0.999</v>
      </c>
      <c r="IF48" s="753">
        <v>0.999</v>
      </c>
      <c r="IG48" s="753">
        <v>0.999</v>
      </c>
      <c r="IH48" s="753">
        <v>0.999</v>
      </c>
      <c r="II48" s="753">
        <v>0.999</v>
      </c>
      <c r="IJ48" s="753">
        <v>0.999</v>
      </c>
      <c r="IK48" s="753">
        <v>0.999</v>
      </c>
      <c r="IL48" s="753">
        <v>0.998</v>
      </c>
      <c r="IM48" s="753">
        <v>0.996</v>
      </c>
      <c r="IN48" s="753">
        <v>0.994</v>
      </c>
      <c r="IO48" s="753">
        <v>0.991</v>
      </c>
      <c r="IP48" s="753">
        <v>0.988</v>
      </c>
      <c r="IQ48" s="753">
        <v>0.982</v>
      </c>
      <c r="IR48" s="753">
        <v>0.971</v>
      </c>
      <c r="IS48" s="753">
        <v>0.952</v>
      </c>
      <c r="IT48" s="753">
        <v>0.92</v>
      </c>
      <c r="IU48" s="753">
        <v>0.867</v>
      </c>
      <c r="IV48" s="753">
        <v>0.79</v>
      </c>
      <c r="IW48" s="753">
        <v>0.684</v>
      </c>
      <c r="IX48" s="753">
        <v>0.551</v>
      </c>
      <c r="IY48" s="753">
        <v>0.401</v>
      </c>
      <c r="IZ48" s="753">
        <v>0.249</v>
      </c>
      <c r="JA48" s="753">
        <v>0.794</v>
      </c>
      <c r="JB48" s="753">
        <v>0.933</v>
      </c>
      <c r="JC48" s="753">
        <v>0.98</v>
      </c>
      <c r="JD48" s="753">
        <v>0.99</v>
      </c>
      <c r="JE48" s="753">
        <v>0.998</v>
      </c>
      <c r="JF48" s="753">
        <v>0.998</v>
      </c>
      <c r="JG48" s="753">
        <v>0.998</v>
      </c>
      <c r="JH48" s="753">
        <v>0.998</v>
      </c>
      <c r="JI48" s="753">
        <v>0.998</v>
      </c>
      <c r="JJ48" s="753">
        <v>0.998</v>
      </c>
      <c r="JK48" s="753">
        <v>0.998</v>
      </c>
      <c r="JL48" s="753">
        <v>0.998</v>
      </c>
      <c r="JM48" s="753">
        <v>0.998</v>
      </c>
      <c r="JN48" s="753">
        <v>0.998</v>
      </c>
      <c r="JO48" s="753">
        <v>0.998</v>
      </c>
      <c r="JP48" s="753">
        <v>0.998</v>
      </c>
      <c r="JQ48" s="753">
        <v>0.998</v>
      </c>
      <c r="JR48" s="753">
        <v>0.998</v>
      </c>
      <c r="JS48" s="753">
        <v>0.998</v>
      </c>
      <c r="JT48" s="753">
        <v>0.998</v>
      </c>
      <c r="JU48" s="753">
        <v>0.998</v>
      </c>
      <c r="JV48" s="753">
        <v>0.995</v>
      </c>
      <c r="JW48" s="753">
        <v>0.992</v>
      </c>
      <c r="JX48" s="753">
        <v>0.989</v>
      </c>
      <c r="JY48" s="753">
        <v>0.985</v>
      </c>
      <c r="JZ48" s="753">
        <v>0.979</v>
      </c>
      <c r="KA48" s="753">
        <v>0.968</v>
      </c>
      <c r="KB48" s="753">
        <v>0.945</v>
      </c>
      <c r="KC48" s="753">
        <v>0.91</v>
      </c>
      <c r="KD48" s="753">
        <v>0.849</v>
      </c>
      <c r="KE48" s="753">
        <v>0.756</v>
      </c>
      <c r="KF48" s="753">
        <v>0.628</v>
      </c>
      <c r="KG48" s="753">
        <v>0.469</v>
      </c>
      <c r="KH48" s="753">
        <v>0.305</v>
      </c>
      <c r="KI48" s="753">
        <v>0.163</v>
      </c>
      <c r="KJ48" s="754">
        <v>0.064</v>
      </c>
      <c r="KK48" s="765" t="s">
        <v>281</v>
      </c>
      <c r="KL48" s="738">
        <v>45</v>
      </c>
      <c r="KM48" s="738">
        <v>167</v>
      </c>
      <c r="KN48" s="646" t="s">
        <v>339</v>
      </c>
      <c r="KO48" s="646" t="s">
        <v>608</v>
      </c>
      <c r="KP48" s="680">
        <v>651559</v>
      </c>
      <c r="KQ48" s="766" t="s">
        <v>611</v>
      </c>
      <c r="KR48" s="750" t="s">
        <v>612</v>
      </c>
      <c r="KS48" s="769" t="s">
        <v>608</v>
      </c>
      <c r="KT48" s="770" t="s">
        <v>613</v>
      </c>
      <c r="KU48" s="766"/>
      <c r="KV48" s="750"/>
      <c r="KW48" s="771"/>
      <c r="KX48" s="750"/>
      <c r="KY48" s="769" t="s">
        <v>614</v>
      </c>
      <c r="KZ48" s="770" t="s">
        <v>613</v>
      </c>
    </row>
    <row r="49" s="628" customFormat="1" customHeight="1" spans="1:312">
      <c r="A49" s="682" t="s">
        <v>300</v>
      </c>
      <c r="B49" s="683">
        <v>45</v>
      </c>
      <c r="C49" s="684" t="s">
        <v>615</v>
      </c>
      <c r="D49" s="646">
        <v>651562</v>
      </c>
      <c r="E49" s="685">
        <v>56.24</v>
      </c>
      <c r="F49" s="685">
        <v>56.02</v>
      </c>
      <c r="G49" s="686">
        <v>0.011576</v>
      </c>
      <c r="H49" s="686">
        <v>0.01167</v>
      </c>
      <c r="I49" s="696"/>
      <c r="J49" s="696"/>
      <c r="K49" s="696"/>
      <c r="L49" s="696"/>
      <c r="M49" s="696">
        <v>1.63688</v>
      </c>
      <c r="N49" s="696">
        <v>1.63776</v>
      </c>
      <c r="O49" s="696">
        <v>1.64113</v>
      </c>
      <c r="P49" s="696">
        <v>1.6434</v>
      </c>
      <c r="Q49" s="696">
        <v>1.64543</v>
      </c>
      <c r="R49" s="696">
        <v>1.64747</v>
      </c>
      <c r="S49" s="696">
        <v>1.64803</v>
      </c>
      <c r="T49" s="696">
        <v>1.64856</v>
      </c>
      <c r="U49" s="696">
        <v>1.65089</v>
      </c>
      <c r="V49" s="696">
        <v>1.651</v>
      </c>
      <c r="W49" s="696">
        <v>1.65376</v>
      </c>
      <c r="X49" s="696">
        <v>1.65905</v>
      </c>
      <c r="Y49" s="696">
        <v>1.6597</v>
      </c>
      <c r="Z49" s="696">
        <v>1.66534</v>
      </c>
      <c r="AA49" s="696">
        <v>1.67056</v>
      </c>
      <c r="AB49" s="696">
        <v>1.67944</v>
      </c>
      <c r="AC49" s="704">
        <v>2.67752226</v>
      </c>
      <c r="AD49" s="704">
        <v>-0.0124341775</v>
      </c>
      <c r="AE49" s="704">
        <v>0.0181020008</v>
      </c>
      <c r="AF49" s="704">
        <v>-0.000138622158</v>
      </c>
      <c r="AG49" s="704">
        <v>6.22866969e-5</v>
      </c>
      <c r="AH49" s="704">
        <v>-3.07013984e-6</v>
      </c>
      <c r="AI49" s="646">
        <v>0.3049</v>
      </c>
      <c r="AJ49" s="646">
        <v>0.2384</v>
      </c>
      <c r="AK49" s="646">
        <v>0.5434</v>
      </c>
      <c r="AL49" s="646">
        <v>0.2545</v>
      </c>
      <c r="AM49" s="646">
        <v>0.2365</v>
      </c>
      <c r="AN49" s="646">
        <v>0.4833</v>
      </c>
      <c r="AO49" s="646">
        <v>-0.0022</v>
      </c>
      <c r="AP49" s="646">
        <v>-0.0068</v>
      </c>
      <c r="AQ49" s="646">
        <v>0.0262</v>
      </c>
      <c r="AR49" s="646">
        <v>0.0123</v>
      </c>
      <c r="AS49" s="646">
        <v>4.3</v>
      </c>
      <c r="AT49" s="646">
        <v>4.3</v>
      </c>
      <c r="AU49" s="646">
        <v>4.3</v>
      </c>
      <c r="AV49" s="646">
        <v>4.3</v>
      </c>
      <c r="AW49" s="646">
        <v>4.4</v>
      </c>
      <c r="AX49" s="646">
        <v>4.4</v>
      </c>
      <c r="AY49" s="646">
        <v>4.5</v>
      </c>
      <c r="AZ49" s="646">
        <v>4.5</v>
      </c>
      <c r="BA49" s="646">
        <v>4.5</v>
      </c>
      <c r="BB49" s="646">
        <v>4.6</v>
      </c>
      <c r="BC49" s="646">
        <v>4.6</v>
      </c>
      <c r="BD49" s="646">
        <v>4.5</v>
      </c>
      <c r="BE49" s="646">
        <v>4.5</v>
      </c>
      <c r="BF49" s="646">
        <v>4.5</v>
      </c>
      <c r="BG49" s="646">
        <v>4.6</v>
      </c>
      <c r="BH49" s="646">
        <v>4.6</v>
      </c>
      <c r="BI49" s="646">
        <v>4.8</v>
      </c>
      <c r="BJ49" s="646">
        <v>4.9</v>
      </c>
      <c r="BK49" s="646">
        <v>5</v>
      </c>
      <c r="BL49" s="646">
        <v>5</v>
      </c>
      <c r="BM49" s="646">
        <v>5.1</v>
      </c>
      <c r="BN49" s="646">
        <v>5.2</v>
      </c>
      <c r="BO49" s="646">
        <v>4.6</v>
      </c>
      <c r="BP49" s="646">
        <v>4.7</v>
      </c>
      <c r="BQ49" s="646">
        <v>4.7</v>
      </c>
      <c r="BR49" s="646">
        <v>4.8</v>
      </c>
      <c r="BS49" s="646">
        <v>4.9</v>
      </c>
      <c r="BT49" s="646">
        <v>4.9</v>
      </c>
      <c r="BU49" s="646">
        <v>5.1</v>
      </c>
      <c r="BV49" s="646">
        <v>5.1</v>
      </c>
      <c r="BW49" s="646">
        <v>5.2</v>
      </c>
      <c r="BX49" s="646">
        <v>5.3</v>
      </c>
      <c r="BY49" s="646">
        <v>5.4</v>
      </c>
      <c r="BZ49" s="646">
        <v>4.7</v>
      </c>
      <c r="CA49" s="646">
        <v>4.8</v>
      </c>
      <c r="CB49" s="646">
        <v>4.9</v>
      </c>
      <c r="CC49" s="646">
        <v>4.9</v>
      </c>
      <c r="CD49" s="646">
        <v>5</v>
      </c>
      <c r="CE49" s="646">
        <v>5</v>
      </c>
      <c r="CF49" s="646">
        <v>5.2</v>
      </c>
      <c r="CG49" s="646">
        <v>5.3</v>
      </c>
      <c r="CH49" s="646">
        <v>5.4</v>
      </c>
      <c r="CI49" s="646">
        <v>5.5</v>
      </c>
      <c r="CJ49" s="646">
        <v>5.5</v>
      </c>
      <c r="CK49" s="646">
        <v>4.9</v>
      </c>
      <c r="CL49" s="646">
        <v>4.9</v>
      </c>
      <c r="CM49" s="646">
        <v>4.9</v>
      </c>
      <c r="CN49" s="646">
        <v>5.1</v>
      </c>
      <c r="CO49" s="646">
        <v>5.2</v>
      </c>
      <c r="CP49" s="646">
        <v>5.2</v>
      </c>
      <c r="CQ49" s="646">
        <v>5.3</v>
      </c>
      <c r="CR49" s="646">
        <v>5.5</v>
      </c>
      <c r="CS49" s="646">
        <v>5.6</v>
      </c>
      <c r="CT49" s="646">
        <v>5.7</v>
      </c>
      <c r="CU49" s="646">
        <v>5.7</v>
      </c>
      <c r="CV49" s="646">
        <v>5.1</v>
      </c>
      <c r="CW49" s="646">
        <v>5.3</v>
      </c>
      <c r="CX49" s="646">
        <v>5.4</v>
      </c>
      <c r="CY49" s="646">
        <v>5.5</v>
      </c>
      <c r="CZ49" s="646">
        <v>5.5</v>
      </c>
      <c r="DA49" s="646">
        <v>5.6</v>
      </c>
      <c r="DB49" s="646">
        <v>5.8</v>
      </c>
      <c r="DC49" s="646">
        <v>5.9</v>
      </c>
      <c r="DD49" s="646">
        <v>6</v>
      </c>
      <c r="DE49" s="646">
        <v>6.1</v>
      </c>
      <c r="DF49" s="646">
        <v>6.1</v>
      </c>
      <c r="DG49" s="646">
        <v>5.5</v>
      </c>
      <c r="DH49" s="646">
        <v>5.5</v>
      </c>
      <c r="DI49" s="646">
        <v>5.6</v>
      </c>
      <c r="DJ49" s="646">
        <v>5.6</v>
      </c>
      <c r="DK49" s="646">
        <v>5.6</v>
      </c>
      <c r="DL49" s="646">
        <v>5.8</v>
      </c>
      <c r="DM49" s="646">
        <v>5.9</v>
      </c>
      <c r="DN49" s="646">
        <v>5.9</v>
      </c>
      <c r="DO49" s="646">
        <v>6.1</v>
      </c>
      <c r="DP49" s="646">
        <v>6.2</v>
      </c>
      <c r="DQ49" s="646">
        <v>6.2</v>
      </c>
      <c r="DR49" s="646">
        <v>5.7</v>
      </c>
      <c r="DS49" s="646">
        <v>5.7</v>
      </c>
      <c r="DT49" s="646">
        <v>5.8</v>
      </c>
      <c r="DU49" s="646">
        <v>5.9</v>
      </c>
      <c r="DV49" s="646">
        <v>6</v>
      </c>
      <c r="DW49" s="646">
        <v>6</v>
      </c>
      <c r="DX49" s="646">
        <v>6.1</v>
      </c>
      <c r="DY49" s="646">
        <v>6.2</v>
      </c>
      <c r="DZ49" s="646">
        <v>6.3</v>
      </c>
      <c r="EA49" s="646">
        <v>6.4</v>
      </c>
      <c r="EB49" s="646">
        <v>6.5</v>
      </c>
      <c r="EC49" s="646">
        <v>5.8</v>
      </c>
      <c r="ED49" s="646">
        <v>5.8</v>
      </c>
      <c r="EE49" s="646">
        <v>5.8</v>
      </c>
      <c r="EF49" s="646">
        <v>5.9</v>
      </c>
      <c r="EG49" s="646">
        <v>6</v>
      </c>
      <c r="EH49" s="646">
        <v>6.2</v>
      </c>
      <c r="EI49" s="646">
        <v>6.2</v>
      </c>
      <c r="EJ49" s="646">
        <v>6.3</v>
      </c>
      <c r="EK49" s="646">
        <v>6.4</v>
      </c>
      <c r="EL49" s="646">
        <v>6.4</v>
      </c>
      <c r="EM49" s="646">
        <v>6.6</v>
      </c>
      <c r="EN49" s="646">
        <v>6.2</v>
      </c>
      <c r="EO49" s="646">
        <v>6.2</v>
      </c>
      <c r="EP49" s="646">
        <v>6.3</v>
      </c>
      <c r="EQ49" s="646">
        <v>6.4</v>
      </c>
      <c r="ER49" s="646">
        <v>6.5</v>
      </c>
      <c r="ES49" s="646">
        <v>6.7</v>
      </c>
      <c r="ET49" s="646">
        <v>6.9</v>
      </c>
      <c r="EU49" s="646">
        <v>7</v>
      </c>
      <c r="EV49" s="646">
        <v>7.2</v>
      </c>
      <c r="EW49" s="646">
        <v>7.3</v>
      </c>
      <c r="EX49" s="646">
        <v>7.4</v>
      </c>
      <c r="EY49" s="646">
        <v>2.2</v>
      </c>
      <c r="EZ49" s="720">
        <v>2.7</v>
      </c>
      <c r="FA49" s="720">
        <v>3</v>
      </c>
      <c r="FB49" s="646">
        <v>3.5</v>
      </c>
      <c r="FC49" s="646">
        <v>3.8</v>
      </c>
      <c r="FD49" s="646">
        <v>3.9</v>
      </c>
      <c r="FE49" s="646">
        <v>4.2</v>
      </c>
      <c r="FF49" s="646">
        <v>4.5</v>
      </c>
      <c r="FG49" s="646">
        <v>4.7</v>
      </c>
      <c r="FH49" s="646">
        <v>4.9</v>
      </c>
      <c r="FI49" s="720">
        <v>5</v>
      </c>
      <c r="FJ49" s="723">
        <v>4.7e-6</v>
      </c>
      <c r="FK49" s="723">
        <v>1.3e-8</v>
      </c>
      <c r="FL49" s="723">
        <v>-2.38e-11</v>
      </c>
      <c r="FM49" s="723">
        <v>8.51e-7</v>
      </c>
      <c r="FN49" s="723">
        <v>6.66e-10</v>
      </c>
      <c r="FO49" s="723">
        <v>4.15e-14</v>
      </c>
      <c r="FP49" s="646">
        <v>1</v>
      </c>
      <c r="FQ49" s="646">
        <v>1</v>
      </c>
      <c r="FR49" s="646">
        <v>1</v>
      </c>
      <c r="FS49" s="646">
        <v>3</v>
      </c>
      <c r="FT49" s="646">
        <v>1</v>
      </c>
      <c r="FU49" s="646">
        <v>2</v>
      </c>
      <c r="FV49" s="681">
        <v>1</v>
      </c>
      <c r="FW49" s="646"/>
      <c r="FX49" s="646"/>
      <c r="FY49" s="646"/>
      <c r="FZ49" s="738">
        <v>689</v>
      </c>
      <c r="GA49" s="738">
        <v>723</v>
      </c>
      <c r="GB49" s="738">
        <v>646</v>
      </c>
      <c r="GC49" s="738">
        <v>679</v>
      </c>
      <c r="GD49" s="685">
        <v>0.998</v>
      </c>
      <c r="GE49" s="646"/>
      <c r="GF49" s="738">
        <v>40</v>
      </c>
      <c r="GG49" s="738">
        <v>56</v>
      </c>
      <c r="GH49" s="738">
        <v>32</v>
      </c>
      <c r="GI49" s="738">
        <v>34</v>
      </c>
      <c r="GJ49" s="738">
        <v>36</v>
      </c>
      <c r="GK49" s="738">
        <v>36</v>
      </c>
      <c r="GL49" s="738">
        <v>36</v>
      </c>
      <c r="GM49" s="738">
        <v>37</v>
      </c>
      <c r="GN49" s="738">
        <v>39</v>
      </c>
      <c r="GO49" s="738">
        <v>40</v>
      </c>
      <c r="GP49" s="738">
        <v>41</v>
      </c>
      <c r="GQ49" s="738">
        <v>41</v>
      </c>
      <c r="GR49" s="738">
        <v>42</v>
      </c>
      <c r="GS49" s="738">
        <v>42</v>
      </c>
      <c r="GT49" s="738">
        <v>42</v>
      </c>
      <c r="GU49" s="738">
        <v>43</v>
      </c>
      <c r="GV49" s="738">
        <v>45</v>
      </c>
      <c r="GW49" s="738">
        <v>46</v>
      </c>
      <c r="GX49" s="738">
        <v>48</v>
      </c>
      <c r="GY49" s="738">
        <v>49</v>
      </c>
      <c r="GZ49" s="738">
        <v>51</v>
      </c>
      <c r="HA49" s="738">
        <v>52</v>
      </c>
      <c r="HB49" s="738">
        <v>54</v>
      </c>
      <c r="HC49" s="738"/>
      <c r="HD49" s="738">
        <v>153</v>
      </c>
      <c r="HE49" s="738"/>
      <c r="HF49" s="738">
        <v>680</v>
      </c>
      <c r="HG49" s="738">
        <v>75</v>
      </c>
      <c r="HH49" s="715">
        <v>104.6</v>
      </c>
      <c r="HI49" s="715">
        <v>40.4</v>
      </c>
      <c r="HJ49" s="754">
        <v>0.296</v>
      </c>
      <c r="HK49" s="738">
        <v>121</v>
      </c>
      <c r="HL49" s="685">
        <v>2.27</v>
      </c>
      <c r="HM49" s="685">
        <v>3.34</v>
      </c>
      <c r="HN49" s="646" t="s">
        <v>350</v>
      </c>
      <c r="HO49" s="646" t="s">
        <v>616</v>
      </c>
      <c r="HP49" s="715">
        <v>-1.3</v>
      </c>
      <c r="HQ49" s="754">
        <v>0.789</v>
      </c>
      <c r="HR49" s="754">
        <v>0.933</v>
      </c>
      <c r="HS49" s="754">
        <v>0.98</v>
      </c>
      <c r="HT49" s="758">
        <v>0.993</v>
      </c>
      <c r="HU49" s="754">
        <v>0.997</v>
      </c>
      <c r="HV49" s="754">
        <v>0.995</v>
      </c>
      <c r="HW49" s="753">
        <v>0.999</v>
      </c>
      <c r="HX49" s="753">
        <v>0.999</v>
      </c>
      <c r="HY49" s="754">
        <v>0.999</v>
      </c>
      <c r="HZ49" s="754">
        <v>0.999</v>
      </c>
      <c r="IA49" s="754">
        <v>0.999</v>
      </c>
      <c r="IB49" s="754">
        <v>0.999</v>
      </c>
      <c r="IC49" s="754">
        <v>0.999</v>
      </c>
      <c r="ID49" s="754">
        <v>0.999</v>
      </c>
      <c r="IE49" s="754">
        <v>0.999</v>
      </c>
      <c r="IF49" s="754">
        <v>0.999</v>
      </c>
      <c r="IG49" s="754">
        <v>0.999</v>
      </c>
      <c r="IH49" s="754">
        <v>0.999</v>
      </c>
      <c r="II49" s="754">
        <v>0.999</v>
      </c>
      <c r="IJ49" s="754">
        <v>0.999</v>
      </c>
      <c r="IK49" s="754">
        <v>0.998</v>
      </c>
      <c r="IL49" s="754">
        <v>0.998</v>
      </c>
      <c r="IM49" s="754">
        <v>0.997</v>
      </c>
      <c r="IN49" s="754">
        <v>0.993</v>
      </c>
      <c r="IO49" s="754">
        <v>0.989</v>
      </c>
      <c r="IP49" s="754">
        <v>0.983</v>
      </c>
      <c r="IQ49" s="754">
        <v>0.973</v>
      </c>
      <c r="IR49" s="754">
        <v>0.956</v>
      </c>
      <c r="IS49" s="754">
        <v>0.926</v>
      </c>
      <c r="IT49" s="754">
        <v>0.883</v>
      </c>
      <c r="IU49" s="754">
        <v>0.817</v>
      </c>
      <c r="IV49" s="754">
        <v>0.732</v>
      </c>
      <c r="IW49" s="754">
        <v>0.627</v>
      </c>
      <c r="IX49" s="754">
        <v>0.508</v>
      </c>
      <c r="IY49" s="754">
        <v>0.383</v>
      </c>
      <c r="IZ49" s="754">
        <v>0.265</v>
      </c>
      <c r="JA49" s="754">
        <v>0.623</v>
      </c>
      <c r="JB49" s="754">
        <v>0.871</v>
      </c>
      <c r="JC49" s="754">
        <v>0.961</v>
      </c>
      <c r="JD49" s="754">
        <v>0.985</v>
      </c>
      <c r="JE49" s="754">
        <v>0.994</v>
      </c>
      <c r="JF49" s="754">
        <v>0.991</v>
      </c>
      <c r="JG49" s="754">
        <v>0.998</v>
      </c>
      <c r="JH49" s="754">
        <v>0.998</v>
      </c>
      <c r="JI49" s="754">
        <v>0.998</v>
      </c>
      <c r="JJ49" s="754">
        <v>0.998</v>
      </c>
      <c r="JK49" s="754">
        <v>0.998</v>
      </c>
      <c r="JL49" s="754">
        <v>0.998</v>
      </c>
      <c r="JM49" s="754">
        <v>0.998</v>
      </c>
      <c r="JN49" s="754">
        <v>0.998</v>
      </c>
      <c r="JO49" s="754">
        <v>0.998</v>
      </c>
      <c r="JP49" s="754">
        <v>0.998</v>
      </c>
      <c r="JQ49" s="754">
        <v>0.998</v>
      </c>
      <c r="JR49" s="754">
        <v>0.998</v>
      </c>
      <c r="JS49" s="754">
        <v>0.998</v>
      </c>
      <c r="JT49" s="754">
        <v>0.998</v>
      </c>
      <c r="JU49" s="754">
        <v>0.997</v>
      </c>
      <c r="JV49" s="754">
        <v>0.996</v>
      </c>
      <c r="JW49" s="754">
        <v>0.993</v>
      </c>
      <c r="JX49" s="754">
        <v>0.987</v>
      </c>
      <c r="JY49" s="754">
        <v>0.978</v>
      </c>
      <c r="JZ49" s="754">
        <v>0.967</v>
      </c>
      <c r="KA49" s="754">
        <v>0.947</v>
      </c>
      <c r="KB49" s="754">
        <v>0.913</v>
      </c>
      <c r="KC49" s="754">
        <v>0.858</v>
      </c>
      <c r="KD49" s="754">
        <v>0.781</v>
      </c>
      <c r="KE49" s="754">
        <v>0.667</v>
      </c>
      <c r="KF49" s="754">
        <v>0.536</v>
      </c>
      <c r="KG49" s="754">
        <v>0.393</v>
      </c>
      <c r="KH49" s="754">
        <v>0.258</v>
      </c>
      <c r="KI49" s="754">
        <v>0.146</v>
      </c>
      <c r="KJ49" s="754">
        <v>0.07</v>
      </c>
      <c r="KK49" s="765" t="s">
        <v>281</v>
      </c>
      <c r="KL49" s="738">
        <v>60</v>
      </c>
      <c r="KM49" s="738">
        <v>200</v>
      </c>
      <c r="KN49" s="646" t="s">
        <v>617</v>
      </c>
      <c r="KO49" s="646" t="s">
        <v>615</v>
      </c>
      <c r="KP49" s="646">
        <v>651562</v>
      </c>
      <c r="KQ49" s="766" t="s">
        <v>611</v>
      </c>
      <c r="KR49" s="750" t="s">
        <v>612</v>
      </c>
      <c r="KS49" s="769" t="s">
        <v>608</v>
      </c>
      <c r="KT49" s="770" t="s">
        <v>613</v>
      </c>
      <c r="KU49" s="766"/>
      <c r="KV49" s="750"/>
      <c r="KW49" s="771"/>
      <c r="KX49" s="750"/>
      <c r="KY49" s="769" t="s">
        <v>614</v>
      </c>
      <c r="KZ49" s="770" t="s">
        <v>613</v>
      </c>
    </row>
    <row r="50" s="628" customFormat="1" customHeight="1" spans="1:312">
      <c r="A50" s="682" t="s">
        <v>300</v>
      </c>
      <c r="B50" s="683">
        <v>46</v>
      </c>
      <c r="C50" s="689" t="s">
        <v>618</v>
      </c>
      <c r="D50" s="680">
        <v>697562</v>
      </c>
      <c r="E50" s="685">
        <v>56.19</v>
      </c>
      <c r="F50" s="685">
        <v>55.98</v>
      </c>
      <c r="G50" s="686">
        <v>0.0124</v>
      </c>
      <c r="H50" s="686">
        <v>0.0125</v>
      </c>
      <c r="I50" s="696">
        <v>1.65825</v>
      </c>
      <c r="J50" s="696">
        <v>1.66578</v>
      </c>
      <c r="K50" s="696">
        <v>1.67381</v>
      </c>
      <c r="L50" s="696">
        <v>1.68059</v>
      </c>
      <c r="M50" s="696">
        <v>1.68176</v>
      </c>
      <c r="N50" s="696">
        <v>1.68271</v>
      </c>
      <c r="O50" s="696">
        <v>1.68629</v>
      </c>
      <c r="P50" s="696">
        <v>1.68869</v>
      </c>
      <c r="Q50" s="697">
        <v>1.69087</v>
      </c>
      <c r="R50" s="697">
        <v>1.69301</v>
      </c>
      <c r="S50" s="697">
        <v>1.69361</v>
      </c>
      <c r="T50" s="701">
        <v>1.69418</v>
      </c>
      <c r="U50" s="697">
        <v>1.69668</v>
      </c>
      <c r="V50" s="697">
        <v>1.6968</v>
      </c>
      <c r="W50" s="697">
        <v>1.69975</v>
      </c>
      <c r="X50" s="697">
        <v>1.70541</v>
      </c>
      <c r="Y50" s="697">
        <v>1.70611</v>
      </c>
      <c r="Z50" s="697">
        <v>1.7121</v>
      </c>
      <c r="AA50" s="697">
        <v>1.71764</v>
      </c>
      <c r="AB50" s="697">
        <v>1.72713</v>
      </c>
      <c r="AC50" s="704">
        <v>2.83112539</v>
      </c>
      <c r="AD50" s="705">
        <v>-0.0155847682</v>
      </c>
      <c r="AE50" s="705">
        <v>0.0158070931</v>
      </c>
      <c r="AF50" s="705">
        <v>0.00124470183</v>
      </c>
      <c r="AG50" s="705">
        <v>-0.000141192909</v>
      </c>
      <c r="AH50" s="705">
        <v>7.83660883e-6</v>
      </c>
      <c r="AI50" s="709">
        <v>0.3056</v>
      </c>
      <c r="AJ50" s="709">
        <v>0.2379</v>
      </c>
      <c r="AK50" s="709">
        <v>0.5395</v>
      </c>
      <c r="AL50" s="709">
        <v>0.2552</v>
      </c>
      <c r="AM50" s="709">
        <v>0.236</v>
      </c>
      <c r="AN50" s="709">
        <v>0.4792</v>
      </c>
      <c r="AO50" s="709">
        <v>-0.0027</v>
      </c>
      <c r="AP50" s="709">
        <v>-0.0108</v>
      </c>
      <c r="AQ50" s="709">
        <v>0.0182</v>
      </c>
      <c r="AR50" s="709">
        <v>0.0067</v>
      </c>
      <c r="AS50" s="714">
        <v>1.5</v>
      </c>
      <c r="AT50" s="714">
        <v>1.6</v>
      </c>
      <c r="AU50" s="714">
        <v>1.7</v>
      </c>
      <c r="AV50" s="714">
        <v>1.8</v>
      </c>
      <c r="AW50" s="714">
        <v>2</v>
      </c>
      <c r="AX50" s="714">
        <v>2.1</v>
      </c>
      <c r="AY50" s="714">
        <v>2.1</v>
      </c>
      <c r="AZ50" s="714">
        <v>2.1</v>
      </c>
      <c r="BA50" s="714">
        <v>2.1</v>
      </c>
      <c r="BB50" s="714">
        <v>2.2</v>
      </c>
      <c r="BC50" s="714">
        <v>2.4</v>
      </c>
      <c r="BD50" s="714">
        <v>1.5</v>
      </c>
      <c r="BE50" s="714">
        <v>1.6</v>
      </c>
      <c r="BF50" s="714">
        <v>1.8</v>
      </c>
      <c r="BG50" s="714">
        <v>2</v>
      </c>
      <c r="BH50" s="714">
        <v>2.2</v>
      </c>
      <c r="BI50" s="714">
        <v>2.3</v>
      </c>
      <c r="BJ50" s="714">
        <v>2.3</v>
      </c>
      <c r="BK50" s="714">
        <v>2.4</v>
      </c>
      <c r="BL50" s="714">
        <v>2.6</v>
      </c>
      <c r="BM50" s="714">
        <v>2.7</v>
      </c>
      <c r="BN50" s="714">
        <v>2.8</v>
      </c>
      <c r="BO50" s="714">
        <v>1.6</v>
      </c>
      <c r="BP50" s="714">
        <v>1.7</v>
      </c>
      <c r="BQ50" s="714">
        <v>2</v>
      </c>
      <c r="BR50" s="714">
        <v>2.2</v>
      </c>
      <c r="BS50" s="714">
        <v>2.4</v>
      </c>
      <c r="BT50" s="714">
        <v>2.5</v>
      </c>
      <c r="BU50" s="714">
        <v>2.5</v>
      </c>
      <c r="BV50" s="714">
        <v>2.6</v>
      </c>
      <c r="BW50" s="714">
        <v>2.8</v>
      </c>
      <c r="BX50" s="714">
        <v>2.8</v>
      </c>
      <c r="BY50" s="714">
        <v>3</v>
      </c>
      <c r="BZ50" s="714">
        <v>1.6</v>
      </c>
      <c r="CA50" s="714">
        <v>1.7</v>
      </c>
      <c r="CB50" s="714">
        <v>2</v>
      </c>
      <c r="CC50" s="714">
        <v>2.2</v>
      </c>
      <c r="CD50" s="714">
        <v>2.4</v>
      </c>
      <c r="CE50" s="714">
        <v>2.5</v>
      </c>
      <c r="CF50" s="714">
        <v>2.4</v>
      </c>
      <c r="CG50" s="714">
        <v>2.6</v>
      </c>
      <c r="CH50" s="714">
        <v>2.8</v>
      </c>
      <c r="CI50" s="714">
        <v>2.8</v>
      </c>
      <c r="CJ50" s="714">
        <v>3</v>
      </c>
      <c r="CK50" s="714">
        <v>1.7</v>
      </c>
      <c r="CL50" s="715">
        <v>1.8</v>
      </c>
      <c r="CM50" s="715">
        <v>2.1</v>
      </c>
      <c r="CN50" s="715">
        <v>2.3</v>
      </c>
      <c r="CO50" s="715">
        <v>2.5</v>
      </c>
      <c r="CP50" s="715">
        <v>2.6</v>
      </c>
      <c r="CQ50" s="715">
        <v>2.5</v>
      </c>
      <c r="CR50" s="714">
        <v>2.7</v>
      </c>
      <c r="CS50" s="714">
        <v>2.9</v>
      </c>
      <c r="CT50" s="714">
        <v>2.9</v>
      </c>
      <c r="CU50" s="714">
        <v>3.1</v>
      </c>
      <c r="CV50" s="714">
        <v>1.8</v>
      </c>
      <c r="CW50" s="715">
        <v>1.9</v>
      </c>
      <c r="CX50" s="715">
        <v>2.2</v>
      </c>
      <c r="CY50" s="715">
        <v>2.4</v>
      </c>
      <c r="CZ50" s="715">
        <v>2.6</v>
      </c>
      <c r="DA50" s="715">
        <v>2.8</v>
      </c>
      <c r="DB50" s="715">
        <v>2.8</v>
      </c>
      <c r="DC50" s="714">
        <v>2.9</v>
      </c>
      <c r="DD50" s="714">
        <v>3.1</v>
      </c>
      <c r="DE50" s="714">
        <v>3.1</v>
      </c>
      <c r="DF50" s="714">
        <v>3.2</v>
      </c>
      <c r="DG50" s="714">
        <v>2</v>
      </c>
      <c r="DH50" s="715">
        <v>2.1</v>
      </c>
      <c r="DI50" s="715">
        <v>2.3</v>
      </c>
      <c r="DJ50" s="715">
        <v>2.6</v>
      </c>
      <c r="DK50" s="715">
        <v>2.8</v>
      </c>
      <c r="DL50" s="715">
        <v>2.9</v>
      </c>
      <c r="DM50" s="715">
        <v>3</v>
      </c>
      <c r="DN50" s="714">
        <v>3.1</v>
      </c>
      <c r="DO50" s="714">
        <v>3.3</v>
      </c>
      <c r="DP50" s="714">
        <v>3.3</v>
      </c>
      <c r="DQ50" s="714">
        <v>3.5</v>
      </c>
      <c r="DR50" s="714">
        <v>2.2</v>
      </c>
      <c r="DS50" s="715">
        <v>2.4</v>
      </c>
      <c r="DT50" s="715">
        <v>2.6</v>
      </c>
      <c r="DU50" s="715">
        <v>2.7</v>
      </c>
      <c r="DV50" s="715">
        <v>3</v>
      </c>
      <c r="DW50" s="715">
        <v>3.1</v>
      </c>
      <c r="DX50" s="715">
        <v>3.2</v>
      </c>
      <c r="DY50" s="714">
        <v>3.4</v>
      </c>
      <c r="DZ50" s="714">
        <v>3.5</v>
      </c>
      <c r="EA50" s="714">
        <v>3.5</v>
      </c>
      <c r="EB50" s="714">
        <v>3.7</v>
      </c>
      <c r="EC50" s="714">
        <v>2.2</v>
      </c>
      <c r="ED50" s="715">
        <v>2.4</v>
      </c>
      <c r="EE50" s="715">
        <v>2.7</v>
      </c>
      <c r="EF50" s="715">
        <v>2.8</v>
      </c>
      <c r="EG50" s="715">
        <v>3.1</v>
      </c>
      <c r="EH50" s="715">
        <v>3.2</v>
      </c>
      <c r="EI50" s="715">
        <v>3.3</v>
      </c>
      <c r="EJ50" s="714">
        <v>3.5</v>
      </c>
      <c r="EK50" s="714">
        <v>3.6</v>
      </c>
      <c r="EL50" s="714">
        <v>3.6</v>
      </c>
      <c r="EM50" s="714">
        <v>3.8</v>
      </c>
      <c r="EN50" s="714">
        <v>2.3</v>
      </c>
      <c r="EO50" s="715">
        <v>2.6</v>
      </c>
      <c r="EP50" s="715">
        <v>3.3</v>
      </c>
      <c r="EQ50" s="715">
        <v>3.4</v>
      </c>
      <c r="ER50" s="715">
        <v>3.5</v>
      </c>
      <c r="ES50" s="715">
        <v>3.6</v>
      </c>
      <c r="ET50" s="715">
        <v>3.8</v>
      </c>
      <c r="EU50" s="714">
        <v>3.9</v>
      </c>
      <c r="EV50" s="714">
        <v>4</v>
      </c>
      <c r="EW50" s="714">
        <v>4.3</v>
      </c>
      <c r="EX50" s="714">
        <v>4.4</v>
      </c>
      <c r="EY50" s="714">
        <v>-1</v>
      </c>
      <c r="EZ50" s="715">
        <v>-0.5</v>
      </c>
      <c r="FA50" s="715">
        <v>0.1</v>
      </c>
      <c r="FB50" s="715">
        <v>0.6</v>
      </c>
      <c r="FC50" s="715">
        <v>1</v>
      </c>
      <c r="FD50" s="715">
        <v>1.3</v>
      </c>
      <c r="FE50" s="715">
        <v>1.4</v>
      </c>
      <c r="FF50" s="714">
        <v>1.7</v>
      </c>
      <c r="FG50" s="714">
        <v>2</v>
      </c>
      <c r="FH50" s="714">
        <v>2.1</v>
      </c>
      <c r="FI50" s="714">
        <v>2.3</v>
      </c>
      <c r="FJ50" s="723">
        <v>1.91e-7</v>
      </c>
      <c r="FK50" s="723">
        <v>1.65e-8</v>
      </c>
      <c r="FL50" s="723">
        <v>-3.83e-11</v>
      </c>
      <c r="FM50" s="723">
        <v>3.84e-7</v>
      </c>
      <c r="FN50" s="723">
        <v>4.87e-10</v>
      </c>
      <c r="FO50" s="723">
        <v>0.227</v>
      </c>
      <c r="FP50" s="729">
        <v>1</v>
      </c>
      <c r="FQ50" s="729">
        <v>2</v>
      </c>
      <c r="FR50" s="729">
        <v>1</v>
      </c>
      <c r="FS50" s="729">
        <v>4</v>
      </c>
      <c r="FT50" s="729">
        <v>1</v>
      </c>
      <c r="FU50" s="729">
        <v>2</v>
      </c>
      <c r="FV50" s="681">
        <v>1</v>
      </c>
      <c r="FW50" s="729"/>
      <c r="FX50" s="729"/>
      <c r="FY50" s="729"/>
      <c r="FZ50" s="743">
        <v>673</v>
      </c>
      <c r="GA50" s="743">
        <v>696</v>
      </c>
      <c r="GB50" s="681">
        <v>611</v>
      </c>
      <c r="GC50" s="681">
        <v>638</v>
      </c>
      <c r="GD50" s="747">
        <v>1.07</v>
      </c>
      <c r="GE50" s="729"/>
      <c r="GF50" s="681">
        <v>56</v>
      </c>
      <c r="GG50" s="681">
        <v>72</v>
      </c>
      <c r="GH50" s="681">
        <v>53</v>
      </c>
      <c r="GI50" s="681">
        <v>55</v>
      </c>
      <c r="GJ50" s="681">
        <v>57</v>
      </c>
      <c r="GK50" s="681">
        <v>58</v>
      </c>
      <c r="GL50" s="681">
        <v>58</v>
      </c>
      <c r="GM50" s="681">
        <v>59</v>
      </c>
      <c r="GN50" s="681">
        <v>59</v>
      </c>
      <c r="GO50" s="681">
        <v>60</v>
      </c>
      <c r="GP50" s="681">
        <v>60</v>
      </c>
      <c r="GQ50" s="681">
        <v>60</v>
      </c>
      <c r="GR50" s="681">
        <v>61</v>
      </c>
      <c r="GS50" s="681">
        <v>61</v>
      </c>
      <c r="GT50" s="681">
        <v>61</v>
      </c>
      <c r="GU50" s="681">
        <v>62</v>
      </c>
      <c r="GV50" s="681">
        <v>62</v>
      </c>
      <c r="GW50" s="681">
        <v>63</v>
      </c>
      <c r="GX50" s="681">
        <v>64</v>
      </c>
      <c r="GY50" s="681">
        <v>65</v>
      </c>
      <c r="GZ50" s="681">
        <v>66</v>
      </c>
      <c r="HA50" s="681">
        <v>67</v>
      </c>
      <c r="HB50" s="681">
        <v>67</v>
      </c>
      <c r="HC50" s="681"/>
      <c r="HD50" s="750">
        <v>140</v>
      </c>
      <c r="HE50" s="681"/>
      <c r="HF50" s="681">
        <v>616</v>
      </c>
      <c r="HG50" s="681">
        <v>79</v>
      </c>
      <c r="HH50" s="714">
        <v>112.9</v>
      </c>
      <c r="HI50" s="714">
        <v>43.2</v>
      </c>
      <c r="HJ50" s="753">
        <v>0.307</v>
      </c>
      <c r="HK50" s="681">
        <v>73</v>
      </c>
      <c r="HL50" s="685">
        <v>1.59</v>
      </c>
      <c r="HM50" s="747">
        <v>3.71</v>
      </c>
      <c r="HN50" s="729" t="s">
        <v>539</v>
      </c>
      <c r="HO50" s="729" t="s">
        <v>619</v>
      </c>
      <c r="HP50" s="714">
        <v>-2</v>
      </c>
      <c r="HQ50" s="754">
        <v>0.795</v>
      </c>
      <c r="HR50" s="754">
        <v>0.953</v>
      </c>
      <c r="HS50" s="753">
        <v>0.988</v>
      </c>
      <c r="HT50" s="754">
        <v>0.999</v>
      </c>
      <c r="HU50" s="754">
        <v>0.999</v>
      </c>
      <c r="HV50" s="754">
        <v>0.999</v>
      </c>
      <c r="HW50" s="754">
        <v>0.999</v>
      </c>
      <c r="HX50" s="754">
        <v>0.999</v>
      </c>
      <c r="HY50" s="754">
        <v>0.999</v>
      </c>
      <c r="HZ50" s="754">
        <v>0.999</v>
      </c>
      <c r="IA50" s="754">
        <v>0.999</v>
      </c>
      <c r="IB50" s="754">
        <v>0.999</v>
      </c>
      <c r="IC50" s="754">
        <v>0.999</v>
      </c>
      <c r="ID50" s="754">
        <v>0.999</v>
      </c>
      <c r="IE50" s="754">
        <v>0.999</v>
      </c>
      <c r="IF50" s="754">
        <v>0.999</v>
      </c>
      <c r="IG50" s="754">
        <v>0.999</v>
      </c>
      <c r="IH50" s="754">
        <v>0.999</v>
      </c>
      <c r="II50" s="753">
        <v>0.999</v>
      </c>
      <c r="IJ50" s="754">
        <v>0.999</v>
      </c>
      <c r="IK50" s="754">
        <v>0.999</v>
      </c>
      <c r="IL50" s="754">
        <v>0.999</v>
      </c>
      <c r="IM50" s="754">
        <v>0.999</v>
      </c>
      <c r="IN50" s="753">
        <v>0.999</v>
      </c>
      <c r="IO50" s="754">
        <v>0.997</v>
      </c>
      <c r="IP50" s="754">
        <v>0.992</v>
      </c>
      <c r="IQ50" s="754">
        <v>0.983</v>
      </c>
      <c r="IR50" s="754">
        <v>0.968</v>
      </c>
      <c r="IS50" s="753">
        <v>0.942</v>
      </c>
      <c r="IT50" s="754">
        <v>0.907</v>
      </c>
      <c r="IU50" s="754">
        <v>0.856</v>
      </c>
      <c r="IV50" s="754">
        <v>0.785</v>
      </c>
      <c r="IW50" s="754">
        <v>0.688</v>
      </c>
      <c r="IX50" s="754">
        <v>0.564</v>
      </c>
      <c r="IY50" s="754">
        <v>0.401</v>
      </c>
      <c r="IZ50" s="754"/>
      <c r="JA50" s="754">
        <v>0.614</v>
      </c>
      <c r="JB50" s="754">
        <v>0.898</v>
      </c>
      <c r="JC50" s="753">
        <v>0.969</v>
      </c>
      <c r="JD50" s="754">
        <v>0.998</v>
      </c>
      <c r="JE50" s="754">
        <v>0.998</v>
      </c>
      <c r="JF50" s="754">
        <v>0.998</v>
      </c>
      <c r="JG50" s="754">
        <v>0.998</v>
      </c>
      <c r="JH50" s="754">
        <v>0.998</v>
      </c>
      <c r="JI50" s="754">
        <v>0.998</v>
      </c>
      <c r="JJ50" s="754">
        <v>0.998</v>
      </c>
      <c r="JK50" s="754">
        <v>0.998</v>
      </c>
      <c r="JL50" s="754">
        <v>0.998</v>
      </c>
      <c r="JM50" s="754">
        <v>0.998</v>
      </c>
      <c r="JN50" s="754">
        <v>0.998</v>
      </c>
      <c r="JO50" s="754">
        <v>0.998</v>
      </c>
      <c r="JP50" s="754">
        <v>0.998</v>
      </c>
      <c r="JQ50" s="754">
        <v>0.998</v>
      </c>
      <c r="JR50" s="754">
        <v>0.998</v>
      </c>
      <c r="JS50" s="754">
        <v>0.998</v>
      </c>
      <c r="JT50" s="754">
        <v>0.998</v>
      </c>
      <c r="JU50" s="754">
        <v>0.998</v>
      </c>
      <c r="JV50" s="754">
        <v>0.994</v>
      </c>
      <c r="JW50" s="754">
        <v>0.989</v>
      </c>
      <c r="JX50" s="753">
        <v>0.984</v>
      </c>
      <c r="JY50" s="754">
        <v>0.978</v>
      </c>
      <c r="JZ50" s="754">
        <v>0.967</v>
      </c>
      <c r="KA50" s="754">
        <v>0.948</v>
      </c>
      <c r="KB50" s="754">
        <v>0.918</v>
      </c>
      <c r="KC50" s="753">
        <v>0.858</v>
      </c>
      <c r="KD50" s="754">
        <v>0.792</v>
      </c>
      <c r="KE50" s="754">
        <v>0.699</v>
      </c>
      <c r="KF50" s="754">
        <v>0.581</v>
      </c>
      <c r="KG50" s="753">
        <v>0.442</v>
      </c>
      <c r="KH50" s="754">
        <v>0.289</v>
      </c>
      <c r="KI50" s="754">
        <v>0.144</v>
      </c>
      <c r="KJ50" s="754"/>
      <c r="KK50" s="765" t="s">
        <v>281</v>
      </c>
      <c r="KL50" s="738">
        <v>46</v>
      </c>
      <c r="KM50" s="738">
        <v>171</v>
      </c>
      <c r="KN50" s="646" t="s">
        <v>339</v>
      </c>
      <c r="KO50" s="646" t="s">
        <v>618</v>
      </c>
      <c r="KP50" s="680">
        <v>697562</v>
      </c>
      <c r="KQ50" s="766" t="s">
        <v>620</v>
      </c>
      <c r="KR50" s="750" t="s">
        <v>621</v>
      </c>
      <c r="KS50" s="769" t="s">
        <v>618</v>
      </c>
      <c r="KT50" s="770" t="s">
        <v>622</v>
      </c>
      <c r="KU50" s="766"/>
      <c r="KV50" s="750"/>
      <c r="KW50" s="771" t="s">
        <v>623</v>
      </c>
      <c r="KX50" s="750" t="s">
        <v>624</v>
      </c>
      <c r="KY50" s="769" t="s">
        <v>625</v>
      </c>
      <c r="KZ50" s="770" t="s">
        <v>626</v>
      </c>
    </row>
    <row r="51" s="628" customFormat="1" customHeight="1" spans="1:312">
      <c r="A51" s="682" t="s">
        <v>277</v>
      </c>
      <c r="B51" s="683">
        <v>47</v>
      </c>
      <c r="C51" s="689" t="s">
        <v>627</v>
      </c>
      <c r="D51" s="691">
        <v>652584</v>
      </c>
      <c r="E51" s="692">
        <v>58.4</v>
      </c>
      <c r="F51" s="692">
        <v>58.15</v>
      </c>
      <c r="G51" s="693">
        <v>0.011157</v>
      </c>
      <c r="H51" s="693">
        <v>0.011251</v>
      </c>
      <c r="I51" s="696">
        <v>1.61677</v>
      </c>
      <c r="J51" s="696">
        <v>1.62349</v>
      </c>
      <c r="K51" s="696">
        <v>1.63071</v>
      </c>
      <c r="L51" s="696">
        <v>1.63688</v>
      </c>
      <c r="M51" s="696">
        <v>1.63795</v>
      </c>
      <c r="N51" s="696">
        <v>1.63882</v>
      </c>
      <c r="O51" s="696">
        <v>1.6421</v>
      </c>
      <c r="P51" s="696">
        <v>1.64428</v>
      </c>
      <c r="Q51" s="702">
        <v>1.64625</v>
      </c>
      <c r="R51" s="702">
        <v>1.6482</v>
      </c>
      <c r="S51" s="702">
        <v>1.64874</v>
      </c>
      <c r="T51" s="703">
        <v>1.64924</v>
      </c>
      <c r="U51" s="702">
        <v>1.6515</v>
      </c>
      <c r="V51" s="702">
        <v>1.6516</v>
      </c>
      <c r="W51" s="702">
        <v>1.65426</v>
      </c>
      <c r="X51" s="702">
        <v>1.65935</v>
      </c>
      <c r="Y51" s="702">
        <v>1.65999</v>
      </c>
      <c r="Z51" s="702">
        <v>1.66541</v>
      </c>
      <c r="AA51" s="702">
        <v>1.67043</v>
      </c>
      <c r="AB51" s="702">
        <v>1.67894</v>
      </c>
      <c r="AC51" s="707">
        <v>2.68404972</v>
      </c>
      <c r="AD51" s="708">
        <v>-0.0134999767</v>
      </c>
      <c r="AE51" s="708">
        <v>0.015636422</v>
      </c>
      <c r="AF51" s="708">
        <v>0.000391605064</v>
      </c>
      <c r="AG51" s="708">
        <v>-8.87810681e-6</v>
      </c>
      <c r="AH51" s="708">
        <v>2.90663584e-7</v>
      </c>
      <c r="AI51" s="709">
        <v>0.3047</v>
      </c>
      <c r="AJ51" s="709">
        <v>0.2384</v>
      </c>
      <c r="AK51" s="709">
        <v>0.5432</v>
      </c>
      <c r="AL51" s="709">
        <v>0.2542</v>
      </c>
      <c r="AM51" s="709">
        <v>0.2364</v>
      </c>
      <c r="AN51" s="709">
        <v>0.4817</v>
      </c>
      <c r="AO51" s="709">
        <v>-0.0017</v>
      </c>
      <c r="AP51" s="709">
        <v>-0.0034</v>
      </c>
      <c r="AQ51" s="709">
        <v>0.0176</v>
      </c>
      <c r="AR51" s="709">
        <v>0.0062</v>
      </c>
      <c r="AS51" s="714">
        <v>2.7</v>
      </c>
      <c r="AT51" s="717">
        <v>2.7</v>
      </c>
      <c r="AU51" s="717">
        <v>2.8</v>
      </c>
      <c r="AV51" s="717">
        <v>2.8</v>
      </c>
      <c r="AW51" s="717">
        <v>2.9</v>
      </c>
      <c r="AX51" s="717">
        <v>3</v>
      </c>
      <c r="AY51" s="717">
        <v>3</v>
      </c>
      <c r="AZ51" s="717">
        <v>3</v>
      </c>
      <c r="BA51" s="717">
        <v>3.2</v>
      </c>
      <c r="BB51" s="717">
        <v>3.2</v>
      </c>
      <c r="BC51" s="717">
        <v>3.2</v>
      </c>
      <c r="BD51" s="717">
        <v>2.9</v>
      </c>
      <c r="BE51" s="717">
        <v>2.9</v>
      </c>
      <c r="BF51" s="717">
        <v>3</v>
      </c>
      <c r="BG51" s="717">
        <v>3</v>
      </c>
      <c r="BH51" s="717">
        <v>3.1</v>
      </c>
      <c r="BI51" s="717">
        <v>3.2</v>
      </c>
      <c r="BJ51" s="717">
        <v>3.3</v>
      </c>
      <c r="BK51" s="717">
        <v>3.3</v>
      </c>
      <c r="BL51" s="717">
        <v>3.4</v>
      </c>
      <c r="BM51" s="717">
        <v>3.4</v>
      </c>
      <c r="BN51" s="717">
        <v>3.5</v>
      </c>
      <c r="BO51" s="717">
        <v>3.1</v>
      </c>
      <c r="BP51" s="717">
        <v>3.2</v>
      </c>
      <c r="BQ51" s="717">
        <v>3.3</v>
      </c>
      <c r="BR51" s="717">
        <v>3.3</v>
      </c>
      <c r="BS51" s="717">
        <v>3.3</v>
      </c>
      <c r="BT51" s="717">
        <v>3.3</v>
      </c>
      <c r="BU51" s="717">
        <v>3.4</v>
      </c>
      <c r="BV51" s="717">
        <v>3.5</v>
      </c>
      <c r="BW51" s="717">
        <v>3.6</v>
      </c>
      <c r="BX51" s="717">
        <v>3.6</v>
      </c>
      <c r="BY51" s="717">
        <v>3.7</v>
      </c>
      <c r="BZ51" s="717">
        <v>3.2</v>
      </c>
      <c r="CA51" s="717">
        <v>3.3</v>
      </c>
      <c r="CB51" s="717">
        <v>3.3</v>
      </c>
      <c r="CC51" s="717">
        <v>3.3</v>
      </c>
      <c r="CD51" s="717">
        <v>3.3</v>
      </c>
      <c r="CE51" s="718">
        <v>3.4</v>
      </c>
      <c r="CF51" s="718">
        <v>3.5</v>
      </c>
      <c r="CG51" s="717">
        <v>3.6</v>
      </c>
      <c r="CH51" s="717">
        <v>3.6</v>
      </c>
      <c r="CI51" s="717">
        <v>3.7</v>
      </c>
      <c r="CJ51" s="717">
        <v>3.7</v>
      </c>
      <c r="CK51" s="717">
        <v>3.2</v>
      </c>
      <c r="CL51" s="718">
        <v>3.3</v>
      </c>
      <c r="CM51" s="718">
        <v>3.3</v>
      </c>
      <c r="CN51" s="718">
        <v>3.3</v>
      </c>
      <c r="CO51" s="718">
        <v>3.3</v>
      </c>
      <c r="CP51" s="718">
        <v>3.4</v>
      </c>
      <c r="CQ51" s="718">
        <v>3.5</v>
      </c>
      <c r="CR51" s="717">
        <v>3.6</v>
      </c>
      <c r="CS51" s="717">
        <v>3.6</v>
      </c>
      <c r="CT51" s="717">
        <v>3.7</v>
      </c>
      <c r="CU51" s="717">
        <v>3.8</v>
      </c>
      <c r="CV51" s="717">
        <v>3.3</v>
      </c>
      <c r="CW51" s="718">
        <v>3.3</v>
      </c>
      <c r="CX51" s="718">
        <v>3.3</v>
      </c>
      <c r="CY51" s="718">
        <v>3.3</v>
      </c>
      <c r="CZ51" s="718">
        <v>3.4</v>
      </c>
      <c r="DA51" s="718">
        <v>3.5</v>
      </c>
      <c r="DB51" s="718">
        <v>3.7</v>
      </c>
      <c r="DC51" s="717">
        <v>3.8</v>
      </c>
      <c r="DD51" s="717">
        <v>3.9</v>
      </c>
      <c r="DE51" s="717">
        <v>4</v>
      </c>
      <c r="DF51" s="717">
        <v>4.1</v>
      </c>
      <c r="DG51" s="717">
        <v>3.4</v>
      </c>
      <c r="DH51" s="718">
        <v>3.5</v>
      </c>
      <c r="DI51" s="718">
        <v>3.6</v>
      </c>
      <c r="DJ51" s="718">
        <v>3.6</v>
      </c>
      <c r="DK51" s="718">
        <v>3.6</v>
      </c>
      <c r="DL51" s="718">
        <v>3.8</v>
      </c>
      <c r="DM51" s="718">
        <v>3.8</v>
      </c>
      <c r="DN51" s="717">
        <v>3.9</v>
      </c>
      <c r="DO51" s="717">
        <v>4</v>
      </c>
      <c r="DP51" s="717">
        <v>4.1</v>
      </c>
      <c r="DQ51" s="717">
        <v>4.2</v>
      </c>
      <c r="DR51" s="717">
        <v>3.6</v>
      </c>
      <c r="DS51" s="718">
        <v>3.7</v>
      </c>
      <c r="DT51" s="718">
        <v>3.7</v>
      </c>
      <c r="DU51" s="718">
        <v>3.8</v>
      </c>
      <c r="DV51" s="718">
        <v>3.9</v>
      </c>
      <c r="DW51" s="718">
        <v>4</v>
      </c>
      <c r="DX51" s="718">
        <v>4.1</v>
      </c>
      <c r="DY51" s="717">
        <v>4.2</v>
      </c>
      <c r="DZ51" s="717">
        <v>4.3</v>
      </c>
      <c r="EA51" s="717">
        <v>4.4</v>
      </c>
      <c r="EB51" s="717">
        <v>4.5</v>
      </c>
      <c r="EC51" s="717">
        <v>3.6</v>
      </c>
      <c r="ED51" s="718">
        <v>3.7</v>
      </c>
      <c r="EE51" s="718">
        <v>3.8</v>
      </c>
      <c r="EF51" s="718">
        <v>3.9</v>
      </c>
      <c r="EG51" s="718">
        <v>4</v>
      </c>
      <c r="EH51" s="718">
        <v>4.1</v>
      </c>
      <c r="EI51" s="718">
        <v>4.2</v>
      </c>
      <c r="EJ51" s="717">
        <v>4.3</v>
      </c>
      <c r="EK51" s="717">
        <v>4.4</v>
      </c>
      <c r="EL51" s="717">
        <v>4.5</v>
      </c>
      <c r="EM51" s="717">
        <v>4.6</v>
      </c>
      <c r="EN51" s="717">
        <v>4</v>
      </c>
      <c r="EO51" s="718">
        <v>4.1</v>
      </c>
      <c r="EP51" s="718">
        <v>4.2</v>
      </c>
      <c r="EQ51" s="718">
        <v>4.2</v>
      </c>
      <c r="ER51" s="718">
        <v>4.3</v>
      </c>
      <c r="ES51" s="718">
        <v>4.4</v>
      </c>
      <c r="ET51" s="718">
        <v>4.5</v>
      </c>
      <c r="EU51" s="717">
        <v>4.6</v>
      </c>
      <c r="EV51" s="717">
        <v>4.8</v>
      </c>
      <c r="EW51" s="717">
        <v>5</v>
      </c>
      <c r="EX51" s="717">
        <v>5.2</v>
      </c>
      <c r="EY51" s="717">
        <v>0.5</v>
      </c>
      <c r="EZ51" s="718">
        <v>1.1</v>
      </c>
      <c r="FA51" s="718">
        <v>1.4</v>
      </c>
      <c r="FB51" s="718">
        <v>1.7</v>
      </c>
      <c r="FC51" s="718">
        <v>1.9</v>
      </c>
      <c r="FD51" s="715">
        <v>2.1</v>
      </c>
      <c r="FE51" s="715">
        <v>2.4</v>
      </c>
      <c r="FF51" s="717">
        <v>2.6</v>
      </c>
      <c r="FG51" s="717">
        <v>2.7</v>
      </c>
      <c r="FH51" s="717">
        <v>2.9</v>
      </c>
      <c r="FI51" s="717">
        <v>3.1</v>
      </c>
      <c r="FJ51" s="728">
        <v>2.25e-6</v>
      </c>
      <c r="FK51" s="728">
        <v>1.25e-8</v>
      </c>
      <c r="FL51" s="728">
        <v>-2.25e-11</v>
      </c>
      <c r="FM51" s="728">
        <v>4.23e-7</v>
      </c>
      <c r="FN51" s="727">
        <v>5.63e-10</v>
      </c>
      <c r="FO51" s="723">
        <v>0.191</v>
      </c>
      <c r="FP51" s="731">
        <v>1</v>
      </c>
      <c r="FQ51" s="731">
        <v>3</v>
      </c>
      <c r="FR51" s="731">
        <v>3</v>
      </c>
      <c r="FS51" s="731">
        <v>4</v>
      </c>
      <c r="FT51" s="729">
        <v>1</v>
      </c>
      <c r="FU51" s="729">
        <v>3</v>
      </c>
      <c r="FV51" s="681">
        <v>2</v>
      </c>
      <c r="FW51" s="729"/>
      <c r="FX51" s="729"/>
      <c r="FY51" s="729"/>
      <c r="FZ51" s="744">
        <v>622</v>
      </c>
      <c r="GA51" s="744">
        <v>659</v>
      </c>
      <c r="GB51" s="745">
        <v>570</v>
      </c>
      <c r="GC51" s="745">
        <v>615</v>
      </c>
      <c r="GD51" s="749">
        <v>0.95</v>
      </c>
      <c r="GE51" s="731"/>
      <c r="GF51" s="681">
        <v>60</v>
      </c>
      <c r="GG51" s="745">
        <v>77</v>
      </c>
      <c r="GH51" s="738">
        <v>57</v>
      </c>
      <c r="GI51" s="738">
        <v>59</v>
      </c>
      <c r="GJ51" s="738">
        <v>60</v>
      </c>
      <c r="GK51" s="738">
        <v>61</v>
      </c>
      <c r="GL51" s="738">
        <v>62</v>
      </c>
      <c r="GM51" s="738">
        <v>63</v>
      </c>
      <c r="GN51" s="738">
        <v>64</v>
      </c>
      <c r="GO51" s="738">
        <v>64</v>
      </c>
      <c r="GP51" s="738">
        <v>65</v>
      </c>
      <c r="GQ51" s="738">
        <v>65</v>
      </c>
      <c r="GR51" s="738">
        <v>66</v>
      </c>
      <c r="GS51" s="738">
        <v>66</v>
      </c>
      <c r="GT51" s="738">
        <v>67</v>
      </c>
      <c r="GU51" s="738">
        <v>68</v>
      </c>
      <c r="GV51" s="738">
        <v>68</v>
      </c>
      <c r="GW51" s="738">
        <v>69</v>
      </c>
      <c r="GX51" s="738">
        <v>70</v>
      </c>
      <c r="GY51" s="738">
        <v>71</v>
      </c>
      <c r="GZ51" s="738">
        <v>73</v>
      </c>
      <c r="HA51" s="738">
        <v>74</v>
      </c>
      <c r="HB51" s="738">
        <v>75</v>
      </c>
      <c r="HC51" s="681"/>
      <c r="HD51" s="750">
        <v>137</v>
      </c>
      <c r="HE51" s="681"/>
      <c r="HF51" s="745">
        <v>594</v>
      </c>
      <c r="HG51" s="745">
        <v>105</v>
      </c>
      <c r="HH51" s="714">
        <v>102.9</v>
      </c>
      <c r="HI51" s="714">
        <v>39.5</v>
      </c>
      <c r="HJ51" s="757">
        <v>0.302</v>
      </c>
      <c r="HK51" s="745">
        <v>76</v>
      </c>
      <c r="HL51" s="685">
        <v>1.85</v>
      </c>
      <c r="HM51" s="749">
        <v>3.48</v>
      </c>
      <c r="HN51" s="731" t="s">
        <v>524</v>
      </c>
      <c r="HO51" s="729" t="s">
        <v>628</v>
      </c>
      <c r="HP51" s="714">
        <v>-2.6</v>
      </c>
      <c r="HQ51" s="759">
        <v>0.84</v>
      </c>
      <c r="HR51" s="759">
        <v>0.954</v>
      </c>
      <c r="HS51" s="759">
        <v>0.991</v>
      </c>
      <c r="HT51" s="759">
        <v>0.999</v>
      </c>
      <c r="HU51" s="759">
        <v>0.999</v>
      </c>
      <c r="HV51" s="759">
        <v>0.999</v>
      </c>
      <c r="HW51" s="759">
        <v>0.999</v>
      </c>
      <c r="HX51" s="759">
        <v>0.999</v>
      </c>
      <c r="HY51" s="759">
        <v>0.999</v>
      </c>
      <c r="HZ51" s="759">
        <v>0.999</v>
      </c>
      <c r="IA51" s="759">
        <v>0.999</v>
      </c>
      <c r="IB51" s="759">
        <v>0.999</v>
      </c>
      <c r="IC51" s="759">
        <v>0.999</v>
      </c>
      <c r="ID51" s="759">
        <v>0.999</v>
      </c>
      <c r="IE51" s="759">
        <v>0.999</v>
      </c>
      <c r="IF51" s="759">
        <v>0.999</v>
      </c>
      <c r="IG51" s="759">
        <v>0.999</v>
      </c>
      <c r="IH51" s="759">
        <v>0.999</v>
      </c>
      <c r="II51" s="759">
        <v>0.999</v>
      </c>
      <c r="IJ51" s="759">
        <v>0.997</v>
      </c>
      <c r="IK51" s="759">
        <v>0.995</v>
      </c>
      <c r="IL51" s="759">
        <v>0.993</v>
      </c>
      <c r="IM51" s="759">
        <v>0.991</v>
      </c>
      <c r="IN51" s="759">
        <v>0.989</v>
      </c>
      <c r="IO51" s="759">
        <v>0.986</v>
      </c>
      <c r="IP51" s="759">
        <v>0.982</v>
      </c>
      <c r="IQ51" s="759">
        <v>0.974</v>
      </c>
      <c r="IR51" s="759">
        <v>0.969</v>
      </c>
      <c r="IS51" s="759">
        <v>0.948</v>
      </c>
      <c r="IT51" s="759">
        <v>0.92</v>
      </c>
      <c r="IU51" s="759">
        <v>0.881</v>
      </c>
      <c r="IV51" s="759">
        <v>0.816</v>
      </c>
      <c r="IW51" s="759">
        <v>0.725</v>
      </c>
      <c r="IX51" s="759">
        <v>0.607</v>
      </c>
      <c r="IY51" s="757">
        <v>0.482</v>
      </c>
      <c r="IZ51" s="759">
        <v>0.357</v>
      </c>
      <c r="JA51" s="759">
        <v>0.706</v>
      </c>
      <c r="JB51" s="759">
        <v>0.91</v>
      </c>
      <c r="JC51" s="759">
        <v>0.982</v>
      </c>
      <c r="JD51" s="759">
        <v>0.998</v>
      </c>
      <c r="JE51" s="759">
        <v>0.998</v>
      </c>
      <c r="JF51" s="759">
        <v>0.998</v>
      </c>
      <c r="JG51" s="759">
        <v>0.998</v>
      </c>
      <c r="JH51" s="759">
        <v>0.998</v>
      </c>
      <c r="JI51" s="759">
        <v>0.998</v>
      </c>
      <c r="JJ51" s="759">
        <v>0.998</v>
      </c>
      <c r="JK51" s="759">
        <v>0.998</v>
      </c>
      <c r="JL51" s="759">
        <v>0.998</v>
      </c>
      <c r="JM51" s="759">
        <v>0.998</v>
      </c>
      <c r="JN51" s="759">
        <v>0.998</v>
      </c>
      <c r="JO51" s="759">
        <v>0.998</v>
      </c>
      <c r="JP51" s="759">
        <v>0.998</v>
      </c>
      <c r="JQ51" s="759">
        <v>0.998</v>
      </c>
      <c r="JR51" s="759">
        <v>0.998</v>
      </c>
      <c r="JS51" s="759">
        <v>0.998</v>
      </c>
      <c r="JT51" s="759">
        <v>0.996</v>
      </c>
      <c r="JU51" s="759">
        <v>0.994</v>
      </c>
      <c r="JV51" s="759">
        <v>0.992</v>
      </c>
      <c r="JW51" s="759">
        <v>0.99</v>
      </c>
      <c r="JX51" s="759">
        <v>0.988</v>
      </c>
      <c r="JY51" s="759">
        <v>0.985</v>
      </c>
      <c r="JZ51" s="759">
        <v>0.979</v>
      </c>
      <c r="KA51" s="759">
        <v>0.968</v>
      </c>
      <c r="KB51" s="759">
        <v>0.949</v>
      </c>
      <c r="KC51" s="759">
        <v>0.916</v>
      </c>
      <c r="KD51" s="759">
        <v>0.863</v>
      </c>
      <c r="KE51" s="759">
        <v>0.783</v>
      </c>
      <c r="KF51" s="759">
        <v>0.672</v>
      </c>
      <c r="KG51" s="759">
        <v>0.531</v>
      </c>
      <c r="KH51" s="759">
        <v>0.377</v>
      </c>
      <c r="KI51" s="757">
        <v>0.241</v>
      </c>
      <c r="KJ51" s="759">
        <v>0.136</v>
      </c>
      <c r="KK51" s="765" t="s">
        <v>281</v>
      </c>
      <c r="KL51" s="738">
        <v>40</v>
      </c>
      <c r="KM51" s="738">
        <v>139</v>
      </c>
      <c r="KN51" s="646" t="s">
        <v>282</v>
      </c>
      <c r="KO51" s="646" t="s">
        <v>627</v>
      </c>
      <c r="KP51" s="691">
        <v>652584</v>
      </c>
      <c r="KQ51" s="766" t="s">
        <v>629</v>
      </c>
      <c r="KR51" s="750" t="s">
        <v>630</v>
      </c>
      <c r="KS51" s="769" t="s">
        <v>627</v>
      </c>
      <c r="KT51" s="770" t="s">
        <v>631</v>
      </c>
      <c r="KU51" s="766" t="s">
        <v>632</v>
      </c>
      <c r="KV51" s="750">
        <v>652584</v>
      </c>
      <c r="KW51" s="771" t="s">
        <v>633</v>
      </c>
      <c r="KX51" s="750" t="s">
        <v>634</v>
      </c>
      <c r="KY51" s="769" t="s">
        <v>635</v>
      </c>
      <c r="KZ51" s="770" t="s">
        <v>630</v>
      </c>
    </row>
    <row r="52" s="628" customFormat="1" customHeight="1" spans="1:312">
      <c r="A52" s="682" t="s">
        <v>374</v>
      </c>
      <c r="B52" s="683">
        <v>48</v>
      </c>
      <c r="C52" s="684" t="s">
        <v>636</v>
      </c>
      <c r="D52" s="679">
        <v>697555</v>
      </c>
      <c r="E52" s="685">
        <v>55.46</v>
      </c>
      <c r="F52" s="685">
        <v>55.25</v>
      </c>
      <c r="G52" s="686">
        <v>0.012564</v>
      </c>
      <c r="H52" s="686">
        <v>0.012667</v>
      </c>
      <c r="I52" s="696">
        <v>1.6584</v>
      </c>
      <c r="J52" s="696">
        <v>1.66575</v>
      </c>
      <c r="K52" s="696">
        <v>1.67368</v>
      </c>
      <c r="L52" s="696">
        <v>1.68042</v>
      </c>
      <c r="M52" s="696">
        <v>1.68159</v>
      </c>
      <c r="N52" s="696">
        <v>1.68254</v>
      </c>
      <c r="O52" s="696">
        <v>1.68616</v>
      </c>
      <c r="P52" s="696">
        <v>1.68859</v>
      </c>
      <c r="Q52" s="697">
        <v>1.69079</v>
      </c>
      <c r="R52" s="697">
        <v>1.69297</v>
      </c>
      <c r="S52" s="697">
        <v>1.69358</v>
      </c>
      <c r="T52" s="701">
        <v>1.69415</v>
      </c>
      <c r="U52" s="697">
        <v>1.69669</v>
      </c>
      <c r="V52" s="697">
        <v>1.6968</v>
      </c>
      <c r="W52" s="697">
        <v>1.6998</v>
      </c>
      <c r="X52" s="697">
        <v>1.70553</v>
      </c>
      <c r="Y52" s="697">
        <v>1.70625</v>
      </c>
      <c r="Z52" s="697">
        <v>1.71234</v>
      </c>
      <c r="AA52" s="697">
        <v>1.718</v>
      </c>
      <c r="AB52" s="697">
        <v>1.72765</v>
      </c>
      <c r="AC52" s="704">
        <v>2.82930828</v>
      </c>
      <c r="AD52" s="704">
        <v>-0.0151991877</v>
      </c>
      <c r="AE52" s="704">
        <v>0.0169710302</v>
      </c>
      <c r="AF52" s="704">
        <v>0.000914047795</v>
      </c>
      <c r="AG52" s="704">
        <v>-8.69746514e-5</v>
      </c>
      <c r="AH52" s="704">
        <v>4.85293775e-6</v>
      </c>
      <c r="AI52" s="709">
        <v>0.3048</v>
      </c>
      <c r="AJ52" s="709">
        <v>0.2388</v>
      </c>
      <c r="AK52" s="709">
        <v>0.542</v>
      </c>
      <c r="AL52" s="709">
        <v>0.2542</v>
      </c>
      <c r="AM52" s="709">
        <v>0.2368</v>
      </c>
      <c r="AN52" s="709">
        <v>0.4808</v>
      </c>
      <c r="AO52" s="709">
        <v>-0.0035</v>
      </c>
      <c r="AP52" s="709">
        <v>-0.0095</v>
      </c>
      <c r="AQ52" s="709">
        <v>0.0213</v>
      </c>
      <c r="AR52" s="709">
        <v>0.0085</v>
      </c>
      <c r="AS52" s="714">
        <v>3.9</v>
      </c>
      <c r="AT52" s="715">
        <v>3.9</v>
      </c>
      <c r="AU52" s="715">
        <v>3.9</v>
      </c>
      <c r="AV52" s="715">
        <v>3.9</v>
      </c>
      <c r="AW52" s="715">
        <v>3.9</v>
      </c>
      <c r="AX52" s="715">
        <v>4.1</v>
      </c>
      <c r="AY52" s="715">
        <v>4.1</v>
      </c>
      <c r="AZ52" s="715">
        <v>4.2</v>
      </c>
      <c r="BA52" s="715">
        <v>4.2</v>
      </c>
      <c r="BB52" s="715">
        <v>4.2</v>
      </c>
      <c r="BC52" s="715">
        <v>4.3</v>
      </c>
      <c r="BD52" s="715">
        <v>4.1</v>
      </c>
      <c r="BE52" s="715">
        <v>4.2</v>
      </c>
      <c r="BF52" s="715">
        <v>4.2</v>
      </c>
      <c r="BG52" s="715">
        <v>4.2</v>
      </c>
      <c r="BH52" s="715">
        <v>4.2</v>
      </c>
      <c r="BI52" s="715">
        <v>4.4</v>
      </c>
      <c r="BJ52" s="715">
        <v>4.4</v>
      </c>
      <c r="BK52" s="715">
        <v>4.4</v>
      </c>
      <c r="BL52" s="715">
        <v>4.5</v>
      </c>
      <c r="BM52" s="715">
        <v>4.5</v>
      </c>
      <c r="BN52" s="715">
        <v>4.4</v>
      </c>
      <c r="BO52" s="715">
        <v>4.2</v>
      </c>
      <c r="BP52" s="715">
        <v>4.3</v>
      </c>
      <c r="BQ52" s="715">
        <v>4.3</v>
      </c>
      <c r="BR52" s="715">
        <v>4.3</v>
      </c>
      <c r="BS52" s="715">
        <v>4.4</v>
      </c>
      <c r="BT52" s="715">
        <v>4.5</v>
      </c>
      <c r="BU52" s="715">
        <v>4.6</v>
      </c>
      <c r="BV52" s="715">
        <v>4.7</v>
      </c>
      <c r="BW52" s="715">
        <v>4.7</v>
      </c>
      <c r="BX52" s="715">
        <v>4.8</v>
      </c>
      <c r="BY52" s="715">
        <v>4.8</v>
      </c>
      <c r="BZ52" s="715">
        <v>4.3</v>
      </c>
      <c r="CA52" s="715">
        <v>4.3</v>
      </c>
      <c r="CB52" s="715">
        <v>4.3</v>
      </c>
      <c r="CC52" s="715">
        <v>4.3</v>
      </c>
      <c r="CD52" s="715">
        <v>4.4</v>
      </c>
      <c r="CE52" s="715">
        <v>4.6</v>
      </c>
      <c r="CF52" s="715">
        <v>4.7</v>
      </c>
      <c r="CG52" s="715">
        <v>4.8</v>
      </c>
      <c r="CH52" s="715">
        <v>4.8</v>
      </c>
      <c r="CI52" s="715">
        <v>4.8</v>
      </c>
      <c r="CJ52" s="715">
        <v>4.9</v>
      </c>
      <c r="CK52" s="715">
        <v>4.4</v>
      </c>
      <c r="CL52" s="715">
        <v>4.4</v>
      </c>
      <c r="CM52" s="715">
        <v>4.4</v>
      </c>
      <c r="CN52" s="715">
        <v>4.4</v>
      </c>
      <c r="CO52" s="715">
        <v>4.5</v>
      </c>
      <c r="CP52" s="715">
        <v>4.7</v>
      </c>
      <c r="CQ52" s="715">
        <v>4.6</v>
      </c>
      <c r="CR52" s="715">
        <v>4.8</v>
      </c>
      <c r="CS52" s="715">
        <v>4.8</v>
      </c>
      <c r="CT52" s="715">
        <v>4.8</v>
      </c>
      <c r="CU52" s="715">
        <v>4.9</v>
      </c>
      <c r="CV52" s="715">
        <v>4.5</v>
      </c>
      <c r="CW52" s="715">
        <v>4.5</v>
      </c>
      <c r="CX52" s="715">
        <v>4.5</v>
      </c>
      <c r="CY52" s="715">
        <v>4.5</v>
      </c>
      <c r="CZ52" s="715">
        <v>4.5</v>
      </c>
      <c r="DA52" s="715">
        <v>4.7</v>
      </c>
      <c r="DB52" s="715">
        <v>4.9</v>
      </c>
      <c r="DC52" s="715">
        <v>5</v>
      </c>
      <c r="DD52" s="715">
        <v>5</v>
      </c>
      <c r="DE52" s="715">
        <v>5.1</v>
      </c>
      <c r="DF52" s="715">
        <v>5.1</v>
      </c>
      <c r="DG52" s="715">
        <v>4.7</v>
      </c>
      <c r="DH52" s="715">
        <v>4.7</v>
      </c>
      <c r="DI52" s="715">
        <v>4.7</v>
      </c>
      <c r="DJ52" s="715">
        <v>4.7</v>
      </c>
      <c r="DK52" s="715">
        <v>4.7</v>
      </c>
      <c r="DL52" s="715">
        <v>4.9</v>
      </c>
      <c r="DM52" s="715">
        <v>5</v>
      </c>
      <c r="DN52" s="715">
        <v>5</v>
      </c>
      <c r="DO52" s="715">
        <v>5.1</v>
      </c>
      <c r="DP52" s="715">
        <v>5.1</v>
      </c>
      <c r="DQ52" s="715">
        <v>5.1</v>
      </c>
      <c r="DR52" s="715">
        <v>5</v>
      </c>
      <c r="DS52" s="715">
        <v>5.1</v>
      </c>
      <c r="DT52" s="715">
        <v>5.1</v>
      </c>
      <c r="DU52" s="715">
        <v>5.1</v>
      </c>
      <c r="DV52" s="715">
        <v>5.2</v>
      </c>
      <c r="DW52" s="715">
        <v>5.4</v>
      </c>
      <c r="DX52" s="715">
        <v>5.5</v>
      </c>
      <c r="DY52" s="715">
        <v>5.5</v>
      </c>
      <c r="DZ52" s="715">
        <v>5.5</v>
      </c>
      <c r="EA52" s="715">
        <v>5.5</v>
      </c>
      <c r="EB52" s="715">
        <v>5.6</v>
      </c>
      <c r="EC52" s="715">
        <v>5</v>
      </c>
      <c r="ED52" s="715">
        <v>5.1</v>
      </c>
      <c r="EE52" s="715">
        <v>5.2</v>
      </c>
      <c r="EF52" s="715">
        <v>5.2</v>
      </c>
      <c r="EG52" s="715">
        <v>5.3</v>
      </c>
      <c r="EH52" s="715">
        <v>5.4</v>
      </c>
      <c r="EI52" s="715">
        <v>5.5</v>
      </c>
      <c r="EJ52" s="715">
        <v>5.5</v>
      </c>
      <c r="EK52" s="715">
        <v>5.6</v>
      </c>
      <c r="EL52" s="715">
        <v>5.6</v>
      </c>
      <c r="EM52" s="715">
        <v>5.6</v>
      </c>
      <c r="EN52" s="715">
        <v>5.4</v>
      </c>
      <c r="EO52" s="715">
        <v>5.4</v>
      </c>
      <c r="EP52" s="715">
        <v>5.4</v>
      </c>
      <c r="EQ52" s="715">
        <v>5.4</v>
      </c>
      <c r="ER52" s="715">
        <v>5.5</v>
      </c>
      <c r="ES52" s="715">
        <v>5.8</v>
      </c>
      <c r="ET52" s="715">
        <v>5.9</v>
      </c>
      <c r="EU52" s="715">
        <v>6</v>
      </c>
      <c r="EV52" s="715">
        <v>6</v>
      </c>
      <c r="EW52" s="715">
        <v>6.1</v>
      </c>
      <c r="EX52" s="715">
        <v>6.1</v>
      </c>
      <c r="EY52" s="715">
        <v>1.7</v>
      </c>
      <c r="EZ52" s="715">
        <v>2.1</v>
      </c>
      <c r="FA52" s="715">
        <v>2.4</v>
      </c>
      <c r="FB52" s="715">
        <v>2.7</v>
      </c>
      <c r="FC52" s="715">
        <v>3</v>
      </c>
      <c r="FD52" s="715">
        <v>3.4</v>
      </c>
      <c r="FE52" s="715">
        <v>3.5</v>
      </c>
      <c r="FF52" s="715">
        <v>3.8</v>
      </c>
      <c r="FG52" s="715">
        <v>3.9</v>
      </c>
      <c r="FH52" s="715">
        <v>4</v>
      </c>
      <c r="FI52" s="715">
        <v>4.1</v>
      </c>
      <c r="FJ52" s="723">
        <v>4.02e-6</v>
      </c>
      <c r="FK52" s="723">
        <v>1.29e-8</v>
      </c>
      <c r="FL52" s="723">
        <v>-2.62e-11</v>
      </c>
      <c r="FM52" s="723">
        <v>4.49e-7</v>
      </c>
      <c r="FN52" s="723">
        <v>2.06e-10</v>
      </c>
      <c r="FO52" s="723">
        <v>0.205</v>
      </c>
      <c r="FP52" s="729">
        <v>1</v>
      </c>
      <c r="FQ52" s="729">
        <v>3</v>
      </c>
      <c r="FR52" s="729">
        <v>1</v>
      </c>
      <c r="FS52" s="729">
        <v>3</v>
      </c>
      <c r="FT52" s="729">
        <v>1</v>
      </c>
      <c r="FU52" s="729">
        <v>2</v>
      </c>
      <c r="FV52" s="681">
        <v>1</v>
      </c>
      <c r="FW52" s="729"/>
      <c r="FX52" s="729"/>
      <c r="FY52" s="729"/>
      <c r="FZ52" s="743">
        <v>650</v>
      </c>
      <c r="GA52" s="743">
        <v>676</v>
      </c>
      <c r="GB52" s="681">
        <v>591</v>
      </c>
      <c r="GC52" s="681">
        <v>625</v>
      </c>
      <c r="GD52" s="747">
        <v>0.62</v>
      </c>
      <c r="GE52" s="729"/>
      <c r="GF52" s="681">
        <v>55</v>
      </c>
      <c r="GG52" s="681">
        <v>71</v>
      </c>
      <c r="GH52" s="745">
        <v>52</v>
      </c>
      <c r="GI52" s="745">
        <v>53</v>
      </c>
      <c r="GJ52" s="745">
        <v>54</v>
      </c>
      <c r="GK52" s="745">
        <v>55</v>
      </c>
      <c r="GL52" s="745">
        <v>56</v>
      </c>
      <c r="GM52" s="745">
        <v>56</v>
      </c>
      <c r="GN52" s="745">
        <v>57</v>
      </c>
      <c r="GO52" s="745">
        <v>57</v>
      </c>
      <c r="GP52" s="745">
        <v>58</v>
      </c>
      <c r="GQ52" s="745">
        <v>58</v>
      </c>
      <c r="GR52" s="745">
        <v>58</v>
      </c>
      <c r="GS52" s="745">
        <v>59</v>
      </c>
      <c r="GT52" s="745">
        <v>59</v>
      </c>
      <c r="GU52" s="745">
        <v>59</v>
      </c>
      <c r="GV52" s="745">
        <v>60</v>
      </c>
      <c r="GW52" s="745">
        <v>61</v>
      </c>
      <c r="GX52" s="745">
        <v>61</v>
      </c>
      <c r="GY52" s="745">
        <v>62</v>
      </c>
      <c r="GZ52" s="745">
        <v>63</v>
      </c>
      <c r="HA52" s="745">
        <v>64</v>
      </c>
      <c r="HB52" s="745">
        <v>65</v>
      </c>
      <c r="HC52" s="681"/>
      <c r="HD52" s="750">
        <v>145</v>
      </c>
      <c r="HE52" s="681"/>
      <c r="HF52" s="681">
        <v>680</v>
      </c>
      <c r="HG52" s="681">
        <v>85</v>
      </c>
      <c r="HH52" s="714">
        <v>110.2</v>
      </c>
      <c r="HI52" s="714">
        <v>43.9</v>
      </c>
      <c r="HJ52" s="753">
        <v>0.255</v>
      </c>
      <c r="HK52" s="681">
        <v>64</v>
      </c>
      <c r="HL52" s="685">
        <v>1.7</v>
      </c>
      <c r="HM52" s="747">
        <v>3.69</v>
      </c>
      <c r="HN52" s="729" t="s">
        <v>350</v>
      </c>
      <c r="HO52" s="729" t="s">
        <v>616</v>
      </c>
      <c r="HP52" s="714">
        <v>-3.7</v>
      </c>
      <c r="HQ52" s="753">
        <v>0.757</v>
      </c>
      <c r="HR52" s="753">
        <v>0.923</v>
      </c>
      <c r="HS52" s="753">
        <v>0.986</v>
      </c>
      <c r="HT52" s="753">
        <v>0.999</v>
      </c>
      <c r="HU52" s="753">
        <v>0.999</v>
      </c>
      <c r="HV52" s="753">
        <v>0.999</v>
      </c>
      <c r="HW52" s="753">
        <v>0.999</v>
      </c>
      <c r="HX52" s="753">
        <v>0.999</v>
      </c>
      <c r="HY52" s="753">
        <v>0.999</v>
      </c>
      <c r="HZ52" s="753">
        <v>0.999</v>
      </c>
      <c r="IA52" s="753">
        <v>0.999</v>
      </c>
      <c r="IB52" s="753">
        <v>0.999</v>
      </c>
      <c r="IC52" s="753">
        <v>0.999</v>
      </c>
      <c r="ID52" s="753">
        <v>0.999</v>
      </c>
      <c r="IE52" s="753">
        <v>0.999</v>
      </c>
      <c r="IF52" s="753">
        <v>0.999</v>
      </c>
      <c r="IG52" s="753">
        <v>0.999</v>
      </c>
      <c r="IH52" s="753">
        <v>0.999</v>
      </c>
      <c r="II52" s="753">
        <v>0.999</v>
      </c>
      <c r="IJ52" s="753">
        <v>0.999</v>
      </c>
      <c r="IK52" s="753">
        <v>0.999</v>
      </c>
      <c r="IL52" s="753">
        <v>0.999</v>
      </c>
      <c r="IM52" s="753">
        <v>0.997</v>
      </c>
      <c r="IN52" s="753">
        <v>0.992</v>
      </c>
      <c r="IO52" s="753">
        <v>0.99</v>
      </c>
      <c r="IP52" s="753">
        <v>0.985</v>
      </c>
      <c r="IQ52" s="753">
        <v>0.975</v>
      </c>
      <c r="IR52" s="753">
        <v>0.957</v>
      </c>
      <c r="IS52" s="753">
        <v>0.928</v>
      </c>
      <c r="IT52" s="753">
        <v>0.885</v>
      </c>
      <c r="IU52" s="753">
        <v>0.827</v>
      </c>
      <c r="IV52" s="753">
        <v>0.748</v>
      </c>
      <c r="IW52" s="753">
        <v>0.643</v>
      </c>
      <c r="IX52" s="753">
        <v>0.553</v>
      </c>
      <c r="IY52" s="753">
        <v>0.451</v>
      </c>
      <c r="IZ52" s="753">
        <v>0.328</v>
      </c>
      <c r="JA52" s="753">
        <v>0.575</v>
      </c>
      <c r="JB52" s="753">
        <v>0.846</v>
      </c>
      <c r="JC52" s="753">
        <v>0.96</v>
      </c>
      <c r="JD52" s="753">
        <v>0.993</v>
      </c>
      <c r="JE52" s="753">
        <v>0.998</v>
      </c>
      <c r="JF52" s="753">
        <v>0.998</v>
      </c>
      <c r="JG52" s="753">
        <v>0.998</v>
      </c>
      <c r="JH52" s="753">
        <v>0.998</v>
      </c>
      <c r="JI52" s="753">
        <v>0.998</v>
      </c>
      <c r="JJ52" s="753">
        <v>0.998</v>
      </c>
      <c r="JK52" s="753">
        <v>0.998</v>
      </c>
      <c r="JL52" s="753">
        <v>0.998</v>
      </c>
      <c r="JM52" s="753">
        <v>0.998</v>
      </c>
      <c r="JN52" s="753">
        <v>0.998</v>
      </c>
      <c r="JO52" s="753">
        <v>0.998</v>
      </c>
      <c r="JP52" s="753">
        <v>0.998</v>
      </c>
      <c r="JQ52" s="753">
        <v>0.998</v>
      </c>
      <c r="JR52" s="753">
        <v>0.998</v>
      </c>
      <c r="JS52" s="753">
        <v>0.998</v>
      </c>
      <c r="JT52" s="753">
        <v>0.998</v>
      </c>
      <c r="JU52" s="753">
        <v>0.998</v>
      </c>
      <c r="JV52" s="753">
        <v>0.998</v>
      </c>
      <c r="JW52" s="753">
        <v>0.993</v>
      </c>
      <c r="JX52" s="753">
        <v>0.987</v>
      </c>
      <c r="JY52" s="753">
        <v>0.98</v>
      </c>
      <c r="JZ52" s="753">
        <v>0.971</v>
      </c>
      <c r="KA52" s="753">
        <v>0.951</v>
      </c>
      <c r="KB52" s="753">
        <v>0.918</v>
      </c>
      <c r="KC52" s="753">
        <v>0.862</v>
      </c>
      <c r="KD52" s="753">
        <v>0.787</v>
      </c>
      <c r="KE52" s="753">
        <v>0.683</v>
      </c>
      <c r="KF52" s="753">
        <v>0.561</v>
      </c>
      <c r="KG52" s="753">
        <v>0.417</v>
      </c>
      <c r="KH52" s="753">
        <v>0.308</v>
      </c>
      <c r="KI52" s="753">
        <v>0.206</v>
      </c>
      <c r="KJ52" s="753">
        <v>0.11</v>
      </c>
      <c r="KK52" s="765" t="s">
        <v>281</v>
      </c>
      <c r="KL52" s="738">
        <v>35</v>
      </c>
      <c r="KM52" s="738">
        <v>129</v>
      </c>
      <c r="KN52" s="646" t="s">
        <v>339</v>
      </c>
      <c r="KO52" s="646" t="s">
        <v>636</v>
      </c>
      <c r="KP52" s="679">
        <v>697555</v>
      </c>
      <c r="KQ52" s="766" t="s">
        <v>637</v>
      </c>
      <c r="KR52" s="750" t="s">
        <v>621</v>
      </c>
      <c r="KS52" s="769" t="s">
        <v>638</v>
      </c>
      <c r="KT52" s="770" t="s">
        <v>621</v>
      </c>
      <c r="KU52" s="766" t="s">
        <v>639</v>
      </c>
      <c r="KV52" s="750">
        <v>697555</v>
      </c>
      <c r="KW52" s="771" t="s">
        <v>640</v>
      </c>
      <c r="KX52" s="750" t="s">
        <v>624</v>
      </c>
      <c r="KY52" s="769" t="s">
        <v>641</v>
      </c>
      <c r="KZ52" s="770" t="s">
        <v>626</v>
      </c>
    </row>
    <row r="53" s="628" customFormat="1" customHeight="1" spans="1:312">
      <c r="A53" s="682" t="s">
        <v>277</v>
      </c>
      <c r="B53" s="683">
        <v>49</v>
      </c>
      <c r="C53" s="684" t="s">
        <v>638</v>
      </c>
      <c r="D53" s="679">
        <v>697555</v>
      </c>
      <c r="E53" s="685">
        <v>55.46</v>
      </c>
      <c r="F53" s="685">
        <v>55.25</v>
      </c>
      <c r="G53" s="686">
        <v>0.012564</v>
      </c>
      <c r="H53" s="686">
        <v>0.012667</v>
      </c>
      <c r="I53" s="696"/>
      <c r="J53" s="696"/>
      <c r="K53" s="696"/>
      <c r="L53" s="696"/>
      <c r="M53" s="696">
        <v>1.68155</v>
      </c>
      <c r="N53" s="696">
        <v>1.68252</v>
      </c>
      <c r="O53" s="696">
        <v>1.68615</v>
      </c>
      <c r="P53" s="696">
        <v>1.6886</v>
      </c>
      <c r="Q53" s="697">
        <v>1.6908</v>
      </c>
      <c r="R53" s="697">
        <v>1.69297</v>
      </c>
      <c r="S53" s="697">
        <v>1.69358</v>
      </c>
      <c r="T53" s="701">
        <v>1.69417</v>
      </c>
      <c r="U53" s="697">
        <v>1.6967</v>
      </c>
      <c r="V53" s="697">
        <v>1.6968</v>
      </c>
      <c r="W53" s="697">
        <v>1.6998</v>
      </c>
      <c r="X53" s="697">
        <v>1.70553</v>
      </c>
      <c r="Y53" s="697">
        <v>1.70625</v>
      </c>
      <c r="Z53" s="697">
        <v>1.71234</v>
      </c>
      <c r="AA53" s="697">
        <v>1.71799</v>
      </c>
      <c r="AB53" s="697">
        <v>1.72764</v>
      </c>
      <c r="AC53" s="704">
        <v>2.82835724</v>
      </c>
      <c r="AD53" s="704">
        <v>-0.0149967196</v>
      </c>
      <c r="AE53" s="704">
        <v>0.0178960905</v>
      </c>
      <c r="AF53" s="704">
        <v>0.000580447845</v>
      </c>
      <c r="AG53" s="704">
        <v>-3.68202672e-5</v>
      </c>
      <c r="AH53" s="704">
        <v>2.18285424e-6</v>
      </c>
      <c r="AI53" s="709">
        <v>0.3048</v>
      </c>
      <c r="AJ53" s="709">
        <v>0.2388</v>
      </c>
      <c r="AK53" s="709">
        <v>0.542</v>
      </c>
      <c r="AL53" s="709">
        <v>0.2542</v>
      </c>
      <c r="AM53" s="709">
        <v>0.2368</v>
      </c>
      <c r="AN53" s="709">
        <v>0.4808</v>
      </c>
      <c r="AO53" s="709">
        <v>-0.0035</v>
      </c>
      <c r="AP53" s="709">
        <v>-0.0095</v>
      </c>
      <c r="AQ53" s="709">
        <v>0.0229</v>
      </c>
      <c r="AR53" s="709">
        <v>0.0093</v>
      </c>
      <c r="AS53" s="714">
        <v>1.6</v>
      </c>
      <c r="AT53" s="715">
        <v>1.6</v>
      </c>
      <c r="AU53" s="715">
        <v>1.6</v>
      </c>
      <c r="AV53" s="715">
        <v>1.7</v>
      </c>
      <c r="AW53" s="715">
        <v>1.7</v>
      </c>
      <c r="AX53" s="715">
        <v>1.8</v>
      </c>
      <c r="AY53" s="715">
        <v>1.8</v>
      </c>
      <c r="AZ53" s="715">
        <v>2</v>
      </c>
      <c r="BA53" s="715">
        <v>2.1</v>
      </c>
      <c r="BB53" s="715">
        <v>2.1</v>
      </c>
      <c r="BC53" s="715">
        <v>2.2</v>
      </c>
      <c r="BD53" s="715">
        <v>2</v>
      </c>
      <c r="BE53" s="715">
        <v>2</v>
      </c>
      <c r="BF53" s="715">
        <v>2.2</v>
      </c>
      <c r="BG53" s="715">
        <v>2.3</v>
      </c>
      <c r="BH53" s="715">
        <v>2.3</v>
      </c>
      <c r="BI53" s="715">
        <v>2.4</v>
      </c>
      <c r="BJ53" s="715">
        <v>2.4</v>
      </c>
      <c r="BK53" s="715">
        <v>2.6</v>
      </c>
      <c r="BL53" s="715">
        <v>2.7</v>
      </c>
      <c r="BM53" s="715">
        <v>2.8</v>
      </c>
      <c r="BN53" s="715">
        <v>2.9</v>
      </c>
      <c r="BO53" s="715">
        <v>2.1</v>
      </c>
      <c r="BP53" s="715">
        <v>2.2</v>
      </c>
      <c r="BQ53" s="715">
        <v>2.3</v>
      </c>
      <c r="BR53" s="715">
        <v>2.4</v>
      </c>
      <c r="BS53" s="715">
        <v>2.5</v>
      </c>
      <c r="BT53" s="715">
        <v>2.7</v>
      </c>
      <c r="BU53" s="715">
        <v>2.8</v>
      </c>
      <c r="BV53" s="715">
        <v>3</v>
      </c>
      <c r="BW53" s="715">
        <v>3.2</v>
      </c>
      <c r="BX53" s="715">
        <v>3.2</v>
      </c>
      <c r="BY53" s="715">
        <v>3.3</v>
      </c>
      <c r="BZ53" s="715">
        <v>2.2</v>
      </c>
      <c r="CA53" s="715">
        <v>2.3</v>
      </c>
      <c r="CB53" s="715">
        <v>2.3</v>
      </c>
      <c r="CC53" s="715">
        <v>2.5</v>
      </c>
      <c r="CD53" s="715">
        <v>2.6</v>
      </c>
      <c r="CE53" s="715">
        <v>2.7</v>
      </c>
      <c r="CF53" s="715">
        <v>2.8</v>
      </c>
      <c r="CG53" s="715">
        <v>3.1</v>
      </c>
      <c r="CH53" s="715">
        <v>3.2</v>
      </c>
      <c r="CI53" s="715">
        <v>3.2</v>
      </c>
      <c r="CJ53" s="715">
        <v>3.4</v>
      </c>
      <c r="CK53" s="715">
        <v>2.4</v>
      </c>
      <c r="CL53" s="715">
        <v>2.4</v>
      </c>
      <c r="CM53" s="715">
        <v>2.4</v>
      </c>
      <c r="CN53" s="715">
        <v>2.5</v>
      </c>
      <c r="CO53" s="715">
        <v>2.7</v>
      </c>
      <c r="CP53" s="715">
        <v>2.8</v>
      </c>
      <c r="CQ53" s="715">
        <v>2.9</v>
      </c>
      <c r="CR53" s="715">
        <v>3.2</v>
      </c>
      <c r="CS53" s="715">
        <v>3.2</v>
      </c>
      <c r="CT53" s="715">
        <v>3.2</v>
      </c>
      <c r="CU53" s="715">
        <v>3.4</v>
      </c>
      <c r="CV53" s="715">
        <v>2.6</v>
      </c>
      <c r="CW53" s="715">
        <v>2.7</v>
      </c>
      <c r="CX53" s="715">
        <v>2.8</v>
      </c>
      <c r="CY53" s="715">
        <v>2.9</v>
      </c>
      <c r="CZ53" s="715">
        <v>3.1</v>
      </c>
      <c r="DA53" s="715">
        <v>3.1</v>
      </c>
      <c r="DB53" s="715">
        <v>3.3</v>
      </c>
      <c r="DC53" s="715">
        <v>3.4</v>
      </c>
      <c r="DD53" s="715">
        <v>3.4</v>
      </c>
      <c r="DE53" s="715">
        <v>3.5</v>
      </c>
      <c r="DF53" s="715">
        <v>3.6</v>
      </c>
      <c r="DG53" s="715">
        <v>3</v>
      </c>
      <c r="DH53" s="715">
        <v>3</v>
      </c>
      <c r="DI53" s="715">
        <v>3.2</v>
      </c>
      <c r="DJ53" s="715">
        <v>3.2</v>
      </c>
      <c r="DK53" s="715">
        <v>3.3</v>
      </c>
      <c r="DL53" s="715">
        <v>3.4</v>
      </c>
      <c r="DM53" s="715">
        <v>3.6</v>
      </c>
      <c r="DN53" s="715">
        <v>3.8</v>
      </c>
      <c r="DO53" s="715">
        <v>4</v>
      </c>
      <c r="DP53" s="715">
        <v>4</v>
      </c>
      <c r="DQ53" s="715">
        <v>4.2</v>
      </c>
      <c r="DR53" s="715">
        <v>3.1</v>
      </c>
      <c r="DS53" s="715">
        <v>3.1</v>
      </c>
      <c r="DT53" s="715">
        <v>3.3</v>
      </c>
      <c r="DU53" s="715">
        <v>3.3</v>
      </c>
      <c r="DV53" s="715">
        <v>3.4</v>
      </c>
      <c r="DW53" s="715">
        <v>3.5</v>
      </c>
      <c r="DX53" s="715">
        <v>3.7</v>
      </c>
      <c r="DY53" s="715">
        <v>3.9</v>
      </c>
      <c r="DZ53" s="715">
        <v>4.1</v>
      </c>
      <c r="EA53" s="715">
        <v>4.2</v>
      </c>
      <c r="EB53" s="715">
        <v>4.4</v>
      </c>
      <c r="EC53" s="715">
        <v>3.2</v>
      </c>
      <c r="ED53" s="715">
        <v>3.2</v>
      </c>
      <c r="EE53" s="715">
        <v>3.3</v>
      </c>
      <c r="EF53" s="715">
        <v>3.3</v>
      </c>
      <c r="EG53" s="715">
        <v>3.4</v>
      </c>
      <c r="EH53" s="715">
        <v>3.5</v>
      </c>
      <c r="EI53" s="715">
        <v>3.8</v>
      </c>
      <c r="EJ53" s="715">
        <v>3.9</v>
      </c>
      <c r="EK53" s="715">
        <v>4.1</v>
      </c>
      <c r="EL53" s="715">
        <v>4.3</v>
      </c>
      <c r="EM53" s="715">
        <v>4.4</v>
      </c>
      <c r="EN53" s="715">
        <v>3.5</v>
      </c>
      <c r="EO53" s="715">
        <v>3.6</v>
      </c>
      <c r="EP53" s="715">
        <v>3.8</v>
      </c>
      <c r="EQ53" s="715">
        <v>4</v>
      </c>
      <c r="ER53" s="715">
        <v>4.2</v>
      </c>
      <c r="ES53" s="715">
        <v>4.3</v>
      </c>
      <c r="ET53" s="715">
        <v>4.6</v>
      </c>
      <c r="EU53" s="715">
        <v>4.8</v>
      </c>
      <c r="EV53" s="715">
        <v>4.9</v>
      </c>
      <c r="EW53" s="715">
        <v>5.1</v>
      </c>
      <c r="EX53" s="715">
        <v>5.2</v>
      </c>
      <c r="EY53" s="715">
        <v>-0.3</v>
      </c>
      <c r="EZ53" s="715">
        <v>0.1</v>
      </c>
      <c r="FA53" s="715">
        <v>0.4</v>
      </c>
      <c r="FB53" s="715">
        <v>0.8</v>
      </c>
      <c r="FC53" s="715">
        <v>1.2</v>
      </c>
      <c r="FD53" s="715">
        <v>1.5</v>
      </c>
      <c r="FE53" s="715">
        <v>1.8</v>
      </c>
      <c r="FF53" s="715">
        <v>2.2</v>
      </c>
      <c r="FG53" s="715">
        <v>2.3</v>
      </c>
      <c r="FH53" s="715">
        <v>2.4</v>
      </c>
      <c r="FI53" s="715">
        <v>2.6</v>
      </c>
      <c r="FJ53" s="723">
        <v>-2.78e-7</v>
      </c>
      <c r="FK53" s="723">
        <v>1.33e-8</v>
      </c>
      <c r="FL53" s="723">
        <v>-2.35e-11</v>
      </c>
      <c r="FM53" s="723">
        <v>8.64e-7</v>
      </c>
      <c r="FN53" s="723">
        <v>8.98e-10</v>
      </c>
      <c r="FO53" s="723">
        <v>4.82e-15</v>
      </c>
      <c r="FP53" s="729">
        <v>1</v>
      </c>
      <c r="FQ53" s="729">
        <v>3</v>
      </c>
      <c r="FR53" s="729">
        <v>1</v>
      </c>
      <c r="FS53" s="729">
        <v>3</v>
      </c>
      <c r="FT53" s="729">
        <v>1</v>
      </c>
      <c r="FU53" s="729">
        <v>2</v>
      </c>
      <c r="FV53" s="681">
        <v>1</v>
      </c>
      <c r="FW53" s="729"/>
      <c r="FX53" s="729"/>
      <c r="FY53" s="729"/>
      <c r="FZ53" s="743">
        <v>648</v>
      </c>
      <c r="GA53" s="743">
        <v>675</v>
      </c>
      <c r="GB53" s="681">
        <v>589</v>
      </c>
      <c r="GC53" s="681">
        <v>624</v>
      </c>
      <c r="GD53" s="747">
        <v>0.92</v>
      </c>
      <c r="GE53" s="729"/>
      <c r="GF53" s="681">
        <v>55</v>
      </c>
      <c r="GG53" s="681">
        <v>72</v>
      </c>
      <c r="GH53" s="745">
        <v>48</v>
      </c>
      <c r="GI53" s="745">
        <v>50</v>
      </c>
      <c r="GJ53" s="745">
        <v>50</v>
      </c>
      <c r="GK53" s="745">
        <v>52</v>
      </c>
      <c r="GL53" s="745">
        <v>53</v>
      </c>
      <c r="GM53" s="745">
        <v>55</v>
      </c>
      <c r="GN53" s="745">
        <v>56</v>
      </c>
      <c r="GO53" s="745">
        <v>56</v>
      </c>
      <c r="GP53" s="745">
        <v>56</v>
      </c>
      <c r="GQ53" s="745">
        <v>59</v>
      </c>
      <c r="GR53" s="745">
        <v>59</v>
      </c>
      <c r="GS53" s="745">
        <v>60</v>
      </c>
      <c r="GT53" s="745">
        <v>60</v>
      </c>
      <c r="GU53" s="745">
        <v>63</v>
      </c>
      <c r="GV53" s="745">
        <v>64</v>
      </c>
      <c r="GW53" s="745">
        <v>64</v>
      </c>
      <c r="GX53" s="745">
        <v>65</v>
      </c>
      <c r="GY53" s="745">
        <v>65</v>
      </c>
      <c r="GZ53" s="745">
        <v>67</v>
      </c>
      <c r="HA53" s="745">
        <v>69</v>
      </c>
      <c r="HB53" s="745">
        <v>71</v>
      </c>
      <c r="HC53" s="681"/>
      <c r="HD53" s="750">
        <v>138</v>
      </c>
      <c r="HE53" s="681"/>
      <c r="HF53" s="681">
        <v>608</v>
      </c>
      <c r="HG53" s="681">
        <v>119</v>
      </c>
      <c r="HH53" s="714">
        <v>111.4</v>
      </c>
      <c r="HI53" s="714">
        <v>43.3</v>
      </c>
      <c r="HJ53" s="753">
        <v>0.288</v>
      </c>
      <c r="HK53" s="681">
        <v>107</v>
      </c>
      <c r="HL53" s="685">
        <v>1.75</v>
      </c>
      <c r="HM53" s="747">
        <v>3.65</v>
      </c>
      <c r="HN53" s="729" t="s">
        <v>539</v>
      </c>
      <c r="HO53" s="729" t="s">
        <v>642</v>
      </c>
      <c r="HP53" s="714">
        <v>-3.5</v>
      </c>
      <c r="HQ53" s="753">
        <v>0.742</v>
      </c>
      <c r="HR53" s="753">
        <v>0.904</v>
      </c>
      <c r="HS53" s="753">
        <v>0.98</v>
      </c>
      <c r="HT53" s="753">
        <v>0.997</v>
      </c>
      <c r="HU53" s="753">
        <v>0.999</v>
      </c>
      <c r="HV53" s="753">
        <v>0.999</v>
      </c>
      <c r="HW53" s="753">
        <v>0.999</v>
      </c>
      <c r="HX53" s="753">
        <v>0.999</v>
      </c>
      <c r="HY53" s="753">
        <v>0.999</v>
      </c>
      <c r="HZ53" s="753">
        <v>0.999</v>
      </c>
      <c r="IA53" s="753">
        <v>0.999</v>
      </c>
      <c r="IB53" s="753">
        <v>0.999</v>
      </c>
      <c r="IC53" s="753">
        <v>0.999</v>
      </c>
      <c r="ID53" s="753">
        <v>0.999</v>
      </c>
      <c r="IE53" s="753">
        <v>0.999</v>
      </c>
      <c r="IF53" s="753">
        <v>0.999</v>
      </c>
      <c r="IG53" s="753">
        <v>0.999</v>
      </c>
      <c r="IH53" s="753">
        <v>0.999</v>
      </c>
      <c r="II53" s="753">
        <v>0.999</v>
      </c>
      <c r="IJ53" s="753">
        <v>0.998</v>
      </c>
      <c r="IK53" s="753">
        <v>0.997</v>
      </c>
      <c r="IL53" s="753">
        <v>0.996</v>
      </c>
      <c r="IM53" s="753">
        <v>0.995</v>
      </c>
      <c r="IN53" s="753">
        <v>0.993</v>
      </c>
      <c r="IO53" s="753">
        <v>0.99</v>
      </c>
      <c r="IP53" s="753">
        <v>0.986</v>
      </c>
      <c r="IQ53" s="753">
        <v>0.979</v>
      </c>
      <c r="IR53" s="753">
        <v>0.966</v>
      </c>
      <c r="IS53" s="753">
        <v>0.946</v>
      </c>
      <c r="IT53" s="753">
        <v>0.915</v>
      </c>
      <c r="IU53" s="753">
        <v>0.872</v>
      </c>
      <c r="IV53" s="753">
        <v>0.812</v>
      </c>
      <c r="IW53" s="753">
        <v>0.735</v>
      </c>
      <c r="IX53" s="753">
        <v>0.643</v>
      </c>
      <c r="IY53" s="753">
        <v>0.537</v>
      </c>
      <c r="IZ53" s="753">
        <v>0.405</v>
      </c>
      <c r="JA53" s="753">
        <v>0.55</v>
      </c>
      <c r="JB53" s="753">
        <v>0.817</v>
      </c>
      <c r="JC53" s="753">
        <v>0.96</v>
      </c>
      <c r="JD53" s="753">
        <v>0.994</v>
      </c>
      <c r="JE53" s="753">
        <v>0.998</v>
      </c>
      <c r="JF53" s="753">
        <v>0.998</v>
      </c>
      <c r="JG53" s="753">
        <v>0.998</v>
      </c>
      <c r="JH53" s="753">
        <v>0.998</v>
      </c>
      <c r="JI53" s="753">
        <v>0.998</v>
      </c>
      <c r="JJ53" s="753">
        <v>0.998</v>
      </c>
      <c r="JK53" s="753">
        <v>0.998</v>
      </c>
      <c r="JL53" s="753">
        <v>0.998</v>
      </c>
      <c r="JM53" s="753">
        <v>0.998</v>
      </c>
      <c r="JN53" s="753">
        <v>0.998</v>
      </c>
      <c r="JO53" s="753">
        <v>0.998</v>
      </c>
      <c r="JP53" s="753">
        <v>0.998</v>
      </c>
      <c r="JQ53" s="753">
        <v>0.998</v>
      </c>
      <c r="JR53" s="753">
        <v>0.998</v>
      </c>
      <c r="JS53" s="753">
        <v>0.998</v>
      </c>
      <c r="JT53" s="753">
        <v>0.997</v>
      </c>
      <c r="JU53" s="753">
        <v>0.995</v>
      </c>
      <c r="JV53" s="753">
        <v>0.993</v>
      </c>
      <c r="JW53" s="753">
        <v>0.99</v>
      </c>
      <c r="JX53" s="753">
        <v>0.986</v>
      </c>
      <c r="JY53" s="753">
        <v>0.981</v>
      </c>
      <c r="JZ53" s="753">
        <v>0.973</v>
      </c>
      <c r="KA53" s="753">
        <v>0.959</v>
      </c>
      <c r="KB53" s="753">
        <v>0.933</v>
      </c>
      <c r="KC53" s="753">
        <v>0.895</v>
      </c>
      <c r="KD53" s="753">
        <v>0.838</v>
      </c>
      <c r="KE53" s="753">
        <v>0.76</v>
      </c>
      <c r="KF53" s="753">
        <v>0.659</v>
      </c>
      <c r="KG53" s="753">
        <v>0.54</v>
      </c>
      <c r="KH53" s="753">
        <v>0.413</v>
      </c>
      <c r="KI53" s="753">
        <v>0.288</v>
      </c>
      <c r="KJ53" s="753">
        <v>0.164</v>
      </c>
      <c r="KK53" s="765" t="s">
        <v>281</v>
      </c>
      <c r="KL53" s="738">
        <v>27</v>
      </c>
      <c r="KM53" s="738">
        <v>99</v>
      </c>
      <c r="KN53" s="646" t="s">
        <v>282</v>
      </c>
      <c r="KO53" s="646" t="s">
        <v>638</v>
      </c>
      <c r="KP53" s="679">
        <v>697555</v>
      </c>
      <c r="KQ53" s="766" t="s">
        <v>637</v>
      </c>
      <c r="KR53" s="750" t="s">
        <v>621</v>
      </c>
      <c r="KS53" s="769" t="s">
        <v>638</v>
      </c>
      <c r="KT53" s="770" t="s">
        <v>621</v>
      </c>
      <c r="KU53" s="766" t="s">
        <v>639</v>
      </c>
      <c r="KV53" s="750">
        <v>697555</v>
      </c>
      <c r="KW53" s="771" t="s">
        <v>640</v>
      </c>
      <c r="KX53" s="750" t="s">
        <v>624</v>
      </c>
      <c r="KY53" s="769" t="s">
        <v>641</v>
      </c>
      <c r="KZ53" s="770" t="s">
        <v>626</v>
      </c>
    </row>
    <row r="54" s="628" customFormat="1" customHeight="1" spans="1:312">
      <c r="A54" s="682" t="s">
        <v>277</v>
      </c>
      <c r="B54" s="683">
        <v>50</v>
      </c>
      <c r="C54" s="684" t="s">
        <v>643</v>
      </c>
      <c r="D54" s="679">
        <v>729547</v>
      </c>
      <c r="E54" s="685">
        <v>54.67</v>
      </c>
      <c r="F54" s="685">
        <v>54.44</v>
      </c>
      <c r="G54" s="686">
        <v>0.013337</v>
      </c>
      <c r="H54" s="686">
        <v>0.013451</v>
      </c>
      <c r="I54" s="696">
        <v>1.68934</v>
      </c>
      <c r="J54" s="696">
        <v>1.69681</v>
      </c>
      <c r="K54" s="696">
        <v>1.7049</v>
      </c>
      <c r="L54" s="696">
        <v>1.71188</v>
      </c>
      <c r="M54" s="696">
        <v>1.7131</v>
      </c>
      <c r="N54" s="696">
        <v>1.71409</v>
      </c>
      <c r="O54" s="696">
        <v>1.7179</v>
      </c>
      <c r="P54" s="696">
        <v>1.72047</v>
      </c>
      <c r="Q54" s="697">
        <v>1.72279</v>
      </c>
      <c r="R54" s="697">
        <v>1.7251</v>
      </c>
      <c r="S54" s="697">
        <v>1.72575</v>
      </c>
      <c r="T54" s="701">
        <v>1.72635</v>
      </c>
      <c r="U54" s="697">
        <v>1.72904</v>
      </c>
      <c r="V54" s="697">
        <v>1.72916</v>
      </c>
      <c r="W54" s="697">
        <v>1.73234</v>
      </c>
      <c r="X54" s="697">
        <v>1.73844</v>
      </c>
      <c r="Y54" s="697">
        <v>1.7392</v>
      </c>
      <c r="Z54" s="697">
        <v>1.74571</v>
      </c>
      <c r="AA54" s="697">
        <v>1.75176</v>
      </c>
      <c r="AB54" s="697">
        <v>1.76205</v>
      </c>
      <c r="AC54" s="704">
        <v>2.93497096</v>
      </c>
      <c r="AD54" s="705">
        <v>-0.0156596537</v>
      </c>
      <c r="AE54" s="705">
        <v>0.0192100308</v>
      </c>
      <c r="AF54" s="705">
        <v>0.000655992008</v>
      </c>
      <c r="AG54" s="705">
        <v>-3.57893356e-5</v>
      </c>
      <c r="AH54" s="705">
        <v>1.86989357e-6</v>
      </c>
      <c r="AI54" s="709">
        <v>0.3044</v>
      </c>
      <c r="AJ54" s="709">
        <v>0.2384</v>
      </c>
      <c r="AK54" s="709">
        <v>0.5451</v>
      </c>
      <c r="AL54" s="709">
        <v>0.2535</v>
      </c>
      <c r="AM54" s="709">
        <v>0.2364</v>
      </c>
      <c r="AN54" s="709">
        <v>0.484</v>
      </c>
      <c r="AO54" s="709">
        <v>-0.0026</v>
      </c>
      <c r="AP54" s="709">
        <v>-0.0077</v>
      </c>
      <c r="AQ54" s="709">
        <v>0.0205</v>
      </c>
      <c r="AR54" s="709">
        <v>0.0082</v>
      </c>
      <c r="AS54" s="714">
        <v>2.6</v>
      </c>
      <c r="AT54" s="715">
        <v>2.7</v>
      </c>
      <c r="AU54" s="715">
        <v>2.7</v>
      </c>
      <c r="AV54" s="715">
        <v>2.8</v>
      </c>
      <c r="AW54" s="715">
        <v>2.8</v>
      </c>
      <c r="AX54" s="715">
        <v>2.8</v>
      </c>
      <c r="AY54" s="715">
        <v>2.9</v>
      </c>
      <c r="AZ54" s="715">
        <v>2.9</v>
      </c>
      <c r="BA54" s="715">
        <v>2.9</v>
      </c>
      <c r="BB54" s="715">
        <v>2.9</v>
      </c>
      <c r="BC54" s="715">
        <v>3</v>
      </c>
      <c r="BD54" s="715">
        <v>3.1</v>
      </c>
      <c r="BE54" s="715">
        <v>3.1</v>
      </c>
      <c r="BF54" s="715">
        <v>3.1</v>
      </c>
      <c r="BG54" s="715">
        <v>3.2</v>
      </c>
      <c r="BH54" s="715">
        <v>3.2</v>
      </c>
      <c r="BI54" s="715">
        <v>3.2</v>
      </c>
      <c r="BJ54" s="715">
        <v>3.2</v>
      </c>
      <c r="BK54" s="715">
        <v>3.3</v>
      </c>
      <c r="BL54" s="715">
        <v>3.3</v>
      </c>
      <c r="BM54" s="715">
        <v>3.4</v>
      </c>
      <c r="BN54" s="715">
        <v>3.5</v>
      </c>
      <c r="BO54" s="715">
        <v>3.2</v>
      </c>
      <c r="BP54" s="715">
        <v>3.2</v>
      </c>
      <c r="BQ54" s="715">
        <v>3.2</v>
      </c>
      <c r="BR54" s="715">
        <v>3.2</v>
      </c>
      <c r="BS54" s="715">
        <v>3.3</v>
      </c>
      <c r="BT54" s="715">
        <v>3.3</v>
      </c>
      <c r="BU54" s="715">
        <v>3.4</v>
      </c>
      <c r="BV54" s="715">
        <v>3.6</v>
      </c>
      <c r="BW54" s="715">
        <v>3.7</v>
      </c>
      <c r="BX54" s="715">
        <v>3.7</v>
      </c>
      <c r="BY54" s="715">
        <v>3.8</v>
      </c>
      <c r="BZ54" s="715">
        <v>3.2</v>
      </c>
      <c r="CA54" s="715">
        <v>3.2</v>
      </c>
      <c r="CB54" s="715">
        <v>3.2</v>
      </c>
      <c r="CC54" s="715">
        <v>3.2</v>
      </c>
      <c r="CD54" s="715">
        <v>3.3</v>
      </c>
      <c r="CE54" s="715">
        <v>3.3</v>
      </c>
      <c r="CF54" s="715">
        <v>3.4</v>
      </c>
      <c r="CG54" s="715">
        <v>3.6</v>
      </c>
      <c r="CH54" s="715">
        <v>3.7</v>
      </c>
      <c r="CI54" s="715">
        <v>3.7</v>
      </c>
      <c r="CJ54" s="715">
        <v>3.8</v>
      </c>
      <c r="CK54" s="715">
        <v>3.2</v>
      </c>
      <c r="CL54" s="715">
        <v>3.2</v>
      </c>
      <c r="CM54" s="715">
        <v>3.2</v>
      </c>
      <c r="CN54" s="715">
        <v>3.3</v>
      </c>
      <c r="CO54" s="715">
        <v>3.3</v>
      </c>
      <c r="CP54" s="715">
        <v>3.4</v>
      </c>
      <c r="CQ54" s="715">
        <v>3.5</v>
      </c>
      <c r="CR54" s="715">
        <v>3.7</v>
      </c>
      <c r="CS54" s="715">
        <v>3.8</v>
      </c>
      <c r="CT54" s="715">
        <v>3.8</v>
      </c>
      <c r="CU54" s="715">
        <v>3.9</v>
      </c>
      <c r="CV54" s="715">
        <v>3.3</v>
      </c>
      <c r="CW54" s="715">
        <v>3.2</v>
      </c>
      <c r="CX54" s="715">
        <v>3.3</v>
      </c>
      <c r="CY54" s="715">
        <v>3.5</v>
      </c>
      <c r="CZ54" s="715">
        <v>3.5</v>
      </c>
      <c r="DA54" s="715">
        <v>3.5</v>
      </c>
      <c r="DB54" s="715">
        <v>3.6</v>
      </c>
      <c r="DC54" s="715">
        <v>3.7</v>
      </c>
      <c r="DD54" s="715">
        <v>3.8</v>
      </c>
      <c r="DE54" s="715">
        <v>4</v>
      </c>
      <c r="DF54" s="715">
        <v>4.2</v>
      </c>
      <c r="DG54" s="715">
        <v>3.5</v>
      </c>
      <c r="DH54" s="715">
        <v>3.5</v>
      </c>
      <c r="DI54" s="715">
        <v>3.6</v>
      </c>
      <c r="DJ54" s="715">
        <v>3.5</v>
      </c>
      <c r="DK54" s="715">
        <v>3.6</v>
      </c>
      <c r="DL54" s="715">
        <v>3.6</v>
      </c>
      <c r="DM54" s="715">
        <v>3.8</v>
      </c>
      <c r="DN54" s="715">
        <v>3.9</v>
      </c>
      <c r="DO54" s="715">
        <v>4</v>
      </c>
      <c r="DP54" s="715">
        <v>4.2</v>
      </c>
      <c r="DQ54" s="715">
        <v>4.3</v>
      </c>
      <c r="DR54" s="715">
        <v>3.7</v>
      </c>
      <c r="DS54" s="715">
        <v>3.7</v>
      </c>
      <c r="DT54" s="715">
        <v>3.8</v>
      </c>
      <c r="DU54" s="715">
        <v>4</v>
      </c>
      <c r="DV54" s="715">
        <v>4</v>
      </c>
      <c r="DW54" s="715">
        <v>4.1</v>
      </c>
      <c r="DX54" s="715">
        <v>4.2</v>
      </c>
      <c r="DY54" s="715">
        <v>4.3</v>
      </c>
      <c r="DZ54" s="715">
        <v>4.4</v>
      </c>
      <c r="EA54" s="715">
        <v>4.5</v>
      </c>
      <c r="EB54" s="715">
        <v>4.7</v>
      </c>
      <c r="EC54" s="715">
        <v>3.7</v>
      </c>
      <c r="ED54" s="715">
        <v>3.8</v>
      </c>
      <c r="EE54" s="715">
        <v>3.9</v>
      </c>
      <c r="EF54" s="715">
        <v>4</v>
      </c>
      <c r="EG54" s="715">
        <v>4.1</v>
      </c>
      <c r="EH54" s="715">
        <v>4.1</v>
      </c>
      <c r="EI54" s="715">
        <v>4.2</v>
      </c>
      <c r="EJ54" s="715">
        <v>4.3</v>
      </c>
      <c r="EK54" s="715">
        <v>4.4</v>
      </c>
      <c r="EL54" s="715">
        <v>4.6</v>
      </c>
      <c r="EM54" s="715">
        <v>4.8</v>
      </c>
      <c r="EN54" s="715">
        <v>4.2</v>
      </c>
      <c r="EO54" s="715">
        <v>4.3</v>
      </c>
      <c r="EP54" s="715">
        <v>4.3</v>
      </c>
      <c r="EQ54" s="715">
        <v>4.4</v>
      </c>
      <c r="ER54" s="715">
        <v>4.5</v>
      </c>
      <c r="ES54" s="715">
        <v>4.5</v>
      </c>
      <c r="ET54" s="715">
        <v>4.7</v>
      </c>
      <c r="EU54" s="715">
        <v>4.9</v>
      </c>
      <c r="EV54" s="715">
        <v>5.2</v>
      </c>
      <c r="EW54" s="715">
        <v>5.4</v>
      </c>
      <c r="EX54" s="715">
        <v>5.5</v>
      </c>
      <c r="EY54" s="715">
        <v>0.4</v>
      </c>
      <c r="EZ54" s="715">
        <v>0.9</v>
      </c>
      <c r="FA54" s="715">
        <v>1.2</v>
      </c>
      <c r="FB54" s="715">
        <v>1.6</v>
      </c>
      <c r="FC54" s="715">
        <v>1.8</v>
      </c>
      <c r="FD54" s="715">
        <v>2.1</v>
      </c>
      <c r="FE54" s="715">
        <v>2.3</v>
      </c>
      <c r="FF54" s="715">
        <v>2.7</v>
      </c>
      <c r="FG54" s="715">
        <v>2.9</v>
      </c>
      <c r="FH54" s="715">
        <v>3</v>
      </c>
      <c r="FI54" s="715">
        <v>3.1</v>
      </c>
      <c r="FJ54" s="723">
        <v>1.8e-6</v>
      </c>
      <c r="FK54" s="723">
        <v>1.11e-8</v>
      </c>
      <c r="FL54" s="723">
        <v>-1.88e-11</v>
      </c>
      <c r="FM54" s="723">
        <v>4.02e-7</v>
      </c>
      <c r="FN54" s="723">
        <v>6.22e-10</v>
      </c>
      <c r="FO54" s="723">
        <v>0.223</v>
      </c>
      <c r="FP54" s="729">
        <v>1</v>
      </c>
      <c r="FQ54" s="729">
        <v>3</v>
      </c>
      <c r="FR54" s="729">
        <v>1</v>
      </c>
      <c r="FS54" s="729">
        <v>3</v>
      </c>
      <c r="FT54" s="729">
        <v>1</v>
      </c>
      <c r="FU54" s="729">
        <v>2</v>
      </c>
      <c r="FV54" s="681">
        <v>1</v>
      </c>
      <c r="FW54" s="729"/>
      <c r="FX54" s="729"/>
      <c r="FY54" s="729"/>
      <c r="FZ54" s="743">
        <v>688</v>
      </c>
      <c r="GA54" s="743">
        <v>705</v>
      </c>
      <c r="GB54" s="681">
        <v>620</v>
      </c>
      <c r="GC54" s="681">
        <v>645</v>
      </c>
      <c r="GD54" s="747">
        <v>1.01</v>
      </c>
      <c r="GE54" s="729"/>
      <c r="GF54" s="681">
        <v>61</v>
      </c>
      <c r="GG54" s="681">
        <v>74</v>
      </c>
      <c r="GH54" s="745">
        <v>54</v>
      </c>
      <c r="GI54" s="745">
        <v>56</v>
      </c>
      <c r="GJ54" s="745">
        <v>57</v>
      </c>
      <c r="GK54" s="745">
        <v>58</v>
      </c>
      <c r="GL54" s="745">
        <v>58</v>
      </c>
      <c r="GM54" s="745">
        <v>59</v>
      </c>
      <c r="GN54" s="745">
        <v>59</v>
      </c>
      <c r="GO54" s="745">
        <v>59</v>
      </c>
      <c r="GP54" s="745">
        <v>60</v>
      </c>
      <c r="GQ54" s="745">
        <v>61</v>
      </c>
      <c r="GR54" s="745">
        <v>61</v>
      </c>
      <c r="GS54" s="745">
        <v>62</v>
      </c>
      <c r="GT54" s="745">
        <v>62</v>
      </c>
      <c r="GU54" s="745">
        <v>63</v>
      </c>
      <c r="GV54" s="745">
        <v>64</v>
      </c>
      <c r="GW54" s="745">
        <v>65</v>
      </c>
      <c r="GX54" s="745">
        <v>66</v>
      </c>
      <c r="GY54" s="745">
        <v>67</v>
      </c>
      <c r="GZ54" s="745">
        <v>68</v>
      </c>
      <c r="HA54" s="745">
        <v>69</v>
      </c>
      <c r="HB54" s="745">
        <v>70</v>
      </c>
      <c r="HC54" s="681"/>
      <c r="HD54" s="750">
        <v>125</v>
      </c>
      <c r="HE54" s="681"/>
      <c r="HF54" s="681">
        <v>720</v>
      </c>
      <c r="HG54" s="681">
        <v>63</v>
      </c>
      <c r="HH54" s="714">
        <v>117.8</v>
      </c>
      <c r="HI54" s="714">
        <v>45.3</v>
      </c>
      <c r="HJ54" s="753">
        <v>0.301</v>
      </c>
      <c r="HK54" s="681">
        <v>91</v>
      </c>
      <c r="HL54" s="685">
        <v>1.35</v>
      </c>
      <c r="HM54" s="747">
        <v>3.98</v>
      </c>
      <c r="HN54" s="729" t="s">
        <v>350</v>
      </c>
      <c r="HO54" s="729" t="s">
        <v>644</v>
      </c>
      <c r="HP54" s="714">
        <v>-2.6</v>
      </c>
      <c r="HQ54" s="753">
        <v>0.769</v>
      </c>
      <c r="HR54" s="753">
        <v>0.926</v>
      </c>
      <c r="HS54" s="753">
        <v>0.978</v>
      </c>
      <c r="HT54" s="753">
        <v>0.994</v>
      </c>
      <c r="HU54" s="753">
        <v>0.999</v>
      </c>
      <c r="HV54" s="753">
        <v>0.999</v>
      </c>
      <c r="HW54" s="753">
        <v>0.999</v>
      </c>
      <c r="HX54" s="753">
        <v>0.999</v>
      </c>
      <c r="HY54" s="753">
        <v>0.999</v>
      </c>
      <c r="HZ54" s="753">
        <v>0.999</v>
      </c>
      <c r="IA54" s="753">
        <v>0.999</v>
      </c>
      <c r="IB54" s="753">
        <v>0.999</v>
      </c>
      <c r="IC54" s="753">
        <v>0.999</v>
      </c>
      <c r="ID54" s="753">
        <v>0.999</v>
      </c>
      <c r="IE54" s="753">
        <v>0.999</v>
      </c>
      <c r="IF54" s="753">
        <v>0.999</v>
      </c>
      <c r="IG54" s="753">
        <v>0.999</v>
      </c>
      <c r="IH54" s="753">
        <v>0.999</v>
      </c>
      <c r="II54" s="753">
        <v>0.999</v>
      </c>
      <c r="IJ54" s="753">
        <v>0.999</v>
      </c>
      <c r="IK54" s="753">
        <v>0.999</v>
      </c>
      <c r="IL54" s="753">
        <v>0.997</v>
      </c>
      <c r="IM54" s="753">
        <v>0.996</v>
      </c>
      <c r="IN54" s="753">
        <v>0.994</v>
      </c>
      <c r="IO54" s="753">
        <v>0.991</v>
      </c>
      <c r="IP54" s="753">
        <v>0.986</v>
      </c>
      <c r="IQ54" s="753">
        <v>0.978</v>
      </c>
      <c r="IR54" s="753">
        <v>0.969</v>
      </c>
      <c r="IS54" s="753">
        <v>0.948</v>
      </c>
      <c r="IT54" s="753">
        <v>0.918</v>
      </c>
      <c r="IU54" s="753">
        <v>0.873</v>
      </c>
      <c r="IV54" s="753">
        <v>0.818</v>
      </c>
      <c r="IW54" s="753">
        <v>0.732</v>
      </c>
      <c r="IX54" s="753">
        <v>0.67</v>
      </c>
      <c r="IY54" s="753">
        <v>0.583</v>
      </c>
      <c r="IZ54" s="753">
        <v>0.428</v>
      </c>
      <c r="JA54" s="753">
        <v>0.591</v>
      </c>
      <c r="JB54" s="753">
        <v>0.857</v>
      </c>
      <c r="JC54" s="753">
        <v>0.956</v>
      </c>
      <c r="JD54" s="753">
        <v>0.988</v>
      </c>
      <c r="JE54" s="753">
        <v>0.998</v>
      </c>
      <c r="JF54" s="753">
        <v>0.998</v>
      </c>
      <c r="JG54" s="753">
        <v>0.998</v>
      </c>
      <c r="JH54" s="753">
        <v>0.998</v>
      </c>
      <c r="JI54" s="753">
        <v>0.998</v>
      </c>
      <c r="JJ54" s="753">
        <v>0.998</v>
      </c>
      <c r="JK54" s="753">
        <v>0.998</v>
      </c>
      <c r="JL54" s="753">
        <v>0.998</v>
      </c>
      <c r="JM54" s="753">
        <v>0.998</v>
      </c>
      <c r="JN54" s="753">
        <v>0.998</v>
      </c>
      <c r="JO54" s="753">
        <v>0.998</v>
      </c>
      <c r="JP54" s="753">
        <v>0.998</v>
      </c>
      <c r="JQ54" s="753">
        <v>0.998</v>
      </c>
      <c r="JR54" s="753">
        <v>0.998</v>
      </c>
      <c r="JS54" s="753">
        <v>0.998</v>
      </c>
      <c r="JT54" s="753">
        <v>0.998</v>
      </c>
      <c r="JU54" s="753">
        <v>0.998</v>
      </c>
      <c r="JV54" s="753">
        <v>0.995</v>
      </c>
      <c r="JW54" s="753">
        <v>0.992</v>
      </c>
      <c r="JX54" s="753">
        <v>0.988</v>
      </c>
      <c r="JY54" s="753">
        <v>0.982</v>
      </c>
      <c r="JZ54" s="753">
        <v>0.973</v>
      </c>
      <c r="KA54" s="753">
        <v>0.957</v>
      </c>
      <c r="KB54" s="753">
        <v>0.938</v>
      </c>
      <c r="KC54" s="753">
        <v>0.898</v>
      </c>
      <c r="KD54" s="753">
        <v>0.842</v>
      </c>
      <c r="KE54" s="753">
        <v>0.763</v>
      </c>
      <c r="KF54" s="753">
        <v>0.669</v>
      </c>
      <c r="KG54" s="753">
        <v>0.536</v>
      </c>
      <c r="KH54" s="753">
        <v>0.449</v>
      </c>
      <c r="KI54" s="753">
        <v>0.34</v>
      </c>
      <c r="KJ54" s="753">
        <v>0.183</v>
      </c>
      <c r="KK54" s="765" t="s">
        <v>281</v>
      </c>
      <c r="KL54" s="738">
        <v>41</v>
      </c>
      <c r="KM54" s="738">
        <v>163</v>
      </c>
      <c r="KN54" s="646" t="s">
        <v>282</v>
      </c>
      <c r="KO54" s="646" t="s">
        <v>643</v>
      </c>
      <c r="KP54" s="679">
        <v>729547</v>
      </c>
      <c r="KQ54" s="766" t="s">
        <v>645</v>
      </c>
      <c r="KR54" s="750" t="s">
        <v>646</v>
      </c>
      <c r="KS54" s="769" t="s">
        <v>643</v>
      </c>
      <c r="KT54" s="770" t="s">
        <v>646</v>
      </c>
      <c r="KU54" s="766" t="s">
        <v>647</v>
      </c>
      <c r="KV54" s="750">
        <v>729547</v>
      </c>
      <c r="KW54" s="771" t="s">
        <v>648</v>
      </c>
      <c r="KX54" s="750" t="s">
        <v>646</v>
      </c>
      <c r="KY54" s="769" t="s">
        <v>649</v>
      </c>
      <c r="KZ54" s="770" t="s">
        <v>650</v>
      </c>
    </row>
    <row r="55" s="628" customFormat="1" customHeight="1" spans="1:312">
      <c r="A55" s="682" t="s">
        <v>374</v>
      </c>
      <c r="B55" s="683">
        <v>51</v>
      </c>
      <c r="C55" s="689" t="s">
        <v>651</v>
      </c>
      <c r="D55" s="680">
        <v>755523</v>
      </c>
      <c r="E55" s="685">
        <v>52.32</v>
      </c>
      <c r="F55" s="685">
        <v>52.09</v>
      </c>
      <c r="G55" s="686">
        <v>0.01443</v>
      </c>
      <c r="H55" s="686">
        <v>0.014561</v>
      </c>
      <c r="I55" s="699">
        <v>1.71389</v>
      </c>
      <c r="J55" s="699">
        <v>1.72137</v>
      </c>
      <c r="K55" s="699">
        <v>1.7295</v>
      </c>
      <c r="L55" s="699">
        <v>1.73661</v>
      </c>
      <c r="M55" s="699">
        <v>1.73789</v>
      </c>
      <c r="N55" s="699">
        <v>1.73893</v>
      </c>
      <c r="O55" s="699">
        <v>1.74293</v>
      </c>
      <c r="P55" s="699">
        <v>1.74566</v>
      </c>
      <c r="Q55" s="697">
        <v>1.74815</v>
      </c>
      <c r="R55" s="697">
        <v>1.75063</v>
      </c>
      <c r="S55" s="697">
        <v>1.75132</v>
      </c>
      <c r="T55" s="701">
        <v>1.75197</v>
      </c>
      <c r="U55" s="697">
        <v>1.75487</v>
      </c>
      <c r="V55" s="697">
        <v>1.755</v>
      </c>
      <c r="W55" s="697">
        <v>1.75844</v>
      </c>
      <c r="X55" s="697">
        <v>1.76506</v>
      </c>
      <c r="Y55" s="697">
        <v>1.76588</v>
      </c>
      <c r="Z55" s="697">
        <v>1.77295</v>
      </c>
      <c r="AA55" s="697">
        <v>1.77953</v>
      </c>
      <c r="AB55" s="697">
        <v>1.79081</v>
      </c>
      <c r="AC55" s="704">
        <v>3.01906956</v>
      </c>
      <c r="AD55" s="705">
        <v>-0.015818462</v>
      </c>
      <c r="AE55" s="705">
        <v>0.0209047144</v>
      </c>
      <c r="AF55" s="705">
        <v>0.000846561491</v>
      </c>
      <c r="AG55" s="705">
        <v>-6.18209745e-5</v>
      </c>
      <c r="AH55" s="705">
        <v>3.65072914e-6</v>
      </c>
      <c r="AI55" s="709">
        <v>0.3028</v>
      </c>
      <c r="AJ55" s="709">
        <v>0.2384</v>
      </c>
      <c r="AK55" s="709">
        <v>0.5468</v>
      </c>
      <c r="AL55" s="709">
        <v>0.2527</v>
      </c>
      <c r="AM55" s="709">
        <v>0.2362</v>
      </c>
      <c r="AN55" s="709">
        <v>0.4855</v>
      </c>
      <c r="AO55" s="709">
        <v>-0.0026</v>
      </c>
      <c r="AP55" s="709">
        <v>-0.0099</v>
      </c>
      <c r="AQ55" s="709">
        <v>0.0172</v>
      </c>
      <c r="AR55" s="709">
        <v>0.0076</v>
      </c>
      <c r="AS55" s="714">
        <v>3.3</v>
      </c>
      <c r="AT55" s="716">
        <v>3.4</v>
      </c>
      <c r="AU55" s="716">
        <v>3.4</v>
      </c>
      <c r="AV55" s="716">
        <v>3.4</v>
      </c>
      <c r="AW55" s="716">
        <v>3.5</v>
      </c>
      <c r="AX55" s="716">
        <v>3.5</v>
      </c>
      <c r="AY55" s="716">
        <v>3.5</v>
      </c>
      <c r="AZ55" s="716">
        <v>3.6</v>
      </c>
      <c r="BA55" s="716">
        <v>3.7</v>
      </c>
      <c r="BB55" s="716">
        <v>3.7</v>
      </c>
      <c r="BC55" s="716">
        <v>3.9</v>
      </c>
      <c r="BD55" s="716">
        <v>3.5</v>
      </c>
      <c r="BE55" s="716">
        <v>3.5</v>
      </c>
      <c r="BF55" s="716">
        <v>3.6</v>
      </c>
      <c r="BG55" s="716">
        <v>3.6</v>
      </c>
      <c r="BH55" s="716">
        <v>3.7</v>
      </c>
      <c r="BI55" s="716">
        <v>3.8</v>
      </c>
      <c r="BJ55" s="716">
        <v>3.9</v>
      </c>
      <c r="BK55" s="716">
        <v>3.9</v>
      </c>
      <c r="BL55" s="716">
        <v>4.1</v>
      </c>
      <c r="BM55" s="716">
        <v>4.2</v>
      </c>
      <c r="BN55" s="716">
        <v>4.3</v>
      </c>
      <c r="BO55" s="716">
        <v>3.7</v>
      </c>
      <c r="BP55" s="716">
        <v>3.7</v>
      </c>
      <c r="BQ55" s="716">
        <v>3.8</v>
      </c>
      <c r="BR55" s="716">
        <v>3.9</v>
      </c>
      <c r="BS55" s="716">
        <v>3.9</v>
      </c>
      <c r="BT55" s="716">
        <v>4</v>
      </c>
      <c r="BU55" s="716">
        <v>4.1</v>
      </c>
      <c r="BV55" s="716">
        <v>4.2</v>
      </c>
      <c r="BW55" s="716">
        <v>4.3</v>
      </c>
      <c r="BX55" s="716">
        <v>4.3</v>
      </c>
      <c r="BY55" s="716">
        <v>4.3</v>
      </c>
      <c r="BZ55" s="716">
        <v>3.7</v>
      </c>
      <c r="CA55" s="716">
        <v>3.7</v>
      </c>
      <c r="CB55" s="716">
        <v>3.8</v>
      </c>
      <c r="CC55" s="716">
        <v>3.9</v>
      </c>
      <c r="CD55" s="716">
        <v>3.9</v>
      </c>
      <c r="CE55" s="716">
        <v>4</v>
      </c>
      <c r="CF55" s="716">
        <v>4.1</v>
      </c>
      <c r="CG55" s="716">
        <v>4.2</v>
      </c>
      <c r="CH55" s="716">
        <v>4.3</v>
      </c>
      <c r="CI55" s="716">
        <v>4.3</v>
      </c>
      <c r="CJ55" s="716">
        <v>4.4</v>
      </c>
      <c r="CK55" s="716">
        <v>3.7</v>
      </c>
      <c r="CL55" s="716">
        <v>3.8</v>
      </c>
      <c r="CM55" s="716">
        <v>3.8</v>
      </c>
      <c r="CN55" s="716">
        <v>3.9</v>
      </c>
      <c r="CO55" s="716">
        <v>3.9</v>
      </c>
      <c r="CP55" s="716">
        <v>4</v>
      </c>
      <c r="CQ55" s="716">
        <v>4.1</v>
      </c>
      <c r="CR55" s="716">
        <v>4.2</v>
      </c>
      <c r="CS55" s="716">
        <v>4.3</v>
      </c>
      <c r="CT55" s="716">
        <v>4.4</v>
      </c>
      <c r="CU55" s="716">
        <v>4.6</v>
      </c>
      <c r="CV55" s="716">
        <v>4</v>
      </c>
      <c r="CW55" s="716">
        <v>4</v>
      </c>
      <c r="CX55" s="716">
        <v>4.1</v>
      </c>
      <c r="CY55" s="716">
        <v>4.2</v>
      </c>
      <c r="CZ55" s="716">
        <v>4.2</v>
      </c>
      <c r="DA55" s="716">
        <v>4.2</v>
      </c>
      <c r="DB55" s="716">
        <v>4.3</v>
      </c>
      <c r="DC55" s="716">
        <v>4.4</v>
      </c>
      <c r="DD55" s="716">
        <v>4.5</v>
      </c>
      <c r="DE55" s="716">
        <v>4.6</v>
      </c>
      <c r="DF55" s="716">
        <v>4.6</v>
      </c>
      <c r="DG55" s="716">
        <v>4.2</v>
      </c>
      <c r="DH55" s="716">
        <v>4.2</v>
      </c>
      <c r="DI55" s="716">
        <v>4.3</v>
      </c>
      <c r="DJ55" s="716">
        <v>4.3</v>
      </c>
      <c r="DK55" s="716">
        <v>4.4</v>
      </c>
      <c r="DL55" s="716">
        <v>4.5</v>
      </c>
      <c r="DM55" s="716">
        <v>4.5</v>
      </c>
      <c r="DN55" s="716">
        <v>4.5</v>
      </c>
      <c r="DO55" s="716">
        <v>4.6</v>
      </c>
      <c r="DP55" s="716">
        <v>4.7</v>
      </c>
      <c r="DQ55" s="716">
        <v>4.9</v>
      </c>
      <c r="DR55" s="716">
        <v>4.6</v>
      </c>
      <c r="DS55" s="716">
        <v>4.6</v>
      </c>
      <c r="DT55" s="716">
        <v>4.7</v>
      </c>
      <c r="DU55" s="716">
        <v>4.7</v>
      </c>
      <c r="DV55" s="716">
        <v>4.8</v>
      </c>
      <c r="DW55" s="716">
        <v>5</v>
      </c>
      <c r="DX55" s="716">
        <v>5</v>
      </c>
      <c r="DY55" s="716">
        <v>5.1</v>
      </c>
      <c r="DZ55" s="716">
        <v>5.2</v>
      </c>
      <c r="EA55" s="716">
        <v>5.4</v>
      </c>
      <c r="EB55" s="716">
        <v>5.5</v>
      </c>
      <c r="EC55" s="716">
        <v>4.7</v>
      </c>
      <c r="ED55" s="716">
        <v>4.7</v>
      </c>
      <c r="EE55" s="716">
        <v>4.8</v>
      </c>
      <c r="EF55" s="716">
        <v>4.8</v>
      </c>
      <c r="EG55" s="716">
        <v>4.9</v>
      </c>
      <c r="EH55" s="716">
        <v>5</v>
      </c>
      <c r="EI55" s="716">
        <v>5</v>
      </c>
      <c r="EJ55" s="716">
        <v>5.1</v>
      </c>
      <c r="EK55" s="716">
        <v>5.2</v>
      </c>
      <c r="EL55" s="716">
        <v>5.4</v>
      </c>
      <c r="EM55" s="716">
        <v>5.5</v>
      </c>
      <c r="EN55" s="716">
        <v>4.9</v>
      </c>
      <c r="EO55" s="716">
        <v>5</v>
      </c>
      <c r="EP55" s="716">
        <v>5</v>
      </c>
      <c r="EQ55" s="716">
        <v>5.1</v>
      </c>
      <c r="ER55" s="716">
        <v>5.1</v>
      </c>
      <c r="ES55" s="716">
        <v>5.3</v>
      </c>
      <c r="ET55" s="716">
        <v>5.5</v>
      </c>
      <c r="EU55" s="716">
        <v>5.6</v>
      </c>
      <c r="EV55" s="716">
        <v>5.7</v>
      </c>
      <c r="EW55" s="716">
        <v>5.8</v>
      </c>
      <c r="EX55" s="716">
        <v>5.9</v>
      </c>
      <c r="EY55" s="716">
        <v>0.9</v>
      </c>
      <c r="EZ55" s="716">
        <v>1.4</v>
      </c>
      <c r="FA55" s="716">
        <v>1.8</v>
      </c>
      <c r="FB55" s="716">
        <v>2.2</v>
      </c>
      <c r="FC55" s="716">
        <v>2.4</v>
      </c>
      <c r="FD55" s="716">
        <v>2.7</v>
      </c>
      <c r="FE55" s="716">
        <v>2.9</v>
      </c>
      <c r="FF55" s="716">
        <v>3.1</v>
      </c>
      <c r="FG55" s="716">
        <v>3.3</v>
      </c>
      <c r="FH55" s="716">
        <v>3.5</v>
      </c>
      <c r="FI55" s="716">
        <v>3.8</v>
      </c>
      <c r="FJ55" s="726">
        <v>2.7e-6</v>
      </c>
      <c r="FK55" s="726">
        <v>1.23e-8</v>
      </c>
      <c r="FL55" s="726">
        <v>-2.14e-11</v>
      </c>
      <c r="FM55" s="726">
        <v>4.31e-7</v>
      </c>
      <c r="FN55" s="726">
        <v>2.47e-10</v>
      </c>
      <c r="FO55" s="726">
        <v>0.229</v>
      </c>
      <c r="FP55" s="729">
        <v>1</v>
      </c>
      <c r="FQ55" s="729">
        <v>2</v>
      </c>
      <c r="FR55" s="729">
        <v>1</v>
      </c>
      <c r="FS55" s="729">
        <v>3</v>
      </c>
      <c r="FT55" s="729">
        <v>1</v>
      </c>
      <c r="FU55" s="729">
        <v>1</v>
      </c>
      <c r="FV55" s="681"/>
      <c r="FW55" s="729"/>
      <c r="FX55" s="729"/>
      <c r="FY55" s="729"/>
      <c r="FZ55" s="743">
        <v>695</v>
      </c>
      <c r="GA55" s="743">
        <v>712</v>
      </c>
      <c r="GB55" s="681">
        <v>631</v>
      </c>
      <c r="GC55" s="681">
        <v>652</v>
      </c>
      <c r="GD55" s="747">
        <v>1.06</v>
      </c>
      <c r="GE55" s="729"/>
      <c r="GF55" s="681">
        <v>57</v>
      </c>
      <c r="GG55" s="681">
        <v>72</v>
      </c>
      <c r="GH55" s="681">
        <v>53</v>
      </c>
      <c r="GI55" s="681">
        <v>54</v>
      </c>
      <c r="GJ55" s="681">
        <v>55</v>
      </c>
      <c r="GK55" s="681">
        <v>56</v>
      </c>
      <c r="GL55" s="681">
        <v>57</v>
      </c>
      <c r="GM55" s="681">
        <v>58</v>
      </c>
      <c r="GN55" s="681">
        <v>59</v>
      </c>
      <c r="GO55" s="681">
        <v>59</v>
      </c>
      <c r="GP55" s="681">
        <v>59</v>
      </c>
      <c r="GQ55" s="681">
        <v>60</v>
      </c>
      <c r="GR55" s="681">
        <v>60</v>
      </c>
      <c r="GS55" s="681">
        <v>60</v>
      </c>
      <c r="GT55" s="681">
        <v>61</v>
      </c>
      <c r="GU55" s="681">
        <v>61</v>
      </c>
      <c r="GV55" s="681">
        <v>62</v>
      </c>
      <c r="GW55" s="681">
        <v>63</v>
      </c>
      <c r="GX55" s="681">
        <v>63</v>
      </c>
      <c r="GY55" s="681">
        <v>64</v>
      </c>
      <c r="GZ55" s="681">
        <v>65</v>
      </c>
      <c r="HA55" s="681">
        <v>66</v>
      </c>
      <c r="HB55" s="681">
        <v>67</v>
      </c>
      <c r="HC55" s="681"/>
      <c r="HD55" s="750">
        <v>130</v>
      </c>
      <c r="HE55" s="681"/>
      <c r="HF55" s="681">
        <v>718</v>
      </c>
      <c r="HG55" s="738">
        <v>58</v>
      </c>
      <c r="HH55" s="714">
        <v>121.8</v>
      </c>
      <c r="HI55" s="714">
        <v>46.4</v>
      </c>
      <c r="HJ55" s="753">
        <v>0.313</v>
      </c>
      <c r="HK55" s="681">
        <v>102</v>
      </c>
      <c r="HL55" s="685">
        <v>1.36</v>
      </c>
      <c r="HM55" s="747">
        <v>4.24</v>
      </c>
      <c r="HN55" s="729" t="s">
        <v>652</v>
      </c>
      <c r="HO55" s="729" t="s">
        <v>653</v>
      </c>
      <c r="HP55" s="714">
        <v>-3.2</v>
      </c>
      <c r="HQ55" s="753">
        <v>0.778</v>
      </c>
      <c r="HR55" s="753">
        <v>0.934</v>
      </c>
      <c r="HS55" s="753">
        <v>0.99</v>
      </c>
      <c r="HT55" s="753">
        <v>0.999</v>
      </c>
      <c r="HU55" s="753">
        <v>0.999</v>
      </c>
      <c r="HV55" s="753">
        <v>0.999</v>
      </c>
      <c r="HW55" s="753">
        <v>0.999</v>
      </c>
      <c r="HX55" s="753">
        <v>0.999</v>
      </c>
      <c r="HY55" s="753">
        <v>0.999</v>
      </c>
      <c r="HZ55" s="753">
        <v>0.999</v>
      </c>
      <c r="IA55" s="753">
        <v>0.999</v>
      </c>
      <c r="IB55" s="753">
        <v>0.999</v>
      </c>
      <c r="IC55" s="753">
        <v>0.999</v>
      </c>
      <c r="ID55" s="753">
        <v>0.999</v>
      </c>
      <c r="IE55" s="753">
        <v>0.999</v>
      </c>
      <c r="IF55" s="753">
        <v>0.999</v>
      </c>
      <c r="IG55" s="753">
        <v>0.999</v>
      </c>
      <c r="IH55" s="753">
        <v>0.999</v>
      </c>
      <c r="II55" s="753">
        <v>0.999</v>
      </c>
      <c r="IJ55" s="753">
        <v>0.999</v>
      </c>
      <c r="IK55" s="753">
        <v>0.999</v>
      </c>
      <c r="IL55" s="753">
        <v>0.997</v>
      </c>
      <c r="IM55" s="753">
        <v>0.995</v>
      </c>
      <c r="IN55" s="753">
        <v>0.992</v>
      </c>
      <c r="IO55" s="753">
        <v>0.989</v>
      </c>
      <c r="IP55" s="753">
        <v>0.984</v>
      </c>
      <c r="IQ55" s="753">
        <v>0.975</v>
      </c>
      <c r="IR55" s="753">
        <v>0.957</v>
      </c>
      <c r="IS55" s="753">
        <v>0.934</v>
      </c>
      <c r="IT55" s="753">
        <v>0.897</v>
      </c>
      <c r="IU55" s="753">
        <v>0.846</v>
      </c>
      <c r="IV55" s="753">
        <v>0.779</v>
      </c>
      <c r="IW55" s="753">
        <v>0.672</v>
      </c>
      <c r="IX55" s="754">
        <v>0.606</v>
      </c>
      <c r="IY55" s="753">
        <v>0.515</v>
      </c>
      <c r="IZ55" s="754">
        <v>0.354</v>
      </c>
      <c r="JA55" s="753">
        <v>0.605</v>
      </c>
      <c r="JB55" s="753">
        <v>0.872</v>
      </c>
      <c r="JC55" s="753">
        <v>0.98</v>
      </c>
      <c r="JD55" s="753">
        <v>0.998</v>
      </c>
      <c r="JE55" s="753">
        <v>0.998</v>
      </c>
      <c r="JF55" s="753">
        <v>0.998</v>
      </c>
      <c r="JG55" s="753">
        <v>0.998</v>
      </c>
      <c r="JH55" s="753">
        <v>0.998</v>
      </c>
      <c r="JI55" s="753">
        <v>0.998</v>
      </c>
      <c r="JJ55" s="753">
        <v>0.998</v>
      </c>
      <c r="JK55" s="753">
        <v>0.998</v>
      </c>
      <c r="JL55" s="753">
        <v>0.998</v>
      </c>
      <c r="JM55" s="753">
        <v>0.998</v>
      </c>
      <c r="JN55" s="753">
        <v>0.998</v>
      </c>
      <c r="JO55" s="753">
        <v>0.998</v>
      </c>
      <c r="JP55" s="753">
        <v>0.998</v>
      </c>
      <c r="JQ55" s="753">
        <v>0.998</v>
      </c>
      <c r="JR55" s="753">
        <v>0.998</v>
      </c>
      <c r="JS55" s="753">
        <v>0.998</v>
      </c>
      <c r="JT55" s="753">
        <v>0.998</v>
      </c>
      <c r="JU55" s="753">
        <v>0.998</v>
      </c>
      <c r="JV55" s="753">
        <v>0.994</v>
      </c>
      <c r="JW55" s="753">
        <v>0.989</v>
      </c>
      <c r="JX55" s="753">
        <v>0.984</v>
      </c>
      <c r="JY55" s="753">
        <v>0.978</v>
      </c>
      <c r="JZ55" s="753">
        <v>0.968</v>
      </c>
      <c r="KA55" s="753">
        <v>0.95</v>
      </c>
      <c r="KB55" s="753">
        <v>0.918</v>
      </c>
      <c r="KC55" s="753">
        <v>0.873</v>
      </c>
      <c r="KD55" s="753">
        <v>0.805</v>
      </c>
      <c r="KE55" s="753">
        <v>0.715</v>
      </c>
      <c r="KF55" s="753">
        <v>0.607</v>
      </c>
      <c r="KG55" s="753">
        <v>0.45</v>
      </c>
      <c r="KH55" s="754">
        <v>0.367</v>
      </c>
      <c r="KI55" s="753">
        <v>0.266</v>
      </c>
      <c r="KJ55" s="754">
        <v>0.129</v>
      </c>
      <c r="KK55" s="765" t="s">
        <v>281</v>
      </c>
      <c r="KL55" s="738">
        <v>63</v>
      </c>
      <c r="KM55" s="738">
        <v>267</v>
      </c>
      <c r="KN55" s="646" t="s">
        <v>303</v>
      </c>
      <c r="KO55" s="646" t="s">
        <v>651</v>
      </c>
      <c r="KP55" s="680">
        <v>755523</v>
      </c>
      <c r="KQ55" s="766" t="s">
        <v>654</v>
      </c>
      <c r="KR55" s="750" t="s">
        <v>655</v>
      </c>
      <c r="KS55" s="769" t="s">
        <v>651</v>
      </c>
      <c r="KT55" s="770" t="s">
        <v>655</v>
      </c>
      <c r="KU55" s="766" t="s">
        <v>656</v>
      </c>
      <c r="KV55" s="750">
        <v>755523</v>
      </c>
      <c r="KW55" s="771" t="s">
        <v>657</v>
      </c>
      <c r="KX55" s="750" t="s">
        <v>658</v>
      </c>
      <c r="KY55" s="769" t="s">
        <v>659</v>
      </c>
      <c r="KZ55" s="770" t="s">
        <v>655</v>
      </c>
    </row>
    <row r="56" s="628" customFormat="1" customHeight="1" spans="1:312">
      <c r="A56" s="682" t="s">
        <v>277</v>
      </c>
      <c r="B56" s="683">
        <v>52</v>
      </c>
      <c r="C56" s="689" t="s">
        <v>660</v>
      </c>
      <c r="D56" s="680">
        <v>755523</v>
      </c>
      <c r="E56" s="685">
        <v>52.32</v>
      </c>
      <c r="F56" s="685">
        <v>52.09</v>
      </c>
      <c r="G56" s="686">
        <v>0.01443</v>
      </c>
      <c r="H56" s="686">
        <v>0.014561</v>
      </c>
      <c r="I56" s="699"/>
      <c r="J56" s="699"/>
      <c r="K56" s="699"/>
      <c r="L56" s="699">
        <v>1.73669</v>
      </c>
      <c r="M56" s="699">
        <v>1.73793</v>
      </c>
      <c r="N56" s="699">
        <v>1.73896</v>
      </c>
      <c r="O56" s="699">
        <v>1.74293</v>
      </c>
      <c r="P56" s="699">
        <v>1.74567</v>
      </c>
      <c r="Q56" s="697">
        <v>1.74815</v>
      </c>
      <c r="R56" s="697">
        <v>1.75063</v>
      </c>
      <c r="S56" s="697">
        <v>1.75132</v>
      </c>
      <c r="T56" s="701">
        <v>1.75199</v>
      </c>
      <c r="U56" s="697">
        <v>1.75487</v>
      </c>
      <c r="V56" s="697">
        <v>1.755</v>
      </c>
      <c r="W56" s="697">
        <v>1.75844</v>
      </c>
      <c r="X56" s="697">
        <v>1.76506</v>
      </c>
      <c r="Y56" s="697">
        <v>1.76588</v>
      </c>
      <c r="Z56" s="697">
        <v>1.77296</v>
      </c>
      <c r="AA56" s="697">
        <v>1.77955</v>
      </c>
      <c r="AB56" s="697">
        <v>1.79083</v>
      </c>
      <c r="AC56" s="704">
        <v>3.01608135</v>
      </c>
      <c r="AD56" s="705">
        <v>-0.0142847622</v>
      </c>
      <c r="AE56" s="705">
        <v>0.0230284242</v>
      </c>
      <c r="AF56" s="705">
        <v>0.000169148291</v>
      </c>
      <c r="AG56" s="705">
        <v>3.56310545e-5</v>
      </c>
      <c r="AH56" s="705">
        <v>-1.43259924e-6</v>
      </c>
      <c r="AI56" s="709">
        <v>0.3028</v>
      </c>
      <c r="AJ56" s="709">
        <v>0.2384</v>
      </c>
      <c r="AK56" s="709">
        <v>0.5475</v>
      </c>
      <c r="AL56" s="709">
        <v>0.2527</v>
      </c>
      <c r="AM56" s="709">
        <v>0.2362</v>
      </c>
      <c r="AN56" s="709">
        <v>0.4862</v>
      </c>
      <c r="AO56" s="709">
        <v>-0.0026</v>
      </c>
      <c r="AP56" s="709">
        <v>-0.0092</v>
      </c>
      <c r="AQ56" s="709">
        <v>0.0151</v>
      </c>
      <c r="AR56" s="709">
        <v>0.0076</v>
      </c>
      <c r="AS56" s="714">
        <v>2.1</v>
      </c>
      <c r="AT56" s="716">
        <v>2.1</v>
      </c>
      <c r="AU56" s="716">
        <v>2.2</v>
      </c>
      <c r="AV56" s="716">
        <v>2.2</v>
      </c>
      <c r="AW56" s="716">
        <v>2.2</v>
      </c>
      <c r="AX56" s="716">
        <v>2.3</v>
      </c>
      <c r="AY56" s="716">
        <v>2.5</v>
      </c>
      <c r="AZ56" s="716">
        <v>2.6</v>
      </c>
      <c r="BA56" s="716">
        <v>2.7</v>
      </c>
      <c r="BB56" s="716">
        <v>2.8</v>
      </c>
      <c r="BC56" s="716">
        <v>2.8</v>
      </c>
      <c r="BD56" s="716">
        <v>2.4</v>
      </c>
      <c r="BE56" s="716">
        <v>2.5</v>
      </c>
      <c r="BF56" s="716">
        <v>2.7</v>
      </c>
      <c r="BG56" s="716">
        <v>2.9</v>
      </c>
      <c r="BH56" s="716">
        <v>3</v>
      </c>
      <c r="BI56" s="716">
        <v>3.2</v>
      </c>
      <c r="BJ56" s="716">
        <v>3.2</v>
      </c>
      <c r="BK56" s="716">
        <v>3.3</v>
      </c>
      <c r="BL56" s="716">
        <v>3.5</v>
      </c>
      <c r="BM56" s="716">
        <v>3.7</v>
      </c>
      <c r="BN56" s="716">
        <v>3.7</v>
      </c>
      <c r="BO56" s="716">
        <v>2.7</v>
      </c>
      <c r="BP56" s="716">
        <v>2.8</v>
      </c>
      <c r="BQ56" s="716">
        <v>2.9</v>
      </c>
      <c r="BR56" s="716">
        <v>3</v>
      </c>
      <c r="BS56" s="716">
        <v>3.1</v>
      </c>
      <c r="BT56" s="716">
        <v>3.3</v>
      </c>
      <c r="BU56" s="716">
        <v>3.4</v>
      </c>
      <c r="BV56" s="716">
        <v>3.6</v>
      </c>
      <c r="BW56" s="716">
        <v>3.7</v>
      </c>
      <c r="BX56" s="716">
        <v>3.8</v>
      </c>
      <c r="BY56" s="716">
        <v>3.8</v>
      </c>
      <c r="BZ56" s="716">
        <v>2.8</v>
      </c>
      <c r="CA56" s="716">
        <v>2.9</v>
      </c>
      <c r="CB56" s="716">
        <v>3</v>
      </c>
      <c r="CC56" s="716">
        <v>3</v>
      </c>
      <c r="CD56" s="716">
        <v>3.2</v>
      </c>
      <c r="CE56" s="716">
        <v>3.4</v>
      </c>
      <c r="CF56" s="716">
        <v>3.5</v>
      </c>
      <c r="CG56" s="716">
        <v>3.6</v>
      </c>
      <c r="CH56" s="716">
        <v>3.8</v>
      </c>
      <c r="CI56" s="716">
        <v>3.9</v>
      </c>
      <c r="CJ56" s="716">
        <v>3.9</v>
      </c>
      <c r="CK56" s="716">
        <v>3</v>
      </c>
      <c r="CL56" s="716">
        <v>3</v>
      </c>
      <c r="CM56" s="716">
        <v>3.1</v>
      </c>
      <c r="CN56" s="716">
        <v>3.2</v>
      </c>
      <c r="CO56" s="716">
        <v>3.3</v>
      </c>
      <c r="CP56" s="716">
        <v>3.5</v>
      </c>
      <c r="CQ56" s="716">
        <v>3.7</v>
      </c>
      <c r="CR56" s="716">
        <v>3.7</v>
      </c>
      <c r="CS56" s="716">
        <v>4</v>
      </c>
      <c r="CT56" s="716">
        <v>4</v>
      </c>
      <c r="CU56" s="716">
        <v>4.1</v>
      </c>
      <c r="CV56" s="716">
        <v>3.1</v>
      </c>
      <c r="CW56" s="716">
        <v>3.1</v>
      </c>
      <c r="CX56" s="716">
        <v>3.2</v>
      </c>
      <c r="CY56" s="716">
        <v>3.4</v>
      </c>
      <c r="CZ56" s="716">
        <v>3.5</v>
      </c>
      <c r="DA56" s="716">
        <v>3.6</v>
      </c>
      <c r="DB56" s="716">
        <v>3.9</v>
      </c>
      <c r="DC56" s="716">
        <v>4.1</v>
      </c>
      <c r="DD56" s="716">
        <v>4.3</v>
      </c>
      <c r="DE56" s="716">
        <v>4.3</v>
      </c>
      <c r="DF56" s="716">
        <v>4.4</v>
      </c>
      <c r="DG56" s="716">
        <v>3.2</v>
      </c>
      <c r="DH56" s="716">
        <v>3.3</v>
      </c>
      <c r="DI56" s="716">
        <v>3.5</v>
      </c>
      <c r="DJ56" s="716">
        <v>3.6</v>
      </c>
      <c r="DK56" s="716">
        <v>3.8</v>
      </c>
      <c r="DL56" s="716">
        <v>3.8</v>
      </c>
      <c r="DM56" s="716">
        <v>4</v>
      </c>
      <c r="DN56" s="716">
        <v>4.2</v>
      </c>
      <c r="DO56" s="716">
        <v>4.3</v>
      </c>
      <c r="DP56" s="716">
        <v>4.5</v>
      </c>
      <c r="DQ56" s="716">
        <v>4.6</v>
      </c>
      <c r="DR56" s="716">
        <v>3.4</v>
      </c>
      <c r="DS56" s="716">
        <v>3.6</v>
      </c>
      <c r="DT56" s="716">
        <v>3.7</v>
      </c>
      <c r="DU56" s="716">
        <v>3.8</v>
      </c>
      <c r="DV56" s="716">
        <v>4</v>
      </c>
      <c r="DW56" s="716">
        <v>4.1</v>
      </c>
      <c r="DX56" s="716">
        <v>4.2</v>
      </c>
      <c r="DY56" s="716">
        <v>4.3</v>
      </c>
      <c r="DZ56" s="716">
        <v>4.4</v>
      </c>
      <c r="EA56" s="716">
        <v>4.7</v>
      </c>
      <c r="EB56" s="716">
        <v>4.8</v>
      </c>
      <c r="EC56" s="716">
        <v>3.6</v>
      </c>
      <c r="ED56" s="716">
        <v>3.7</v>
      </c>
      <c r="EE56" s="716">
        <v>3.7</v>
      </c>
      <c r="EF56" s="716">
        <v>3.9</v>
      </c>
      <c r="EG56" s="716">
        <v>4.1</v>
      </c>
      <c r="EH56" s="716">
        <v>4.3</v>
      </c>
      <c r="EI56" s="716">
        <v>4.4</v>
      </c>
      <c r="EJ56" s="716">
        <v>4.6</v>
      </c>
      <c r="EK56" s="716">
        <v>4.7</v>
      </c>
      <c r="EL56" s="716">
        <v>4.8</v>
      </c>
      <c r="EM56" s="716">
        <v>4.9</v>
      </c>
      <c r="EN56" s="716">
        <v>3.9</v>
      </c>
      <c r="EO56" s="716">
        <v>4</v>
      </c>
      <c r="EP56" s="716">
        <v>4.2</v>
      </c>
      <c r="EQ56" s="716">
        <v>4.3</v>
      </c>
      <c r="ER56" s="716">
        <v>4.4</v>
      </c>
      <c r="ES56" s="716">
        <v>4.5</v>
      </c>
      <c r="ET56" s="716">
        <v>4.6</v>
      </c>
      <c r="EU56" s="716">
        <v>4.7</v>
      </c>
      <c r="EV56" s="716">
        <v>4.9</v>
      </c>
      <c r="EW56" s="716">
        <v>5.1</v>
      </c>
      <c r="EX56" s="716">
        <v>5.3</v>
      </c>
      <c r="EY56" s="716">
        <v>0.2</v>
      </c>
      <c r="EZ56" s="716">
        <v>0.6</v>
      </c>
      <c r="FA56" s="716">
        <v>1.1</v>
      </c>
      <c r="FB56" s="716">
        <v>1.5</v>
      </c>
      <c r="FC56" s="716">
        <v>1.8</v>
      </c>
      <c r="FD56" s="716">
        <v>2.2</v>
      </c>
      <c r="FE56" s="716">
        <v>2.5</v>
      </c>
      <c r="FF56" s="716">
        <v>2.6</v>
      </c>
      <c r="FG56" s="716">
        <v>3</v>
      </c>
      <c r="FH56" s="716">
        <v>3.1</v>
      </c>
      <c r="FI56" s="716">
        <v>3.3</v>
      </c>
      <c r="FJ56" s="726">
        <v>9.52e-7</v>
      </c>
      <c r="FK56" s="726">
        <v>1.46e-8</v>
      </c>
      <c r="FL56" s="726">
        <v>-2.48e-11</v>
      </c>
      <c r="FM56" s="726">
        <v>6.68e-7</v>
      </c>
      <c r="FN56" s="726">
        <v>3.49e-10</v>
      </c>
      <c r="FO56" s="726">
        <v>2.49e-9</v>
      </c>
      <c r="FP56" s="729">
        <v>1</v>
      </c>
      <c r="FQ56" s="729">
        <v>1</v>
      </c>
      <c r="FR56" s="729">
        <v>1</v>
      </c>
      <c r="FS56" s="729">
        <v>3</v>
      </c>
      <c r="FT56" s="729">
        <v>1</v>
      </c>
      <c r="FU56" s="729">
        <v>2</v>
      </c>
      <c r="FV56" s="681">
        <v>1</v>
      </c>
      <c r="FW56" s="729"/>
      <c r="FX56" s="729"/>
      <c r="FY56" s="729"/>
      <c r="FZ56" s="743">
        <v>683</v>
      </c>
      <c r="GA56" s="743">
        <v>712</v>
      </c>
      <c r="GB56" s="681">
        <v>622</v>
      </c>
      <c r="GC56" s="681">
        <v>643</v>
      </c>
      <c r="GD56" s="747">
        <v>0.9</v>
      </c>
      <c r="GE56" s="729"/>
      <c r="GF56" s="681">
        <v>57</v>
      </c>
      <c r="GG56" s="681">
        <v>73</v>
      </c>
      <c r="GH56" s="681">
        <v>51</v>
      </c>
      <c r="GI56" s="681">
        <v>53</v>
      </c>
      <c r="GJ56" s="681">
        <v>54</v>
      </c>
      <c r="GK56" s="681">
        <v>55</v>
      </c>
      <c r="GL56" s="681">
        <v>55</v>
      </c>
      <c r="GM56" s="681">
        <v>57</v>
      </c>
      <c r="GN56" s="681">
        <v>57</v>
      </c>
      <c r="GO56" s="681">
        <v>58</v>
      </c>
      <c r="GP56" s="681">
        <v>59</v>
      </c>
      <c r="GQ56" s="681">
        <v>59</v>
      </c>
      <c r="GR56" s="681">
        <v>60</v>
      </c>
      <c r="GS56" s="681">
        <v>60</v>
      </c>
      <c r="GT56" s="681">
        <v>60</v>
      </c>
      <c r="GU56" s="681">
        <v>60</v>
      </c>
      <c r="GV56" s="681">
        <v>60</v>
      </c>
      <c r="GW56" s="681">
        <v>62</v>
      </c>
      <c r="GX56" s="681">
        <v>62</v>
      </c>
      <c r="GY56" s="681">
        <v>64</v>
      </c>
      <c r="GZ56" s="681">
        <v>65</v>
      </c>
      <c r="HA56" s="681">
        <v>65</v>
      </c>
      <c r="HB56" s="681">
        <v>67</v>
      </c>
      <c r="HC56" s="681"/>
      <c r="HD56" s="750">
        <v>141</v>
      </c>
      <c r="HE56" s="681"/>
      <c r="HF56" s="681">
        <v>635</v>
      </c>
      <c r="HG56" s="738">
        <v>65</v>
      </c>
      <c r="HH56" s="714">
        <v>122.2</v>
      </c>
      <c r="HI56" s="714">
        <v>46.9</v>
      </c>
      <c r="HJ56" s="753">
        <v>0.303</v>
      </c>
      <c r="HK56" s="681">
        <v>91</v>
      </c>
      <c r="HL56" s="685">
        <v>1.3</v>
      </c>
      <c r="HM56" s="747">
        <v>4.18</v>
      </c>
      <c r="HN56" s="729" t="s">
        <v>539</v>
      </c>
      <c r="HO56" s="729" t="s">
        <v>661</v>
      </c>
      <c r="HP56" s="714">
        <v>-3</v>
      </c>
      <c r="HQ56" s="753">
        <v>0.799</v>
      </c>
      <c r="HR56" s="753">
        <v>0.928</v>
      </c>
      <c r="HS56" s="753">
        <v>0.975</v>
      </c>
      <c r="HT56" s="753">
        <v>0.99</v>
      </c>
      <c r="HU56" s="753">
        <v>0.996</v>
      </c>
      <c r="HV56" s="753">
        <v>0.996</v>
      </c>
      <c r="HW56" s="753">
        <v>0.999</v>
      </c>
      <c r="HX56" s="753">
        <v>0.999</v>
      </c>
      <c r="HY56" s="753">
        <v>0.999</v>
      </c>
      <c r="HZ56" s="753">
        <v>0.999</v>
      </c>
      <c r="IA56" s="753">
        <v>0.999</v>
      </c>
      <c r="IB56" s="753">
        <v>0.999</v>
      </c>
      <c r="IC56" s="753">
        <v>0.999</v>
      </c>
      <c r="ID56" s="753">
        <v>0.999</v>
      </c>
      <c r="IE56" s="753">
        <v>0.999</v>
      </c>
      <c r="IF56" s="753">
        <v>0.999</v>
      </c>
      <c r="IG56" s="753">
        <v>0.999</v>
      </c>
      <c r="IH56" s="753">
        <v>0.999</v>
      </c>
      <c r="II56" s="753">
        <v>0.998</v>
      </c>
      <c r="IJ56" s="753">
        <v>0.997</v>
      </c>
      <c r="IK56" s="753">
        <v>0.996</v>
      </c>
      <c r="IL56" s="753">
        <v>0.994</v>
      </c>
      <c r="IM56" s="753">
        <v>0.993</v>
      </c>
      <c r="IN56" s="753">
        <v>0.991</v>
      </c>
      <c r="IO56" s="753">
        <v>0.988</v>
      </c>
      <c r="IP56" s="753">
        <v>0.985</v>
      </c>
      <c r="IQ56" s="753">
        <v>0.977</v>
      </c>
      <c r="IR56" s="753">
        <v>0.967</v>
      </c>
      <c r="IS56" s="753">
        <v>0.949</v>
      </c>
      <c r="IT56" s="753">
        <v>0.92</v>
      </c>
      <c r="IU56" s="753">
        <v>0.882</v>
      </c>
      <c r="IV56" s="753">
        <v>0.831</v>
      </c>
      <c r="IW56" s="753">
        <v>0.764</v>
      </c>
      <c r="IX56" s="754">
        <v>0.69</v>
      </c>
      <c r="IY56" s="753">
        <v>0.594</v>
      </c>
      <c r="IZ56" s="754">
        <v>0.447</v>
      </c>
      <c r="JA56" s="753">
        <v>0.638</v>
      </c>
      <c r="JB56" s="753">
        <v>0.862</v>
      </c>
      <c r="JC56" s="753">
        <v>0.95</v>
      </c>
      <c r="JD56" s="753">
        <v>0.981</v>
      </c>
      <c r="JE56" s="753">
        <v>0.993</v>
      </c>
      <c r="JF56" s="753">
        <v>0.992</v>
      </c>
      <c r="JG56" s="753">
        <v>0.998</v>
      </c>
      <c r="JH56" s="753">
        <v>0.998</v>
      </c>
      <c r="JI56" s="753">
        <v>0.998</v>
      </c>
      <c r="JJ56" s="753">
        <v>0.998</v>
      </c>
      <c r="JK56" s="753">
        <v>0.998</v>
      </c>
      <c r="JL56" s="753">
        <v>0.998</v>
      </c>
      <c r="JM56" s="753">
        <v>0.998</v>
      </c>
      <c r="JN56" s="753">
        <v>0.998</v>
      </c>
      <c r="JO56" s="753">
        <v>0.998</v>
      </c>
      <c r="JP56" s="753">
        <v>0.998</v>
      </c>
      <c r="JQ56" s="753">
        <v>0.998</v>
      </c>
      <c r="JR56" s="753">
        <v>0.998</v>
      </c>
      <c r="JS56" s="753">
        <v>0.996</v>
      </c>
      <c r="JT56" s="753">
        <v>0.994</v>
      </c>
      <c r="JU56" s="753">
        <v>0.992</v>
      </c>
      <c r="JV56" s="753">
        <v>0.989</v>
      </c>
      <c r="JW56" s="753">
        <v>0.986</v>
      </c>
      <c r="JX56" s="753">
        <v>0.982</v>
      </c>
      <c r="JY56" s="753">
        <v>0.977</v>
      </c>
      <c r="JZ56" s="753">
        <v>0.97</v>
      </c>
      <c r="KA56" s="753">
        <v>0.955</v>
      </c>
      <c r="KB56" s="753">
        <v>0.935</v>
      </c>
      <c r="KC56" s="753">
        <v>0.901</v>
      </c>
      <c r="KD56" s="753">
        <v>0.847</v>
      </c>
      <c r="KE56" s="753">
        <v>0.778</v>
      </c>
      <c r="KF56" s="753">
        <v>0.69</v>
      </c>
      <c r="KG56" s="753">
        <v>0.584</v>
      </c>
      <c r="KH56" s="754">
        <v>0.476</v>
      </c>
      <c r="KI56" s="753">
        <v>0.353</v>
      </c>
      <c r="KJ56" s="754">
        <v>0.2</v>
      </c>
      <c r="KK56" s="765" t="s">
        <v>281</v>
      </c>
      <c r="KL56" s="738">
        <v>45</v>
      </c>
      <c r="KM56" s="738">
        <v>188</v>
      </c>
      <c r="KN56" s="646" t="s">
        <v>282</v>
      </c>
      <c r="KO56" s="646" t="s">
        <v>660</v>
      </c>
      <c r="KP56" s="680">
        <v>755523</v>
      </c>
      <c r="KQ56" s="766" t="s">
        <v>654</v>
      </c>
      <c r="KR56" s="750" t="s">
        <v>655</v>
      </c>
      <c r="KS56" s="769" t="s">
        <v>660</v>
      </c>
      <c r="KT56" s="770" t="s">
        <v>655</v>
      </c>
      <c r="KU56" s="766" t="s">
        <v>662</v>
      </c>
      <c r="KV56" s="750">
        <v>755523</v>
      </c>
      <c r="KW56" s="771" t="s">
        <v>657</v>
      </c>
      <c r="KX56" s="750" t="s">
        <v>658</v>
      </c>
      <c r="KY56" s="769" t="s">
        <v>659</v>
      </c>
      <c r="KZ56" s="770" t="s">
        <v>655</v>
      </c>
    </row>
    <row r="57" s="628" customFormat="1" customHeight="1" spans="1:312">
      <c r="A57" s="682" t="s">
        <v>374</v>
      </c>
      <c r="B57" s="683">
        <v>53</v>
      </c>
      <c r="C57" s="684" t="s">
        <v>663</v>
      </c>
      <c r="D57" s="679">
        <v>734511</v>
      </c>
      <c r="E57" s="685">
        <v>51.05</v>
      </c>
      <c r="F57" s="685">
        <v>50.82</v>
      </c>
      <c r="G57" s="686">
        <v>0.014377</v>
      </c>
      <c r="H57" s="686">
        <v>0.014511</v>
      </c>
      <c r="I57" s="699">
        <v>1.69388</v>
      </c>
      <c r="J57" s="699">
        <v>1.70113</v>
      </c>
      <c r="K57" s="699">
        <v>1.70899</v>
      </c>
      <c r="L57" s="699">
        <v>1.71588</v>
      </c>
      <c r="M57" s="699">
        <v>1.71711</v>
      </c>
      <c r="N57" s="699">
        <v>1.71813</v>
      </c>
      <c r="O57" s="699">
        <v>1.72204</v>
      </c>
      <c r="P57" s="699">
        <v>1.72471</v>
      </c>
      <c r="Q57" s="697">
        <v>1.72718</v>
      </c>
      <c r="R57" s="697">
        <v>1.72965</v>
      </c>
      <c r="S57" s="697">
        <v>1.73034</v>
      </c>
      <c r="T57" s="701">
        <v>1.73099</v>
      </c>
      <c r="U57" s="697">
        <v>1.73387</v>
      </c>
      <c r="V57" s="697">
        <v>1.734</v>
      </c>
      <c r="W57" s="697">
        <v>1.73742</v>
      </c>
      <c r="X57" s="697">
        <v>1.74403</v>
      </c>
      <c r="Y57" s="697">
        <v>1.74485</v>
      </c>
      <c r="Z57" s="697">
        <v>1.75189</v>
      </c>
      <c r="AA57" s="697">
        <v>1.75842</v>
      </c>
      <c r="AB57" s="697">
        <v>1.76975</v>
      </c>
      <c r="AC57" s="704">
        <v>2.94765208</v>
      </c>
      <c r="AD57" s="705">
        <v>-0.0151684002</v>
      </c>
      <c r="AE57" s="705">
        <v>0.0192673146</v>
      </c>
      <c r="AF57" s="705">
        <v>0.00138888212</v>
      </c>
      <c r="AG57" s="705">
        <v>-0.000155407755</v>
      </c>
      <c r="AH57" s="705">
        <v>9.21281201e-6</v>
      </c>
      <c r="AI57" s="709">
        <v>0.3026</v>
      </c>
      <c r="AJ57" s="709">
        <v>0.2379</v>
      </c>
      <c r="AK57" s="709">
        <v>0.5467</v>
      </c>
      <c r="AL57" s="709">
        <v>0.2522</v>
      </c>
      <c r="AM57" s="709">
        <v>0.2357</v>
      </c>
      <c r="AN57" s="709">
        <v>0.4851</v>
      </c>
      <c r="AO57" s="709">
        <v>-0.0023</v>
      </c>
      <c r="AP57" s="709">
        <v>-0.0121</v>
      </c>
      <c r="AQ57" s="709">
        <v>0.0138</v>
      </c>
      <c r="AR57" s="709">
        <v>0.0064</v>
      </c>
      <c r="AS57" s="714">
        <v>6</v>
      </c>
      <c r="AT57" s="714">
        <v>6.1</v>
      </c>
      <c r="AU57" s="714">
        <v>6.1</v>
      </c>
      <c r="AV57" s="714">
        <v>6.1</v>
      </c>
      <c r="AW57" s="714">
        <v>6.2</v>
      </c>
      <c r="AX57" s="714">
        <v>6.2</v>
      </c>
      <c r="AY57" s="714">
        <v>6.5</v>
      </c>
      <c r="AZ57" s="714">
        <v>6.5</v>
      </c>
      <c r="BA57" s="714">
        <v>6.7</v>
      </c>
      <c r="BB57" s="714">
        <v>6.9</v>
      </c>
      <c r="BC57" s="714">
        <v>7</v>
      </c>
      <c r="BD57" s="714">
        <v>6.4</v>
      </c>
      <c r="BE57" s="714">
        <v>6.4</v>
      </c>
      <c r="BF57" s="714">
        <v>6.5</v>
      </c>
      <c r="BG57" s="714">
        <v>6.5</v>
      </c>
      <c r="BH57" s="714">
        <v>6.6</v>
      </c>
      <c r="BI57" s="714">
        <v>6.7</v>
      </c>
      <c r="BJ57" s="714">
        <v>6.9</v>
      </c>
      <c r="BK57" s="714">
        <v>7</v>
      </c>
      <c r="BL57" s="714">
        <v>7.2</v>
      </c>
      <c r="BM57" s="714">
        <v>7.3</v>
      </c>
      <c r="BN57" s="714">
        <v>7.4</v>
      </c>
      <c r="BO57" s="714">
        <v>6.6</v>
      </c>
      <c r="BP57" s="714">
        <v>6.6</v>
      </c>
      <c r="BQ57" s="714">
        <v>6.7</v>
      </c>
      <c r="BR57" s="714">
        <v>6.7</v>
      </c>
      <c r="BS57" s="714">
        <v>6.8</v>
      </c>
      <c r="BT57" s="714">
        <v>6.9</v>
      </c>
      <c r="BU57" s="714">
        <v>7</v>
      </c>
      <c r="BV57" s="714">
        <v>7.2</v>
      </c>
      <c r="BW57" s="714">
        <v>7.4</v>
      </c>
      <c r="BX57" s="714">
        <v>7.5</v>
      </c>
      <c r="BY57" s="714">
        <v>7.7</v>
      </c>
      <c r="BZ57" s="714">
        <v>6.6</v>
      </c>
      <c r="CA57" s="714">
        <v>6.6</v>
      </c>
      <c r="CB57" s="714">
        <v>6.7</v>
      </c>
      <c r="CC57" s="714">
        <v>6.7</v>
      </c>
      <c r="CD57" s="714">
        <v>6.8</v>
      </c>
      <c r="CE57" s="714">
        <v>7</v>
      </c>
      <c r="CF57" s="714">
        <v>7.1</v>
      </c>
      <c r="CG57" s="714">
        <v>7.3</v>
      </c>
      <c r="CH57" s="714">
        <v>7.5</v>
      </c>
      <c r="CI57" s="714">
        <v>7.6</v>
      </c>
      <c r="CJ57" s="714">
        <v>7.7</v>
      </c>
      <c r="CK57" s="714">
        <v>6.7</v>
      </c>
      <c r="CL57" s="715">
        <v>6.7</v>
      </c>
      <c r="CM57" s="715">
        <v>6.8</v>
      </c>
      <c r="CN57" s="715">
        <v>6.8</v>
      </c>
      <c r="CO57" s="715">
        <v>6.9</v>
      </c>
      <c r="CP57" s="715">
        <v>7</v>
      </c>
      <c r="CQ57" s="715">
        <v>7.1</v>
      </c>
      <c r="CR57" s="714">
        <v>7.3</v>
      </c>
      <c r="CS57" s="714">
        <v>7.5</v>
      </c>
      <c r="CT57" s="714">
        <v>7.6</v>
      </c>
      <c r="CU57" s="714">
        <v>7.8</v>
      </c>
      <c r="CV57" s="714">
        <v>6.9</v>
      </c>
      <c r="CW57" s="715">
        <v>6.9</v>
      </c>
      <c r="CX57" s="715">
        <v>7</v>
      </c>
      <c r="CY57" s="715">
        <v>7</v>
      </c>
      <c r="CZ57" s="715">
        <v>7.2</v>
      </c>
      <c r="DA57" s="715">
        <v>7.2</v>
      </c>
      <c r="DB57" s="715">
        <v>7.4</v>
      </c>
      <c r="DC57" s="714">
        <v>7.6</v>
      </c>
      <c r="DD57" s="714">
        <v>7.6</v>
      </c>
      <c r="DE57" s="714">
        <v>8.1</v>
      </c>
      <c r="DF57" s="714">
        <v>8.1</v>
      </c>
      <c r="DG57" s="714">
        <v>7</v>
      </c>
      <c r="DH57" s="715">
        <v>7</v>
      </c>
      <c r="DI57" s="715">
        <v>7.1</v>
      </c>
      <c r="DJ57" s="715">
        <v>7.2</v>
      </c>
      <c r="DK57" s="715">
        <v>7.2</v>
      </c>
      <c r="DL57" s="715">
        <v>7.5</v>
      </c>
      <c r="DM57" s="715">
        <v>7.5</v>
      </c>
      <c r="DN57" s="714">
        <v>7.6</v>
      </c>
      <c r="DO57" s="714">
        <v>7.6</v>
      </c>
      <c r="DP57" s="714">
        <v>8.1</v>
      </c>
      <c r="DQ57" s="714">
        <v>8.1</v>
      </c>
      <c r="DR57" s="714">
        <v>7.5</v>
      </c>
      <c r="DS57" s="715">
        <v>7.5</v>
      </c>
      <c r="DT57" s="715">
        <v>7.6</v>
      </c>
      <c r="DU57" s="715">
        <v>7.7</v>
      </c>
      <c r="DV57" s="715">
        <v>7.8</v>
      </c>
      <c r="DW57" s="715">
        <v>8</v>
      </c>
      <c r="DX57" s="715">
        <v>8.1</v>
      </c>
      <c r="DY57" s="714">
        <v>8.3</v>
      </c>
      <c r="DZ57" s="714">
        <v>8.5</v>
      </c>
      <c r="EA57" s="714">
        <v>8.6</v>
      </c>
      <c r="EB57" s="714">
        <v>8.8</v>
      </c>
      <c r="EC57" s="714">
        <v>7.6</v>
      </c>
      <c r="ED57" s="715">
        <v>7.6</v>
      </c>
      <c r="EE57" s="715">
        <v>7.7</v>
      </c>
      <c r="EF57" s="715">
        <v>7.7</v>
      </c>
      <c r="EG57" s="715">
        <v>7.8</v>
      </c>
      <c r="EH57" s="715">
        <v>8</v>
      </c>
      <c r="EI57" s="715">
        <v>8.1</v>
      </c>
      <c r="EJ57" s="714">
        <v>8.4</v>
      </c>
      <c r="EK57" s="714">
        <v>8.6</v>
      </c>
      <c r="EL57" s="714">
        <v>8.7</v>
      </c>
      <c r="EM57" s="714">
        <v>8.9</v>
      </c>
      <c r="EN57" s="714">
        <v>7.8</v>
      </c>
      <c r="EO57" s="715">
        <v>8</v>
      </c>
      <c r="EP57" s="715">
        <v>8.2</v>
      </c>
      <c r="EQ57" s="715">
        <v>8.2</v>
      </c>
      <c r="ER57" s="715">
        <v>8.2</v>
      </c>
      <c r="ES57" s="715">
        <v>8.6</v>
      </c>
      <c r="ET57" s="715">
        <v>8.6</v>
      </c>
      <c r="EU57" s="714">
        <v>8.9</v>
      </c>
      <c r="EV57" s="714">
        <v>9.2</v>
      </c>
      <c r="EW57" s="714">
        <v>9.4</v>
      </c>
      <c r="EX57" s="714">
        <v>9.7</v>
      </c>
      <c r="EY57" s="714">
        <v>3.9</v>
      </c>
      <c r="EZ57" s="715">
        <v>4.4</v>
      </c>
      <c r="FA57" s="715">
        <v>4.8</v>
      </c>
      <c r="FB57" s="715">
        <v>5.1</v>
      </c>
      <c r="FC57" s="715">
        <v>5.4</v>
      </c>
      <c r="FD57" s="715">
        <v>5.7</v>
      </c>
      <c r="FE57" s="715">
        <v>5.9</v>
      </c>
      <c r="FF57" s="714">
        <v>6.3</v>
      </c>
      <c r="FG57" s="714">
        <v>6.6</v>
      </c>
      <c r="FH57" s="714">
        <v>6.8</v>
      </c>
      <c r="FI57" s="714">
        <v>7</v>
      </c>
      <c r="FJ57" s="723">
        <v>7.73e-6</v>
      </c>
      <c r="FK57" s="723">
        <v>1.34e-8</v>
      </c>
      <c r="FL57" s="723">
        <v>-1.4e-11</v>
      </c>
      <c r="FM57" s="723">
        <v>4.76e-7</v>
      </c>
      <c r="FN57" s="723">
        <v>3.95e-10</v>
      </c>
      <c r="FO57" s="723">
        <v>0.232</v>
      </c>
      <c r="FP57" s="729">
        <v>1</v>
      </c>
      <c r="FQ57" s="729">
        <v>2</v>
      </c>
      <c r="FR57" s="729">
        <v>1</v>
      </c>
      <c r="FS57" s="729">
        <v>3</v>
      </c>
      <c r="FT57" s="729">
        <v>1</v>
      </c>
      <c r="FU57" s="729">
        <v>2</v>
      </c>
      <c r="FV57" s="681">
        <v>1</v>
      </c>
      <c r="FW57" s="729"/>
      <c r="FX57" s="729"/>
      <c r="FY57" s="729"/>
      <c r="FZ57" s="743">
        <v>636</v>
      </c>
      <c r="GA57" s="743">
        <v>665</v>
      </c>
      <c r="GB57" s="681">
        <v>575</v>
      </c>
      <c r="GC57" s="681">
        <v>618</v>
      </c>
      <c r="GD57" s="747">
        <v>0.96</v>
      </c>
      <c r="GE57" s="729"/>
      <c r="GF57" s="681">
        <v>51</v>
      </c>
      <c r="GG57" s="681">
        <v>67</v>
      </c>
      <c r="GH57" s="681">
        <v>44</v>
      </c>
      <c r="GI57" s="681">
        <v>47</v>
      </c>
      <c r="GJ57" s="681">
        <v>48</v>
      </c>
      <c r="GK57" s="681">
        <v>49</v>
      </c>
      <c r="GL57" s="681">
        <v>50</v>
      </c>
      <c r="GM57" s="681">
        <v>51</v>
      </c>
      <c r="GN57" s="681">
        <v>51</v>
      </c>
      <c r="GO57" s="681">
        <v>52</v>
      </c>
      <c r="GP57" s="681">
        <v>52</v>
      </c>
      <c r="GQ57" s="681">
        <v>53</v>
      </c>
      <c r="GR57" s="681">
        <v>53</v>
      </c>
      <c r="GS57" s="681">
        <v>54</v>
      </c>
      <c r="GT57" s="681">
        <v>54</v>
      </c>
      <c r="GU57" s="681">
        <v>55</v>
      </c>
      <c r="GV57" s="681">
        <v>55</v>
      </c>
      <c r="GW57" s="681">
        <v>56</v>
      </c>
      <c r="GX57" s="681">
        <v>57</v>
      </c>
      <c r="GY57" s="681">
        <v>58</v>
      </c>
      <c r="GZ57" s="681">
        <v>59</v>
      </c>
      <c r="HA57" s="681">
        <v>60</v>
      </c>
      <c r="HB57" s="681">
        <v>61</v>
      </c>
      <c r="HC57" s="681"/>
      <c r="HD57" s="750">
        <v>155</v>
      </c>
      <c r="HE57" s="681"/>
      <c r="HF57" s="681">
        <v>698</v>
      </c>
      <c r="HG57" s="681">
        <v>80</v>
      </c>
      <c r="HH57" s="714">
        <v>112.3</v>
      </c>
      <c r="HI57" s="714">
        <v>43.5</v>
      </c>
      <c r="HJ57" s="753">
        <v>0.291</v>
      </c>
      <c r="HK57" s="681">
        <v>85</v>
      </c>
      <c r="HL57" s="685">
        <v>1.81</v>
      </c>
      <c r="HM57" s="747">
        <v>4.07</v>
      </c>
      <c r="HN57" s="729" t="s">
        <v>291</v>
      </c>
      <c r="HO57" s="729" t="s">
        <v>664</v>
      </c>
      <c r="HP57" s="714">
        <v>-0.7</v>
      </c>
      <c r="HQ57" s="753">
        <v>0.786</v>
      </c>
      <c r="HR57" s="753">
        <v>0.922</v>
      </c>
      <c r="HS57" s="753">
        <v>0.987</v>
      </c>
      <c r="HT57" s="753">
        <v>0.999</v>
      </c>
      <c r="HU57" s="753">
        <v>0.999</v>
      </c>
      <c r="HV57" s="753">
        <v>0.999</v>
      </c>
      <c r="HW57" s="753">
        <v>0.999</v>
      </c>
      <c r="HX57" s="753">
        <v>0.999</v>
      </c>
      <c r="HY57" s="753">
        <v>0.999</v>
      </c>
      <c r="HZ57" s="753">
        <v>0.999</v>
      </c>
      <c r="IA57" s="753">
        <v>0.999</v>
      </c>
      <c r="IB57" s="753">
        <v>0.999</v>
      </c>
      <c r="IC57" s="753">
        <v>0.999</v>
      </c>
      <c r="ID57" s="753">
        <v>0.999</v>
      </c>
      <c r="IE57" s="753">
        <v>0.999</v>
      </c>
      <c r="IF57" s="753">
        <v>0.999</v>
      </c>
      <c r="IG57" s="753">
        <v>0.999</v>
      </c>
      <c r="IH57" s="753">
        <v>0.999</v>
      </c>
      <c r="II57" s="753">
        <v>0.999</v>
      </c>
      <c r="IJ57" s="753">
        <v>0.999</v>
      </c>
      <c r="IK57" s="753">
        <v>0.998</v>
      </c>
      <c r="IL57" s="753">
        <v>0.997</v>
      </c>
      <c r="IM57" s="753">
        <v>0.995</v>
      </c>
      <c r="IN57" s="753">
        <v>0.992</v>
      </c>
      <c r="IO57" s="753">
        <v>0.989</v>
      </c>
      <c r="IP57" s="753">
        <v>0.983</v>
      </c>
      <c r="IQ57" s="753">
        <v>0.973</v>
      </c>
      <c r="IR57" s="753">
        <v>0.954</v>
      </c>
      <c r="IS57" s="753">
        <v>0.926</v>
      </c>
      <c r="IT57" s="753">
        <v>0.885</v>
      </c>
      <c r="IU57" s="753">
        <v>0.823</v>
      </c>
      <c r="IV57" s="753">
        <v>0.735</v>
      </c>
      <c r="IW57" s="753">
        <v>0.595</v>
      </c>
      <c r="IX57" s="753">
        <v>0.385</v>
      </c>
      <c r="IY57" s="753"/>
      <c r="IZ57" s="753"/>
      <c r="JA57" s="753">
        <v>0.618</v>
      </c>
      <c r="JB57" s="753">
        <v>0.85</v>
      </c>
      <c r="JC57" s="753">
        <v>0.974</v>
      </c>
      <c r="JD57" s="753">
        <v>0.998</v>
      </c>
      <c r="JE57" s="753">
        <v>0.998</v>
      </c>
      <c r="JF57" s="753">
        <v>0.998</v>
      </c>
      <c r="JG57" s="753">
        <v>0.998</v>
      </c>
      <c r="JH57" s="753">
        <v>0.998</v>
      </c>
      <c r="JI57" s="753">
        <v>0.998</v>
      </c>
      <c r="JJ57" s="753">
        <v>0.998</v>
      </c>
      <c r="JK57" s="753">
        <v>0.998</v>
      </c>
      <c r="JL57" s="753">
        <v>0.998</v>
      </c>
      <c r="JM57" s="753">
        <v>0.998</v>
      </c>
      <c r="JN57" s="753">
        <v>0.998</v>
      </c>
      <c r="JO57" s="753">
        <v>0.998</v>
      </c>
      <c r="JP57" s="753">
        <v>0.998</v>
      </c>
      <c r="JQ57" s="753">
        <v>0.998</v>
      </c>
      <c r="JR57" s="753">
        <v>0.998</v>
      </c>
      <c r="JS57" s="753">
        <v>0.998</v>
      </c>
      <c r="JT57" s="753">
        <v>0.998</v>
      </c>
      <c r="JU57" s="753">
        <v>0.996</v>
      </c>
      <c r="JV57" s="753">
        <v>0.994</v>
      </c>
      <c r="JW57" s="753">
        <v>0.989</v>
      </c>
      <c r="JX57" s="753">
        <v>0.984</v>
      </c>
      <c r="JY57" s="753">
        <v>0.977</v>
      </c>
      <c r="JZ57" s="753">
        <v>0.966</v>
      </c>
      <c r="KA57" s="753">
        <v>0.947</v>
      </c>
      <c r="KB57" s="753">
        <v>0.912</v>
      </c>
      <c r="KC57" s="753">
        <v>0.859</v>
      </c>
      <c r="KD57" s="753">
        <v>0.782</v>
      </c>
      <c r="KE57" s="753">
        <v>0.677</v>
      </c>
      <c r="KF57" s="753">
        <v>0.54</v>
      </c>
      <c r="KG57" s="753">
        <v>0.352</v>
      </c>
      <c r="KH57" s="753">
        <v>0.148</v>
      </c>
      <c r="KI57" s="753"/>
      <c r="KJ57" s="753"/>
      <c r="KK57" s="765" t="s">
        <v>281</v>
      </c>
      <c r="KL57" s="738">
        <v>60</v>
      </c>
      <c r="KM57" s="738">
        <v>244</v>
      </c>
      <c r="KN57" s="646" t="s">
        <v>303</v>
      </c>
      <c r="KO57" s="646" t="s">
        <v>663</v>
      </c>
      <c r="KP57" s="679">
        <v>734511</v>
      </c>
      <c r="KQ57" s="766" t="s">
        <v>665</v>
      </c>
      <c r="KR57" s="750" t="s">
        <v>666</v>
      </c>
      <c r="KS57" s="769" t="s">
        <v>663</v>
      </c>
      <c r="KT57" s="770" t="s">
        <v>666</v>
      </c>
      <c r="KU57" s="766" t="s">
        <v>667</v>
      </c>
      <c r="KV57" s="750">
        <v>734511</v>
      </c>
      <c r="KW57" s="771"/>
      <c r="KX57" s="750"/>
      <c r="KY57" s="769"/>
      <c r="KZ57" s="770"/>
    </row>
    <row r="58" s="628" customFormat="1" customHeight="1" spans="1:312">
      <c r="A58" s="682" t="s">
        <v>374</v>
      </c>
      <c r="B58" s="683">
        <v>54</v>
      </c>
      <c r="C58" s="689" t="s">
        <v>668</v>
      </c>
      <c r="D58" s="680">
        <v>741527</v>
      </c>
      <c r="E58" s="685">
        <v>52.7</v>
      </c>
      <c r="F58" s="685">
        <v>52.41</v>
      </c>
      <c r="G58" s="686">
        <v>0.01406</v>
      </c>
      <c r="H58" s="686">
        <v>0.014203</v>
      </c>
      <c r="I58" s="696">
        <v>1.70124</v>
      </c>
      <c r="J58" s="696">
        <v>1.70844</v>
      </c>
      <c r="K58" s="696">
        <v>1.71627</v>
      </c>
      <c r="L58" s="696">
        <v>1.72315</v>
      </c>
      <c r="M58" s="696">
        <v>1.72438</v>
      </c>
      <c r="N58" s="696">
        <v>1.7254</v>
      </c>
      <c r="O58" s="696">
        <v>1.72928</v>
      </c>
      <c r="P58" s="696">
        <v>1.73191</v>
      </c>
      <c r="Q58" s="697">
        <v>1.73432</v>
      </c>
      <c r="R58" s="697">
        <v>1.73673</v>
      </c>
      <c r="S58" s="697">
        <v>1.73741</v>
      </c>
      <c r="T58" s="701">
        <v>1.73805</v>
      </c>
      <c r="U58" s="697">
        <v>1.74087</v>
      </c>
      <c r="V58" s="697">
        <v>1.741</v>
      </c>
      <c r="W58" s="697">
        <v>1.74435</v>
      </c>
      <c r="X58" s="697">
        <v>1.75079</v>
      </c>
      <c r="Y58" s="697">
        <v>1.75161</v>
      </c>
      <c r="Z58" s="697">
        <v>1.7585</v>
      </c>
      <c r="AA58" s="697">
        <v>1.76491</v>
      </c>
      <c r="AB58" s="697">
        <v>1.77586</v>
      </c>
      <c r="AC58" s="704">
        <v>2.97212067</v>
      </c>
      <c r="AD58" s="705">
        <v>-0.0151048406</v>
      </c>
      <c r="AE58" s="705">
        <v>0.020288556</v>
      </c>
      <c r="AF58" s="705">
        <v>0.000734194347</v>
      </c>
      <c r="AG58" s="705">
        <v>-3.75051084e-5</v>
      </c>
      <c r="AH58" s="705">
        <v>1.82377017e-6</v>
      </c>
      <c r="AI58" s="709">
        <v>0.3037</v>
      </c>
      <c r="AJ58" s="709">
        <v>0.2383</v>
      </c>
      <c r="AK58" s="709">
        <v>0.5484</v>
      </c>
      <c r="AL58" s="709">
        <v>0.2528</v>
      </c>
      <c r="AM58" s="709">
        <v>0.2359</v>
      </c>
      <c r="AN58" s="709">
        <v>0.4851</v>
      </c>
      <c r="AO58" s="709">
        <v>-0.0031</v>
      </c>
      <c r="AP58" s="709">
        <v>-0.0077</v>
      </c>
      <c r="AQ58" s="709">
        <v>0.0103</v>
      </c>
      <c r="AR58" s="709">
        <v>0.003</v>
      </c>
      <c r="AS58" s="714">
        <v>4.6</v>
      </c>
      <c r="AT58" s="714">
        <v>4.6</v>
      </c>
      <c r="AU58" s="714">
        <v>4.4</v>
      </c>
      <c r="AV58" s="714">
        <v>4.4</v>
      </c>
      <c r="AW58" s="714">
        <v>4.5</v>
      </c>
      <c r="AX58" s="714">
        <v>4.5</v>
      </c>
      <c r="AY58" s="714">
        <v>4.7</v>
      </c>
      <c r="AZ58" s="714">
        <v>4.8</v>
      </c>
      <c r="BA58" s="714">
        <v>4.8</v>
      </c>
      <c r="BB58" s="714">
        <v>5</v>
      </c>
      <c r="BC58" s="714">
        <v>5</v>
      </c>
      <c r="BD58" s="714">
        <v>4.7</v>
      </c>
      <c r="BE58" s="714">
        <v>4.7</v>
      </c>
      <c r="BF58" s="714">
        <v>4.7</v>
      </c>
      <c r="BG58" s="714">
        <v>4.7</v>
      </c>
      <c r="BH58" s="714">
        <v>4.7</v>
      </c>
      <c r="BI58" s="714">
        <v>4.8</v>
      </c>
      <c r="BJ58" s="714">
        <v>5</v>
      </c>
      <c r="BK58" s="714">
        <v>5.1</v>
      </c>
      <c r="BL58" s="714">
        <v>5.2</v>
      </c>
      <c r="BM58" s="714">
        <v>5.3</v>
      </c>
      <c r="BN58" s="714">
        <v>5.4</v>
      </c>
      <c r="BO58" s="714">
        <v>4.9</v>
      </c>
      <c r="BP58" s="714">
        <v>4.8</v>
      </c>
      <c r="BQ58" s="714">
        <v>5</v>
      </c>
      <c r="BR58" s="714">
        <v>5</v>
      </c>
      <c r="BS58" s="714">
        <v>5</v>
      </c>
      <c r="BT58" s="714">
        <v>5.1</v>
      </c>
      <c r="BU58" s="714">
        <v>5.3</v>
      </c>
      <c r="BV58" s="714">
        <v>5.5</v>
      </c>
      <c r="BW58" s="714">
        <v>5.5</v>
      </c>
      <c r="BX58" s="714">
        <v>5.7</v>
      </c>
      <c r="BY58" s="714">
        <v>5.8</v>
      </c>
      <c r="BZ58" s="714">
        <v>4.9</v>
      </c>
      <c r="CA58" s="714">
        <v>4.9</v>
      </c>
      <c r="CB58" s="714">
        <v>5</v>
      </c>
      <c r="CC58" s="714">
        <v>5</v>
      </c>
      <c r="CD58" s="714">
        <v>5</v>
      </c>
      <c r="CE58" s="714">
        <v>5.1</v>
      </c>
      <c r="CF58" s="714">
        <v>5.3</v>
      </c>
      <c r="CG58" s="714">
        <v>5.5</v>
      </c>
      <c r="CH58" s="714">
        <v>5.6</v>
      </c>
      <c r="CI58" s="714">
        <v>5.7</v>
      </c>
      <c r="CJ58" s="714">
        <v>5.8</v>
      </c>
      <c r="CK58" s="714">
        <v>4.9</v>
      </c>
      <c r="CL58" s="714">
        <v>5</v>
      </c>
      <c r="CM58" s="714">
        <v>5</v>
      </c>
      <c r="CN58" s="714">
        <v>5</v>
      </c>
      <c r="CO58" s="714">
        <v>5</v>
      </c>
      <c r="CP58" s="714">
        <v>5.2</v>
      </c>
      <c r="CQ58" s="714">
        <v>5.4</v>
      </c>
      <c r="CR58" s="714">
        <v>5.5</v>
      </c>
      <c r="CS58" s="714">
        <v>5.6</v>
      </c>
      <c r="CT58" s="714">
        <v>5.8</v>
      </c>
      <c r="CU58" s="714">
        <v>5.9</v>
      </c>
      <c r="CV58" s="714">
        <v>5.1</v>
      </c>
      <c r="CW58" s="714">
        <v>5.2</v>
      </c>
      <c r="CX58" s="714">
        <v>5.2</v>
      </c>
      <c r="CY58" s="714">
        <v>5.2</v>
      </c>
      <c r="CZ58" s="714">
        <v>5.2</v>
      </c>
      <c r="DA58" s="714">
        <v>5.3</v>
      </c>
      <c r="DB58" s="714">
        <v>5.5</v>
      </c>
      <c r="DC58" s="714">
        <v>5.7</v>
      </c>
      <c r="DD58" s="714">
        <v>5.7</v>
      </c>
      <c r="DE58" s="714">
        <v>5.9</v>
      </c>
      <c r="DF58" s="714">
        <v>6</v>
      </c>
      <c r="DG58" s="714">
        <v>5.3</v>
      </c>
      <c r="DH58" s="714">
        <v>5.2</v>
      </c>
      <c r="DI58" s="714">
        <v>5.2</v>
      </c>
      <c r="DJ58" s="714">
        <v>5.2</v>
      </c>
      <c r="DK58" s="714">
        <v>5.2</v>
      </c>
      <c r="DL58" s="714">
        <v>5.3</v>
      </c>
      <c r="DM58" s="714">
        <v>5.5</v>
      </c>
      <c r="DN58" s="714">
        <v>5.9</v>
      </c>
      <c r="DO58" s="714">
        <v>6</v>
      </c>
      <c r="DP58" s="714">
        <v>6.2</v>
      </c>
      <c r="DQ58" s="714">
        <v>6.3</v>
      </c>
      <c r="DR58" s="714">
        <v>5.6</v>
      </c>
      <c r="DS58" s="714">
        <v>5.7</v>
      </c>
      <c r="DT58" s="714">
        <v>5.7</v>
      </c>
      <c r="DU58" s="714">
        <v>5.8</v>
      </c>
      <c r="DV58" s="714">
        <v>6</v>
      </c>
      <c r="DW58" s="714">
        <v>6.2</v>
      </c>
      <c r="DX58" s="714">
        <v>6.3</v>
      </c>
      <c r="DY58" s="714">
        <v>6.4</v>
      </c>
      <c r="DZ58" s="714">
        <v>6.5</v>
      </c>
      <c r="EA58" s="714">
        <v>6.6</v>
      </c>
      <c r="EB58" s="714">
        <v>6.7</v>
      </c>
      <c r="EC58" s="714">
        <v>5.7</v>
      </c>
      <c r="ED58" s="714">
        <v>5.8</v>
      </c>
      <c r="EE58" s="714">
        <v>5.7</v>
      </c>
      <c r="EF58" s="714">
        <v>5.8</v>
      </c>
      <c r="EG58" s="714">
        <v>6</v>
      </c>
      <c r="EH58" s="714">
        <v>6.3</v>
      </c>
      <c r="EI58" s="714">
        <v>6.3</v>
      </c>
      <c r="EJ58" s="714">
        <v>6.5</v>
      </c>
      <c r="EK58" s="714">
        <v>6.6</v>
      </c>
      <c r="EL58" s="714">
        <v>6.7</v>
      </c>
      <c r="EM58" s="714">
        <v>6.8</v>
      </c>
      <c r="EN58" s="714">
        <v>6.2</v>
      </c>
      <c r="EO58" s="714">
        <v>6.2</v>
      </c>
      <c r="EP58" s="714">
        <v>6.3</v>
      </c>
      <c r="EQ58" s="714">
        <v>6.3</v>
      </c>
      <c r="ER58" s="714">
        <v>6.4</v>
      </c>
      <c r="ES58" s="714">
        <v>6.5</v>
      </c>
      <c r="ET58" s="714">
        <v>6.8</v>
      </c>
      <c r="EU58" s="714">
        <v>7</v>
      </c>
      <c r="EV58" s="714">
        <v>7.1</v>
      </c>
      <c r="EW58" s="714">
        <v>7.3</v>
      </c>
      <c r="EX58" s="714">
        <v>7.4</v>
      </c>
      <c r="EY58" s="714">
        <v>2.1</v>
      </c>
      <c r="EZ58" s="714">
        <v>2.6</v>
      </c>
      <c r="FA58" s="714">
        <v>3</v>
      </c>
      <c r="FB58" s="714">
        <v>3.3</v>
      </c>
      <c r="FC58" s="714">
        <v>3.5</v>
      </c>
      <c r="FD58" s="714">
        <v>3.9</v>
      </c>
      <c r="FE58" s="714">
        <v>4.2</v>
      </c>
      <c r="FF58" s="714">
        <v>4.4</v>
      </c>
      <c r="FG58" s="714">
        <v>4.7</v>
      </c>
      <c r="FH58" s="714">
        <v>4.9</v>
      </c>
      <c r="FI58" s="714">
        <v>5.1</v>
      </c>
      <c r="FJ58" s="725">
        <v>4.66e-6</v>
      </c>
      <c r="FK58" s="725">
        <v>1.23e-8</v>
      </c>
      <c r="FL58" s="725">
        <v>-1.52e-11</v>
      </c>
      <c r="FM58" s="725">
        <v>4.36e-7</v>
      </c>
      <c r="FN58" s="725">
        <v>4.14e-10</v>
      </c>
      <c r="FO58" s="725">
        <v>0.238</v>
      </c>
      <c r="FP58" s="729">
        <v>1</v>
      </c>
      <c r="FQ58" s="729">
        <v>2</v>
      </c>
      <c r="FR58" s="729">
        <v>1</v>
      </c>
      <c r="FS58" s="729">
        <v>3</v>
      </c>
      <c r="FT58" s="729">
        <v>1</v>
      </c>
      <c r="FU58" s="729">
        <v>2</v>
      </c>
      <c r="FV58" s="681">
        <v>2</v>
      </c>
      <c r="FW58" s="729"/>
      <c r="FX58" s="729"/>
      <c r="FY58" s="729"/>
      <c r="FZ58" s="743">
        <v>668</v>
      </c>
      <c r="GA58" s="743">
        <v>693</v>
      </c>
      <c r="GB58" s="681">
        <v>601</v>
      </c>
      <c r="GC58" s="681">
        <v>635</v>
      </c>
      <c r="GD58" s="747">
        <v>0.96</v>
      </c>
      <c r="GE58" s="729"/>
      <c r="GF58" s="681">
        <v>56</v>
      </c>
      <c r="GG58" s="681">
        <v>71</v>
      </c>
      <c r="GH58" s="681">
        <v>49</v>
      </c>
      <c r="GI58" s="681">
        <v>51</v>
      </c>
      <c r="GJ58" s="681">
        <v>52</v>
      </c>
      <c r="GK58" s="681">
        <v>53</v>
      </c>
      <c r="GL58" s="681">
        <v>54</v>
      </c>
      <c r="GM58" s="681">
        <v>55</v>
      </c>
      <c r="GN58" s="681">
        <v>56</v>
      </c>
      <c r="GO58" s="681">
        <v>57</v>
      </c>
      <c r="GP58" s="681">
        <v>57</v>
      </c>
      <c r="GQ58" s="681">
        <v>58</v>
      </c>
      <c r="GR58" s="681">
        <v>58</v>
      </c>
      <c r="GS58" s="681">
        <v>59</v>
      </c>
      <c r="GT58" s="681">
        <v>59</v>
      </c>
      <c r="GU58" s="681">
        <v>60</v>
      </c>
      <c r="GV58" s="681">
        <v>61</v>
      </c>
      <c r="GW58" s="681">
        <v>61</v>
      </c>
      <c r="GX58" s="681">
        <v>62</v>
      </c>
      <c r="GY58" s="681">
        <v>63</v>
      </c>
      <c r="GZ58" s="681">
        <v>64</v>
      </c>
      <c r="HA58" s="681">
        <v>65</v>
      </c>
      <c r="HB58" s="681">
        <v>66</v>
      </c>
      <c r="HC58" s="681"/>
      <c r="HD58" s="750">
        <v>145</v>
      </c>
      <c r="HE58" s="681"/>
      <c r="HF58" s="681">
        <v>706</v>
      </c>
      <c r="HG58" s="681">
        <v>67</v>
      </c>
      <c r="HH58" s="714">
        <v>119.9</v>
      </c>
      <c r="HI58" s="714">
        <v>45.2</v>
      </c>
      <c r="HJ58" s="753">
        <v>0.327</v>
      </c>
      <c r="HK58" s="681">
        <v>81</v>
      </c>
      <c r="HL58" s="685">
        <v>1.49</v>
      </c>
      <c r="HM58" s="747">
        <v>4.1</v>
      </c>
      <c r="HN58" s="729" t="s">
        <v>565</v>
      </c>
      <c r="HO58" s="729" t="s">
        <v>669</v>
      </c>
      <c r="HP58" s="714">
        <v>-4.1</v>
      </c>
      <c r="HQ58" s="754">
        <v>0.783</v>
      </c>
      <c r="HR58" s="754">
        <v>0.93</v>
      </c>
      <c r="HS58" s="754">
        <v>0.986</v>
      </c>
      <c r="HT58" s="754">
        <v>0.999</v>
      </c>
      <c r="HU58" s="754">
        <v>0.999</v>
      </c>
      <c r="HV58" s="754">
        <v>0.999</v>
      </c>
      <c r="HW58" s="754">
        <v>0.999</v>
      </c>
      <c r="HX58" s="754">
        <v>0.999</v>
      </c>
      <c r="HY58" s="754">
        <v>0.999</v>
      </c>
      <c r="HZ58" s="754">
        <v>0.999</v>
      </c>
      <c r="IA58" s="754">
        <v>0.999</v>
      </c>
      <c r="IB58" s="754">
        <v>0.999</v>
      </c>
      <c r="IC58" s="754">
        <v>0.999</v>
      </c>
      <c r="ID58" s="754">
        <v>0.999</v>
      </c>
      <c r="IE58" s="754">
        <v>0.999</v>
      </c>
      <c r="IF58" s="754">
        <v>0.999</v>
      </c>
      <c r="IG58" s="754">
        <v>0.999</v>
      </c>
      <c r="IH58" s="754">
        <v>0.999</v>
      </c>
      <c r="II58" s="754">
        <v>0.999</v>
      </c>
      <c r="IJ58" s="754">
        <v>0.999</v>
      </c>
      <c r="IK58" s="754">
        <v>0.999</v>
      </c>
      <c r="IL58" s="754">
        <v>0.999</v>
      </c>
      <c r="IM58" s="754">
        <v>0.999</v>
      </c>
      <c r="IN58" s="754">
        <v>0.997</v>
      </c>
      <c r="IO58" s="754">
        <v>0.995</v>
      </c>
      <c r="IP58" s="754">
        <v>0.99</v>
      </c>
      <c r="IQ58" s="754">
        <v>0.983</v>
      </c>
      <c r="IR58" s="754">
        <v>0.969</v>
      </c>
      <c r="IS58" s="754">
        <v>0.948</v>
      </c>
      <c r="IT58" s="754">
        <v>0.914</v>
      </c>
      <c r="IU58" s="754">
        <v>0.866</v>
      </c>
      <c r="IV58" s="754">
        <v>0.804</v>
      </c>
      <c r="IW58" s="754">
        <v>0.728</v>
      </c>
      <c r="IX58" s="754">
        <v>0.644</v>
      </c>
      <c r="IY58" s="754">
        <v>0.551</v>
      </c>
      <c r="IZ58" s="754">
        <v>0.444</v>
      </c>
      <c r="JA58" s="753">
        <v>0.613</v>
      </c>
      <c r="JB58" s="753">
        <v>0.865</v>
      </c>
      <c r="JC58" s="753">
        <v>0.972</v>
      </c>
      <c r="JD58" s="753">
        <v>0.998</v>
      </c>
      <c r="JE58" s="753">
        <v>0.998</v>
      </c>
      <c r="JF58" s="753">
        <v>0.998</v>
      </c>
      <c r="JG58" s="753">
        <v>0.998</v>
      </c>
      <c r="JH58" s="753">
        <v>0.998</v>
      </c>
      <c r="JI58" s="753">
        <v>0.998</v>
      </c>
      <c r="JJ58" s="753">
        <v>0.998</v>
      </c>
      <c r="JK58" s="753">
        <v>0.998</v>
      </c>
      <c r="JL58" s="753">
        <v>0.998</v>
      </c>
      <c r="JM58" s="753">
        <v>0.998</v>
      </c>
      <c r="JN58" s="753">
        <v>0.998</v>
      </c>
      <c r="JO58" s="753">
        <v>0.998</v>
      </c>
      <c r="JP58" s="753">
        <v>0.998</v>
      </c>
      <c r="JQ58" s="753">
        <v>0.998</v>
      </c>
      <c r="JR58" s="753">
        <v>0.998</v>
      </c>
      <c r="JS58" s="753">
        <v>0.998</v>
      </c>
      <c r="JT58" s="753">
        <v>0.998</v>
      </c>
      <c r="JU58" s="753">
        <v>0.998</v>
      </c>
      <c r="JV58" s="753">
        <v>0.998</v>
      </c>
      <c r="JW58" s="753">
        <v>0.998</v>
      </c>
      <c r="JX58" s="753">
        <v>0.993</v>
      </c>
      <c r="JY58" s="753">
        <v>0.988</v>
      </c>
      <c r="JZ58" s="753">
        <v>0.979</v>
      </c>
      <c r="KA58" s="753">
        <v>0.964</v>
      </c>
      <c r="KB58" s="753">
        <v>0.935</v>
      </c>
      <c r="KC58" s="753">
        <v>0.893</v>
      </c>
      <c r="KD58" s="753">
        <v>0.831</v>
      </c>
      <c r="KE58" s="753">
        <v>0.746</v>
      </c>
      <c r="KF58" s="753">
        <v>0.641</v>
      </c>
      <c r="KG58" s="753">
        <v>0.526</v>
      </c>
      <c r="KH58" s="753">
        <v>0.411</v>
      </c>
      <c r="KI58" s="753">
        <v>0.3</v>
      </c>
      <c r="KJ58" s="753">
        <v>0.193</v>
      </c>
      <c r="KK58" s="765" t="s">
        <v>281</v>
      </c>
      <c r="KL58" s="738">
        <v>75</v>
      </c>
      <c r="KM58" s="738">
        <v>308</v>
      </c>
      <c r="KN58" s="646" t="s">
        <v>303</v>
      </c>
      <c r="KO58" s="646" t="s">
        <v>668</v>
      </c>
      <c r="KP58" s="680">
        <v>741527</v>
      </c>
      <c r="KQ58" s="766" t="s">
        <v>670</v>
      </c>
      <c r="KR58" s="750" t="s">
        <v>671</v>
      </c>
      <c r="KS58" s="769" t="s">
        <v>668</v>
      </c>
      <c r="KT58" s="770" t="s">
        <v>672</v>
      </c>
      <c r="KU58" s="766" t="s">
        <v>673</v>
      </c>
      <c r="KV58" s="750">
        <v>741526</v>
      </c>
      <c r="KW58" s="771" t="s">
        <v>674</v>
      </c>
      <c r="KX58" s="750" t="s">
        <v>671</v>
      </c>
      <c r="KY58" s="769"/>
      <c r="KZ58" s="770"/>
    </row>
    <row r="59" s="628" customFormat="1" customHeight="1" spans="1:312">
      <c r="A59" s="682" t="s">
        <v>374</v>
      </c>
      <c r="B59" s="683">
        <v>55</v>
      </c>
      <c r="C59" s="689" t="s">
        <v>675</v>
      </c>
      <c r="D59" s="680">
        <v>678507</v>
      </c>
      <c r="E59" s="685">
        <v>50.72</v>
      </c>
      <c r="F59" s="685">
        <v>50.44</v>
      </c>
      <c r="G59" s="686">
        <v>0.013365</v>
      </c>
      <c r="H59" s="686">
        <v>0.013502</v>
      </c>
      <c r="I59" s="696">
        <v>1.64478</v>
      </c>
      <c r="J59" s="696">
        <v>1.65017</v>
      </c>
      <c r="K59" s="696">
        <v>1.65615</v>
      </c>
      <c r="L59" s="696">
        <v>1.66167</v>
      </c>
      <c r="M59" s="696">
        <v>1.66271</v>
      </c>
      <c r="N59" s="696">
        <v>1.66357</v>
      </c>
      <c r="O59" s="696">
        <v>1.66699</v>
      </c>
      <c r="P59" s="696">
        <v>1.6694</v>
      </c>
      <c r="Q59" s="697">
        <v>1.67162</v>
      </c>
      <c r="R59" s="697">
        <v>1.67388</v>
      </c>
      <c r="S59" s="697">
        <v>1.67452</v>
      </c>
      <c r="T59" s="701">
        <v>1.67511</v>
      </c>
      <c r="U59" s="697">
        <v>1.67778</v>
      </c>
      <c r="V59" s="697">
        <v>1.6779</v>
      </c>
      <c r="W59" s="697">
        <v>1.68108</v>
      </c>
      <c r="X59" s="697">
        <v>1.68724</v>
      </c>
      <c r="Y59" s="697">
        <v>1.68802</v>
      </c>
      <c r="Z59" s="697">
        <v>1.69467</v>
      </c>
      <c r="AA59" s="697">
        <v>1.7009</v>
      </c>
      <c r="AB59" s="697">
        <v>1.71174</v>
      </c>
      <c r="AC59" s="704">
        <v>2.75995716</v>
      </c>
      <c r="AD59" s="704">
        <v>-0.010735382</v>
      </c>
      <c r="AE59" s="704">
        <v>0.0182532687</v>
      </c>
      <c r="AF59" s="704">
        <v>0.000937020441</v>
      </c>
      <c r="AG59" s="704">
        <v>-8.40203685e-5</v>
      </c>
      <c r="AH59" s="704">
        <v>5.44074316e-6</v>
      </c>
      <c r="AI59" s="709">
        <v>0.3008</v>
      </c>
      <c r="AJ59" s="709">
        <v>0.2379</v>
      </c>
      <c r="AK59" s="709">
        <v>0.5559</v>
      </c>
      <c r="AL59" s="709">
        <v>0.2503</v>
      </c>
      <c r="AM59" s="709">
        <v>0.2355</v>
      </c>
      <c r="AN59" s="709">
        <v>0.4925</v>
      </c>
      <c r="AO59" s="709">
        <v>-0.0013</v>
      </c>
      <c r="AP59" s="709">
        <v>-0.0034</v>
      </c>
      <c r="AQ59" s="709">
        <v>-0.0145</v>
      </c>
      <c r="AR59" s="709">
        <v>-0.0066</v>
      </c>
      <c r="AS59" s="714">
        <v>1.6</v>
      </c>
      <c r="AT59" s="714">
        <v>1.5</v>
      </c>
      <c r="AU59" s="714">
        <v>1.5</v>
      </c>
      <c r="AV59" s="714">
        <v>1.6</v>
      </c>
      <c r="AW59" s="714">
        <v>1.6</v>
      </c>
      <c r="AX59" s="714">
        <v>1.7</v>
      </c>
      <c r="AY59" s="714">
        <v>1.7</v>
      </c>
      <c r="AZ59" s="714">
        <v>1.8</v>
      </c>
      <c r="BA59" s="714">
        <v>1.9</v>
      </c>
      <c r="BB59" s="714">
        <v>2</v>
      </c>
      <c r="BC59" s="714">
        <v>2</v>
      </c>
      <c r="BD59" s="714">
        <v>1.8</v>
      </c>
      <c r="BE59" s="714">
        <v>1.8</v>
      </c>
      <c r="BF59" s="714">
        <v>1.8</v>
      </c>
      <c r="BG59" s="714">
        <v>1.9</v>
      </c>
      <c r="BH59" s="714">
        <v>1.8</v>
      </c>
      <c r="BI59" s="714">
        <v>1.9</v>
      </c>
      <c r="BJ59" s="714">
        <v>2</v>
      </c>
      <c r="BK59" s="714">
        <v>2.1</v>
      </c>
      <c r="BL59" s="714">
        <v>2.2</v>
      </c>
      <c r="BM59" s="714">
        <v>2.2</v>
      </c>
      <c r="BN59" s="714">
        <v>2.2</v>
      </c>
      <c r="BO59" s="714">
        <v>2</v>
      </c>
      <c r="BP59" s="714">
        <v>2</v>
      </c>
      <c r="BQ59" s="714">
        <v>1.9</v>
      </c>
      <c r="BR59" s="714">
        <v>2</v>
      </c>
      <c r="BS59" s="714">
        <v>2</v>
      </c>
      <c r="BT59" s="714">
        <v>2</v>
      </c>
      <c r="BU59" s="714">
        <v>2.1</v>
      </c>
      <c r="BV59" s="714">
        <v>2.2</v>
      </c>
      <c r="BW59" s="714">
        <v>2.3</v>
      </c>
      <c r="BX59" s="714">
        <v>2.3</v>
      </c>
      <c r="BY59" s="714">
        <v>2.4</v>
      </c>
      <c r="BZ59" s="714">
        <v>2</v>
      </c>
      <c r="CA59" s="714">
        <v>2</v>
      </c>
      <c r="CB59" s="714">
        <v>2</v>
      </c>
      <c r="CC59" s="714">
        <v>2</v>
      </c>
      <c r="CD59" s="714">
        <v>2</v>
      </c>
      <c r="CE59" s="714">
        <v>2</v>
      </c>
      <c r="CF59" s="714">
        <v>2.1</v>
      </c>
      <c r="CG59" s="714">
        <v>2.2</v>
      </c>
      <c r="CH59" s="714">
        <v>2.3</v>
      </c>
      <c r="CI59" s="714">
        <v>2.4</v>
      </c>
      <c r="CJ59" s="714">
        <v>2.5</v>
      </c>
      <c r="CK59" s="714">
        <v>2.1</v>
      </c>
      <c r="CL59" s="714">
        <v>2.1</v>
      </c>
      <c r="CM59" s="714">
        <v>2</v>
      </c>
      <c r="CN59" s="714">
        <v>2.1</v>
      </c>
      <c r="CO59" s="714">
        <v>2.1</v>
      </c>
      <c r="CP59" s="714">
        <v>2.2</v>
      </c>
      <c r="CQ59" s="714">
        <v>2.3</v>
      </c>
      <c r="CR59" s="714">
        <v>2.3</v>
      </c>
      <c r="CS59" s="714">
        <v>2.4</v>
      </c>
      <c r="CT59" s="714">
        <v>2.5</v>
      </c>
      <c r="CU59" s="714">
        <v>2.6</v>
      </c>
      <c r="CV59" s="714">
        <v>2.2</v>
      </c>
      <c r="CW59" s="714">
        <v>2.2</v>
      </c>
      <c r="CX59" s="714">
        <v>2.2</v>
      </c>
      <c r="CY59" s="714">
        <v>2.2</v>
      </c>
      <c r="CZ59" s="714">
        <v>2.3</v>
      </c>
      <c r="DA59" s="714">
        <v>2.3</v>
      </c>
      <c r="DB59" s="714">
        <v>2.5</v>
      </c>
      <c r="DC59" s="714">
        <v>2.6</v>
      </c>
      <c r="DD59" s="714">
        <v>2.7</v>
      </c>
      <c r="DE59" s="714">
        <v>2.8</v>
      </c>
      <c r="DF59" s="714">
        <v>2.9</v>
      </c>
      <c r="DG59" s="714">
        <v>2.4</v>
      </c>
      <c r="DH59" s="714">
        <v>2.4</v>
      </c>
      <c r="DI59" s="714">
        <v>2.5</v>
      </c>
      <c r="DJ59" s="714">
        <v>2.5</v>
      </c>
      <c r="DK59" s="714">
        <v>2.6</v>
      </c>
      <c r="DL59" s="714">
        <v>2.7</v>
      </c>
      <c r="DM59" s="714">
        <v>2.8</v>
      </c>
      <c r="DN59" s="714">
        <v>2.9</v>
      </c>
      <c r="DO59" s="714">
        <v>3</v>
      </c>
      <c r="DP59" s="714">
        <v>3.2</v>
      </c>
      <c r="DQ59" s="714">
        <v>3.4</v>
      </c>
      <c r="DR59" s="714">
        <v>2.7</v>
      </c>
      <c r="DS59" s="714">
        <v>2.8</v>
      </c>
      <c r="DT59" s="714">
        <v>2.8</v>
      </c>
      <c r="DU59" s="714">
        <v>2.8</v>
      </c>
      <c r="DV59" s="714">
        <v>2.9</v>
      </c>
      <c r="DW59" s="714">
        <v>3</v>
      </c>
      <c r="DX59" s="714">
        <v>3.1</v>
      </c>
      <c r="DY59" s="714">
        <v>3.2</v>
      </c>
      <c r="DZ59" s="714">
        <v>3.3</v>
      </c>
      <c r="EA59" s="714">
        <v>3.4</v>
      </c>
      <c r="EB59" s="714">
        <v>3.6</v>
      </c>
      <c r="EC59" s="714">
        <v>2.7</v>
      </c>
      <c r="ED59" s="714">
        <v>2.8</v>
      </c>
      <c r="EE59" s="714">
        <v>2.9</v>
      </c>
      <c r="EF59" s="714">
        <v>2.9</v>
      </c>
      <c r="EG59" s="714">
        <v>2.9</v>
      </c>
      <c r="EH59" s="714">
        <v>3.1</v>
      </c>
      <c r="EI59" s="714">
        <v>3.2</v>
      </c>
      <c r="EJ59" s="714">
        <v>3.3</v>
      </c>
      <c r="EK59" s="714">
        <v>3.4</v>
      </c>
      <c r="EL59" s="714">
        <v>3.5</v>
      </c>
      <c r="EM59" s="714">
        <v>3.7</v>
      </c>
      <c r="EN59" s="714">
        <v>3.4</v>
      </c>
      <c r="EO59" s="714">
        <v>3.4</v>
      </c>
      <c r="EP59" s="714">
        <v>3.4</v>
      </c>
      <c r="EQ59" s="714">
        <v>3.5</v>
      </c>
      <c r="ER59" s="714">
        <v>3.5</v>
      </c>
      <c r="ES59" s="714">
        <v>3.6</v>
      </c>
      <c r="ET59" s="714">
        <v>3.8</v>
      </c>
      <c r="EU59" s="714">
        <v>3.9</v>
      </c>
      <c r="EV59" s="714">
        <v>4</v>
      </c>
      <c r="EW59" s="714">
        <v>4.1</v>
      </c>
      <c r="EX59" s="714">
        <v>4.2</v>
      </c>
      <c r="EY59" s="714">
        <v>-0.6</v>
      </c>
      <c r="EZ59" s="714">
        <v>-0.2</v>
      </c>
      <c r="FA59" s="714">
        <v>0.1</v>
      </c>
      <c r="FB59" s="714">
        <v>0.4</v>
      </c>
      <c r="FC59" s="714">
        <v>0.6</v>
      </c>
      <c r="FD59" s="714">
        <v>0.9</v>
      </c>
      <c r="FE59" s="714">
        <v>1.2</v>
      </c>
      <c r="FF59" s="714">
        <v>1.3</v>
      </c>
      <c r="FG59" s="714">
        <v>1.5</v>
      </c>
      <c r="FH59" s="714">
        <v>1.7</v>
      </c>
      <c r="FI59" s="714">
        <v>1.9</v>
      </c>
      <c r="FJ59" s="725">
        <v>-3.65e-7</v>
      </c>
      <c r="FK59" s="725">
        <v>1.21e-8</v>
      </c>
      <c r="FL59" s="725">
        <v>-1.66e-11</v>
      </c>
      <c r="FM59" s="725">
        <v>4.42e-7</v>
      </c>
      <c r="FN59" s="725">
        <v>2.98e-10</v>
      </c>
      <c r="FO59" s="725">
        <v>0.27</v>
      </c>
      <c r="FP59" s="729">
        <v>1</v>
      </c>
      <c r="FQ59" s="729">
        <v>3</v>
      </c>
      <c r="FR59" s="729">
        <v>1</v>
      </c>
      <c r="FS59" s="729">
        <v>3</v>
      </c>
      <c r="FT59" s="729">
        <v>2</v>
      </c>
      <c r="FU59" s="729">
        <v>2</v>
      </c>
      <c r="FV59" s="681">
        <v>3</v>
      </c>
      <c r="FW59" s="729"/>
      <c r="FX59" s="729"/>
      <c r="FY59" s="729"/>
      <c r="FZ59" s="743">
        <v>657</v>
      </c>
      <c r="GA59" s="743">
        <v>698</v>
      </c>
      <c r="GB59" s="681">
        <v>594</v>
      </c>
      <c r="GC59" s="681">
        <v>628</v>
      </c>
      <c r="GD59" s="747">
        <v>0.8</v>
      </c>
      <c r="GE59" s="729"/>
      <c r="GF59" s="681">
        <v>74</v>
      </c>
      <c r="GG59" s="681">
        <v>89</v>
      </c>
      <c r="GH59" s="681">
        <v>67</v>
      </c>
      <c r="GI59" s="681">
        <v>69</v>
      </c>
      <c r="GJ59" s="681">
        <v>71</v>
      </c>
      <c r="GK59" s="681">
        <v>72</v>
      </c>
      <c r="GL59" s="681">
        <v>72</v>
      </c>
      <c r="GM59" s="681">
        <v>73</v>
      </c>
      <c r="GN59" s="681">
        <v>74</v>
      </c>
      <c r="GO59" s="681">
        <v>74</v>
      </c>
      <c r="GP59" s="681">
        <v>75</v>
      </c>
      <c r="GQ59" s="681">
        <v>75</v>
      </c>
      <c r="GR59" s="681">
        <v>75</v>
      </c>
      <c r="GS59" s="681">
        <v>75</v>
      </c>
      <c r="GT59" s="681">
        <v>76</v>
      </c>
      <c r="GU59" s="681">
        <v>77</v>
      </c>
      <c r="GV59" s="681">
        <v>78</v>
      </c>
      <c r="GW59" s="681">
        <v>78</v>
      </c>
      <c r="GX59" s="681">
        <v>79</v>
      </c>
      <c r="GY59" s="681">
        <v>80</v>
      </c>
      <c r="GZ59" s="681">
        <v>82</v>
      </c>
      <c r="HA59" s="681">
        <v>82</v>
      </c>
      <c r="HB59" s="681">
        <v>83</v>
      </c>
      <c r="HC59" s="681"/>
      <c r="HD59" s="750">
        <v>130</v>
      </c>
      <c r="HE59" s="681"/>
      <c r="HF59" s="681">
        <v>528</v>
      </c>
      <c r="HG59" s="681">
        <v>175</v>
      </c>
      <c r="HH59" s="714">
        <v>90.6</v>
      </c>
      <c r="HI59" s="714">
        <v>35.2</v>
      </c>
      <c r="HJ59" s="753">
        <v>0.287</v>
      </c>
      <c r="HK59" s="681">
        <v>74</v>
      </c>
      <c r="HL59" s="685">
        <v>1.67</v>
      </c>
      <c r="HM59" s="747">
        <v>3.86</v>
      </c>
      <c r="HN59" s="729" t="s">
        <v>676</v>
      </c>
      <c r="HO59" s="729" t="s">
        <v>677</v>
      </c>
      <c r="HP59" s="714">
        <v>-0.8</v>
      </c>
      <c r="HQ59" s="754">
        <v>0.91</v>
      </c>
      <c r="HR59" s="754">
        <v>0.968</v>
      </c>
      <c r="HS59" s="754">
        <v>0.994</v>
      </c>
      <c r="HT59" s="754">
        <v>0.999</v>
      </c>
      <c r="HU59" s="754">
        <v>0.999</v>
      </c>
      <c r="HV59" s="754">
        <v>0.999</v>
      </c>
      <c r="HW59" s="754">
        <v>0.999</v>
      </c>
      <c r="HX59" s="754">
        <v>0.999</v>
      </c>
      <c r="HY59" s="754">
        <v>0.999</v>
      </c>
      <c r="HZ59" s="754">
        <v>0.999</v>
      </c>
      <c r="IA59" s="754">
        <v>0.999</v>
      </c>
      <c r="IB59" s="754">
        <v>0.999</v>
      </c>
      <c r="IC59" s="754">
        <v>0.999</v>
      </c>
      <c r="ID59" s="754">
        <v>0.999</v>
      </c>
      <c r="IE59" s="754">
        <v>0.999</v>
      </c>
      <c r="IF59" s="754">
        <v>0.999</v>
      </c>
      <c r="IG59" s="754">
        <v>0.998</v>
      </c>
      <c r="IH59" s="754">
        <v>0.997</v>
      </c>
      <c r="II59" s="754">
        <v>0.996</v>
      </c>
      <c r="IJ59" s="754">
        <v>0.995</v>
      </c>
      <c r="IK59" s="754">
        <v>0.993</v>
      </c>
      <c r="IL59" s="754">
        <v>0.991</v>
      </c>
      <c r="IM59" s="754">
        <v>0.989</v>
      </c>
      <c r="IN59" s="754">
        <v>0.986</v>
      </c>
      <c r="IO59" s="754">
        <v>0.977</v>
      </c>
      <c r="IP59" s="754">
        <v>0.967</v>
      </c>
      <c r="IQ59" s="754">
        <v>0.944</v>
      </c>
      <c r="IR59" s="754">
        <v>0.886</v>
      </c>
      <c r="IS59" s="754">
        <v>0.756</v>
      </c>
      <c r="IT59" s="754">
        <v>0.474</v>
      </c>
      <c r="IU59" s="754">
        <v>0.115</v>
      </c>
      <c r="IV59" s="754"/>
      <c r="IW59" s="754"/>
      <c r="IX59" s="754"/>
      <c r="IY59" s="754"/>
      <c r="IZ59" s="754"/>
      <c r="JA59" s="754">
        <v>0.828</v>
      </c>
      <c r="JB59" s="754">
        <v>0.937</v>
      </c>
      <c r="JC59" s="754">
        <v>0.989</v>
      </c>
      <c r="JD59" s="754">
        <v>0.998</v>
      </c>
      <c r="JE59" s="754">
        <v>0.998</v>
      </c>
      <c r="JF59" s="754">
        <v>0.998</v>
      </c>
      <c r="JG59" s="754">
        <v>0.998</v>
      </c>
      <c r="JH59" s="754">
        <v>0.998</v>
      </c>
      <c r="JI59" s="754">
        <v>0.998</v>
      </c>
      <c r="JJ59" s="754">
        <v>0.998</v>
      </c>
      <c r="JK59" s="754">
        <v>0.998</v>
      </c>
      <c r="JL59" s="754">
        <v>0.998</v>
      </c>
      <c r="JM59" s="754">
        <v>0.998</v>
      </c>
      <c r="JN59" s="754">
        <v>0.998</v>
      </c>
      <c r="JO59" s="754">
        <v>0.998</v>
      </c>
      <c r="JP59" s="754">
        <v>0.998</v>
      </c>
      <c r="JQ59" s="754">
        <v>0.996</v>
      </c>
      <c r="JR59" s="754">
        <v>0.993</v>
      </c>
      <c r="JS59" s="754">
        <v>0.99</v>
      </c>
      <c r="JT59" s="754">
        <v>0.987</v>
      </c>
      <c r="JU59" s="754">
        <v>0.984</v>
      </c>
      <c r="JV59" s="754">
        <v>0.981</v>
      </c>
      <c r="JW59" s="754">
        <v>0.976</v>
      </c>
      <c r="JX59" s="754">
        <v>0.966</v>
      </c>
      <c r="JY59" s="754">
        <v>0.954</v>
      </c>
      <c r="JZ59" s="754">
        <v>0.931</v>
      </c>
      <c r="KA59" s="754">
        <v>0.884</v>
      </c>
      <c r="KB59" s="754">
        <v>0.781</v>
      </c>
      <c r="KC59" s="754">
        <v>0.566</v>
      </c>
      <c r="KD59" s="754">
        <v>0.22</v>
      </c>
      <c r="KE59" s="754">
        <v>0.016</v>
      </c>
      <c r="KF59" s="754"/>
      <c r="KG59" s="754"/>
      <c r="KH59" s="754"/>
      <c r="KI59" s="753"/>
      <c r="KJ59" s="753"/>
      <c r="KK59" s="765" t="s">
        <v>281</v>
      </c>
      <c r="KL59" s="738">
        <v>75</v>
      </c>
      <c r="KM59" s="738">
        <v>290</v>
      </c>
      <c r="KN59" s="646" t="s">
        <v>303</v>
      </c>
      <c r="KO59" s="646" t="s">
        <v>675</v>
      </c>
      <c r="KP59" s="680">
        <v>678507</v>
      </c>
      <c r="KQ59" s="766"/>
      <c r="KR59" s="750"/>
      <c r="KS59" s="769"/>
      <c r="KT59" s="770"/>
      <c r="KU59" s="766"/>
      <c r="KV59" s="750"/>
      <c r="KW59" s="771"/>
      <c r="KX59" s="750"/>
      <c r="KY59" s="769"/>
      <c r="KZ59" s="770"/>
    </row>
    <row r="60" s="628" customFormat="1" customHeight="1" spans="1:312">
      <c r="A60" s="682" t="s">
        <v>300</v>
      </c>
      <c r="B60" s="683">
        <v>56</v>
      </c>
      <c r="C60" s="689" t="s">
        <v>678</v>
      </c>
      <c r="D60" s="680">
        <v>775503</v>
      </c>
      <c r="E60" s="685">
        <v>50.32</v>
      </c>
      <c r="F60" s="685">
        <v>50.1</v>
      </c>
      <c r="G60" s="686">
        <v>0.01541</v>
      </c>
      <c r="H60" s="686">
        <v>0.01555</v>
      </c>
      <c r="I60" s="696"/>
      <c r="J60" s="696"/>
      <c r="K60" s="696">
        <v>1.7489</v>
      </c>
      <c r="L60" s="696">
        <v>1.75598</v>
      </c>
      <c r="M60" s="696">
        <v>1.75728</v>
      </c>
      <c r="N60" s="696">
        <v>1.75836</v>
      </c>
      <c r="O60" s="696">
        <v>1.76253</v>
      </c>
      <c r="P60" s="696">
        <v>1.76541</v>
      </c>
      <c r="Q60" s="697">
        <v>1.76805</v>
      </c>
      <c r="R60" s="697">
        <v>1.77069</v>
      </c>
      <c r="S60" s="697">
        <v>1.77144</v>
      </c>
      <c r="T60" s="701">
        <v>1.77213</v>
      </c>
      <c r="U60" s="697">
        <v>1.77522</v>
      </c>
      <c r="V60" s="697">
        <v>1.77536</v>
      </c>
      <c r="W60" s="697">
        <v>1.77902</v>
      </c>
      <c r="X60" s="697">
        <v>1.7861</v>
      </c>
      <c r="Y60" s="697">
        <v>1.78699</v>
      </c>
      <c r="Z60" s="697">
        <v>1.79459</v>
      </c>
      <c r="AA60" s="697">
        <v>1.80168</v>
      </c>
      <c r="AB60" s="697">
        <v>1.81387</v>
      </c>
      <c r="AC60" s="704">
        <v>3.08315587</v>
      </c>
      <c r="AD60" s="704">
        <v>-0.0149460142</v>
      </c>
      <c r="AE60" s="704">
        <v>0.0243300964</v>
      </c>
      <c r="AF60" s="704">
        <v>0.000365640749</v>
      </c>
      <c r="AG60" s="704">
        <v>1.42131183e-5</v>
      </c>
      <c r="AH60" s="704">
        <v>-8.2316085e-8</v>
      </c>
      <c r="AI60" s="709">
        <v>0.303</v>
      </c>
      <c r="AJ60" s="709">
        <v>0.2375</v>
      </c>
      <c r="AK60" s="709">
        <v>0.5509</v>
      </c>
      <c r="AL60" s="709">
        <v>0.2521</v>
      </c>
      <c r="AM60" s="709">
        <v>0.2354</v>
      </c>
      <c r="AN60" s="709">
        <v>0.4887</v>
      </c>
      <c r="AO60" s="709">
        <v>-0.003</v>
      </c>
      <c r="AP60" s="709">
        <v>-0.0091</v>
      </c>
      <c r="AQ60" s="709">
        <v>0.0162</v>
      </c>
      <c r="AR60" s="709">
        <v>0.0084</v>
      </c>
      <c r="AS60" s="714">
        <v>2.9</v>
      </c>
      <c r="AT60" s="714">
        <v>3</v>
      </c>
      <c r="AU60" s="714">
        <v>2.9</v>
      </c>
      <c r="AV60" s="714">
        <v>2.9</v>
      </c>
      <c r="AW60" s="714">
        <v>2.9</v>
      </c>
      <c r="AX60" s="714">
        <v>2.9</v>
      </c>
      <c r="AY60" s="714">
        <v>3.1</v>
      </c>
      <c r="AZ60" s="714">
        <v>3.1</v>
      </c>
      <c r="BA60" s="714">
        <v>3.1</v>
      </c>
      <c r="BB60" s="714">
        <v>3.2</v>
      </c>
      <c r="BC60" s="714">
        <v>3.2</v>
      </c>
      <c r="BD60" s="714">
        <v>3.2</v>
      </c>
      <c r="BE60" s="714">
        <v>3.2</v>
      </c>
      <c r="BF60" s="714">
        <v>3.2</v>
      </c>
      <c r="BG60" s="714">
        <v>3.2</v>
      </c>
      <c r="BH60" s="714">
        <v>3.3</v>
      </c>
      <c r="BI60" s="714">
        <v>3.4</v>
      </c>
      <c r="BJ60" s="714">
        <v>3.6</v>
      </c>
      <c r="BK60" s="714">
        <v>3.7</v>
      </c>
      <c r="BL60" s="714">
        <v>3.7</v>
      </c>
      <c r="BM60" s="714">
        <v>3.7</v>
      </c>
      <c r="BN60" s="714">
        <v>3.8</v>
      </c>
      <c r="BO60" s="714">
        <v>3.2</v>
      </c>
      <c r="BP60" s="714">
        <v>3.4</v>
      </c>
      <c r="BQ60" s="714">
        <v>3.5</v>
      </c>
      <c r="BR60" s="714">
        <v>3.6</v>
      </c>
      <c r="BS60" s="714">
        <v>3.6</v>
      </c>
      <c r="BT60" s="714">
        <v>3.8</v>
      </c>
      <c r="BU60" s="714">
        <v>3.8</v>
      </c>
      <c r="BV60" s="714">
        <v>3.9</v>
      </c>
      <c r="BW60" s="714">
        <v>3.9</v>
      </c>
      <c r="BX60" s="714">
        <v>3.9</v>
      </c>
      <c r="BY60" s="714">
        <v>4</v>
      </c>
      <c r="BZ60" s="714">
        <v>3.3</v>
      </c>
      <c r="CA60" s="714">
        <v>3.5</v>
      </c>
      <c r="CB60" s="714">
        <v>3.6</v>
      </c>
      <c r="CC60" s="714">
        <v>3.7</v>
      </c>
      <c r="CD60" s="714">
        <v>3.7</v>
      </c>
      <c r="CE60" s="714">
        <v>3.8</v>
      </c>
      <c r="CF60" s="714">
        <v>3.8</v>
      </c>
      <c r="CG60" s="714">
        <v>3.9</v>
      </c>
      <c r="CH60" s="714">
        <v>3.9</v>
      </c>
      <c r="CI60" s="714">
        <v>4</v>
      </c>
      <c r="CJ60" s="714">
        <v>4</v>
      </c>
      <c r="CK60" s="714">
        <v>3.4</v>
      </c>
      <c r="CL60" s="714">
        <v>3.6</v>
      </c>
      <c r="CM60" s="714">
        <v>3.7</v>
      </c>
      <c r="CN60" s="714">
        <v>3.8</v>
      </c>
      <c r="CO60" s="714">
        <v>3.8</v>
      </c>
      <c r="CP60" s="714">
        <v>3.9</v>
      </c>
      <c r="CQ60" s="714">
        <v>3.9</v>
      </c>
      <c r="CR60" s="714">
        <v>4</v>
      </c>
      <c r="CS60" s="714">
        <v>4</v>
      </c>
      <c r="CT60" s="714">
        <v>4</v>
      </c>
      <c r="CU60" s="714">
        <v>4.1</v>
      </c>
      <c r="CV60" s="714">
        <v>3.6</v>
      </c>
      <c r="CW60" s="714">
        <v>3.7</v>
      </c>
      <c r="CX60" s="714">
        <v>3.9</v>
      </c>
      <c r="CY60" s="714">
        <v>3.9</v>
      </c>
      <c r="CZ60" s="714">
        <v>3.9</v>
      </c>
      <c r="DA60" s="714">
        <v>4</v>
      </c>
      <c r="DB60" s="714">
        <v>4</v>
      </c>
      <c r="DC60" s="714">
        <v>4.1</v>
      </c>
      <c r="DD60" s="714">
        <v>4.1</v>
      </c>
      <c r="DE60" s="714">
        <v>4.2</v>
      </c>
      <c r="DF60" s="714">
        <v>4.2</v>
      </c>
      <c r="DG60" s="714">
        <v>3.8</v>
      </c>
      <c r="DH60" s="714">
        <v>3.7</v>
      </c>
      <c r="DI60" s="714">
        <v>3.9</v>
      </c>
      <c r="DJ60" s="714">
        <v>4</v>
      </c>
      <c r="DK60" s="714">
        <v>4.2</v>
      </c>
      <c r="DL60" s="714">
        <v>4.2</v>
      </c>
      <c r="DM60" s="714">
        <v>4.2</v>
      </c>
      <c r="DN60" s="714">
        <v>4.3</v>
      </c>
      <c r="DO60" s="714">
        <v>4.4</v>
      </c>
      <c r="DP60" s="714">
        <v>4.5</v>
      </c>
      <c r="DQ60" s="714">
        <v>4.7</v>
      </c>
      <c r="DR60" s="714">
        <v>4</v>
      </c>
      <c r="DS60" s="714">
        <v>4</v>
      </c>
      <c r="DT60" s="714">
        <v>4.1</v>
      </c>
      <c r="DU60" s="714">
        <v>4.1</v>
      </c>
      <c r="DV60" s="714">
        <v>4.2</v>
      </c>
      <c r="DW60" s="714">
        <v>4.3</v>
      </c>
      <c r="DX60" s="714">
        <v>4.4</v>
      </c>
      <c r="DY60" s="714">
        <v>4.5</v>
      </c>
      <c r="DZ60" s="714">
        <v>4.6</v>
      </c>
      <c r="EA60" s="714">
        <v>4.6</v>
      </c>
      <c r="EB60" s="714">
        <v>4.8</v>
      </c>
      <c r="EC60" s="714">
        <v>4.1</v>
      </c>
      <c r="ED60" s="714">
        <v>4.1</v>
      </c>
      <c r="EE60" s="714">
        <v>4.2</v>
      </c>
      <c r="EF60" s="714">
        <v>4.2</v>
      </c>
      <c r="EG60" s="714">
        <v>4.2</v>
      </c>
      <c r="EH60" s="714">
        <v>4.3</v>
      </c>
      <c r="EI60" s="714">
        <v>4.4</v>
      </c>
      <c r="EJ60" s="714">
        <v>4.5</v>
      </c>
      <c r="EK60" s="714">
        <v>4.6</v>
      </c>
      <c r="EL60" s="714">
        <v>4.7</v>
      </c>
      <c r="EM60" s="714">
        <v>4.9</v>
      </c>
      <c r="EN60" s="714">
        <v>4.4</v>
      </c>
      <c r="EO60" s="714">
        <v>4.6</v>
      </c>
      <c r="EP60" s="714">
        <v>4.6</v>
      </c>
      <c r="EQ60" s="714">
        <v>4.8</v>
      </c>
      <c r="ER60" s="714">
        <v>4.9</v>
      </c>
      <c r="ES60" s="714">
        <v>5</v>
      </c>
      <c r="ET60" s="714">
        <v>5.1</v>
      </c>
      <c r="EU60" s="714">
        <v>5.3</v>
      </c>
      <c r="EV60" s="714">
        <v>5.4</v>
      </c>
      <c r="EW60" s="714">
        <v>5.5</v>
      </c>
      <c r="EX60" s="714">
        <v>5.6</v>
      </c>
      <c r="EY60" s="714">
        <v>0.5</v>
      </c>
      <c r="EZ60" s="714">
        <v>1.2</v>
      </c>
      <c r="FA60" s="714">
        <v>1.7</v>
      </c>
      <c r="FB60" s="714">
        <v>2</v>
      </c>
      <c r="FC60" s="714">
        <v>2.3</v>
      </c>
      <c r="FD60" s="714">
        <v>2.5</v>
      </c>
      <c r="FE60" s="714">
        <v>2.7</v>
      </c>
      <c r="FF60" s="714">
        <v>2.9</v>
      </c>
      <c r="FG60" s="714">
        <v>3</v>
      </c>
      <c r="FH60" s="714">
        <v>3.1</v>
      </c>
      <c r="FI60" s="714">
        <v>3.3</v>
      </c>
      <c r="FJ60" s="725">
        <v>1.9e-6</v>
      </c>
      <c r="FK60" s="725">
        <v>1.15e-8</v>
      </c>
      <c r="FL60" s="725">
        <v>-2.57e-11</v>
      </c>
      <c r="FM60" s="725">
        <v>5.5e-7</v>
      </c>
      <c r="FN60" s="725">
        <v>5.84e-10</v>
      </c>
      <c r="FO60" s="725">
        <v>0.0674</v>
      </c>
      <c r="FP60" s="729">
        <v>1</v>
      </c>
      <c r="FQ60" s="729">
        <v>1</v>
      </c>
      <c r="FR60" s="729">
        <v>1</v>
      </c>
      <c r="FS60" s="729">
        <v>3</v>
      </c>
      <c r="FT60" s="729">
        <v>1</v>
      </c>
      <c r="FU60" s="729">
        <v>2</v>
      </c>
      <c r="FV60" s="681">
        <v>1</v>
      </c>
      <c r="FW60" s="729"/>
      <c r="FX60" s="729"/>
      <c r="FY60" s="729"/>
      <c r="FZ60" s="743">
        <v>699</v>
      </c>
      <c r="GA60" s="743">
        <v>714</v>
      </c>
      <c r="GB60" s="681">
        <v>625</v>
      </c>
      <c r="GC60" s="681">
        <v>670</v>
      </c>
      <c r="GD60" s="747">
        <v>1.02</v>
      </c>
      <c r="GE60" s="729"/>
      <c r="GF60" s="681">
        <v>62</v>
      </c>
      <c r="GG60" s="681">
        <v>76</v>
      </c>
      <c r="GH60" s="681">
        <v>52</v>
      </c>
      <c r="GI60" s="681">
        <v>54</v>
      </c>
      <c r="GJ60" s="681">
        <v>56</v>
      </c>
      <c r="GK60" s="681">
        <v>57</v>
      </c>
      <c r="GL60" s="681">
        <v>58</v>
      </c>
      <c r="GM60" s="681">
        <v>58</v>
      </c>
      <c r="GN60" s="681">
        <v>59</v>
      </c>
      <c r="GO60" s="681">
        <v>59</v>
      </c>
      <c r="GP60" s="681">
        <v>60</v>
      </c>
      <c r="GQ60" s="681">
        <v>60</v>
      </c>
      <c r="GR60" s="681">
        <v>61</v>
      </c>
      <c r="GS60" s="681">
        <v>61</v>
      </c>
      <c r="GT60" s="681">
        <v>62</v>
      </c>
      <c r="GU60" s="681">
        <v>63</v>
      </c>
      <c r="GV60" s="681">
        <v>64</v>
      </c>
      <c r="GW60" s="681">
        <v>65</v>
      </c>
      <c r="GX60" s="681">
        <v>66</v>
      </c>
      <c r="GY60" s="681">
        <v>67</v>
      </c>
      <c r="GZ60" s="681">
        <v>68</v>
      </c>
      <c r="HA60" s="681">
        <v>69</v>
      </c>
      <c r="HB60" s="681">
        <v>70</v>
      </c>
      <c r="HC60" s="681"/>
      <c r="HD60" s="681">
        <v>135</v>
      </c>
      <c r="HE60" s="681"/>
      <c r="HF60" s="681">
        <v>728</v>
      </c>
      <c r="HG60" s="681">
        <v>115</v>
      </c>
      <c r="HH60" s="714">
        <v>108</v>
      </c>
      <c r="HI60" s="714">
        <v>41.6</v>
      </c>
      <c r="HJ60" s="753">
        <v>0.297</v>
      </c>
      <c r="HK60" s="681">
        <v>85</v>
      </c>
      <c r="HL60" s="685">
        <v>1.2</v>
      </c>
      <c r="HM60" s="747">
        <v>4.35</v>
      </c>
      <c r="HN60" s="729" t="s">
        <v>679</v>
      </c>
      <c r="HO60" s="729" t="s">
        <v>680</v>
      </c>
      <c r="HP60" s="714">
        <v>-2.9</v>
      </c>
      <c r="HQ60" s="754">
        <v>0.815</v>
      </c>
      <c r="HR60" s="754">
        <v>0.948</v>
      </c>
      <c r="HS60" s="754">
        <v>0.984</v>
      </c>
      <c r="HT60" s="754">
        <v>0.999</v>
      </c>
      <c r="HU60" s="754">
        <v>0.999</v>
      </c>
      <c r="HV60" s="754">
        <v>0.999</v>
      </c>
      <c r="HW60" s="754">
        <v>0.999</v>
      </c>
      <c r="HX60" s="754">
        <v>0.999</v>
      </c>
      <c r="HY60" s="754">
        <v>0.999</v>
      </c>
      <c r="HZ60" s="754">
        <v>0.999</v>
      </c>
      <c r="IA60" s="754">
        <v>0.999</v>
      </c>
      <c r="IB60" s="754">
        <v>0.999</v>
      </c>
      <c r="IC60" s="754">
        <v>0.999</v>
      </c>
      <c r="ID60" s="754">
        <v>0.999</v>
      </c>
      <c r="IE60" s="754">
        <v>0.999</v>
      </c>
      <c r="IF60" s="754">
        <v>0.999</v>
      </c>
      <c r="IG60" s="754">
        <v>0.999</v>
      </c>
      <c r="IH60" s="754">
        <v>0.999</v>
      </c>
      <c r="II60" s="754">
        <v>0.999</v>
      </c>
      <c r="IJ60" s="754">
        <v>0.997</v>
      </c>
      <c r="IK60" s="754">
        <v>0.996</v>
      </c>
      <c r="IL60" s="754">
        <v>0.996</v>
      </c>
      <c r="IM60" s="754">
        <v>0.996</v>
      </c>
      <c r="IN60" s="754">
        <v>0.991</v>
      </c>
      <c r="IO60" s="754">
        <v>0.986</v>
      </c>
      <c r="IP60" s="754">
        <v>0.979</v>
      </c>
      <c r="IQ60" s="754">
        <v>0.971</v>
      </c>
      <c r="IR60" s="754">
        <v>0.95</v>
      </c>
      <c r="IS60" s="754">
        <v>0.913</v>
      </c>
      <c r="IT60" s="754">
        <v>0.87</v>
      </c>
      <c r="IU60" s="754">
        <v>0.813</v>
      </c>
      <c r="IV60" s="754">
        <v>0.736</v>
      </c>
      <c r="IW60" s="754">
        <v>0.633</v>
      </c>
      <c r="IX60" s="754">
        <v>0.55</v>
      </c>
      <c r="IY60" s="754">
        <v>0.45</v>
      </c>
      <c r="IZ60" s="754">
        <v>0.305</v>
      </c>
      <c r="JA60" s="754">
        <v>0.664</v>
      </c>
      <c r="JB60" s="754">
        <v>0.899</v>
      </c>
      <c r="JC60" s="754">
        <v>0.968</v>
      </c>
      <c r="JD60" s="754">
        <v>0.998</v>
      </c>
      <c r="JE60" s="754">
        <v>0.998</v>
      </c>
      <c r="JF60" s="754">
        <v>0.998</v>
      </c>
      <c r="JG60" s="754">
        <v>0.998</v>
      </c>
      <c r="JH60" s="754">
        <v>0.998</v>
      </c>
      <c r="JI60" s="754">
        <v>0.998</v>
      </c>
      <c r="JJ60" s="754">
        <v>0.998</v>
      </c>
      <c r="JK60" s="754">
        <v>0.998</v>
      </c>
      <c r="JL60" s="754">
        <v>0.998</v>
      </c>
      <c r="JM60" s="754">
        <v>0.998</v>
      </c>
      <c r="JN60" s="754">
        <v>0.998</v>
      </c>
      <c r="JO60" s="754">
        <v>0.998</v>
      </c>
      <c r="JP60" s="754">
        <v>0.998</v>
      </c>
      <c r="JQ60" s="754">
        <v>0.998</v>
      </c>
      <c r="JR60" s="754">
        <v>0.998</v>
      </c>
      <c r="JS60" s="754">
        <v>0.998</v>
      </c>
      <c r="JT60" s="754">
        <v>0.994</v>
      </c>
      <c r="JU60" s="754">
        <v>0.992</v>
      </c>
      <c r="JV60" s="754">
        <v>0.992</v>
      </c>
      <c r="JW60" s="754">
        <v>0.992</v>
      </c>
      <c r="JX60" s="754">
        <v>0.982</v>
      </c>
      <c r="JY60" s="754">
        <v>0.972</v>
      </c>
      <c r="JZ60" s="754">
        <v>0.958</v>
      </c>
      <c r="KA60" s="754">
        <v>0.943</v>
      </c>
      <c r="KB60" s="754">
        <v>0.903</v>
      </c>
      <c r="KC60" s="754">
        <v>0.834</v>
      </c>
      <c r="KD60" s="754">
        <v>0.757</v>
      </c>
      <c r="KE60" s="754">
        <v>0.661</v>
      </c>
      <c r="KF60" s="754">
        <v>0.542</v>
      </c>
      <c r="KG60" s="754">
        <v>0.401</v>
      </c>
      <c r="KH60" s="754">
        <v>0.303</v>
      </c>
      <c r="KI60" s="753">
        <v>0.203</v>
      </c>
      <c r="KJ60" s="753">
        <v>0.093</v>
      </c>
      <c r="KK60" s="765" t="s">
        <v>281</v>
      </c>
      <c r="KL60" s="738">
        <v>149</v>
      </c>
      <c r="KM60" s="738">
        <v>648</v>
      </c>
      <c r="KN60" s="646" t="s">
        <v>282</v>
      </c>
      <c r="KO60" s="646" t="s">
        <v>678</v>
      </c>
      <c r="KP60" s="680">
        <v>775503</v>
      </c>
      <c r="KQ60" s="766" t="s">
        <v>681</v>
      </c>
      <c r="KR60" s="750" t="s">
        <v>682</v>
      </c>
      <c r="KS60" s="769"/>
      <c r="KT60" s="770"/>
      <c r="KU60" s="766" t="s">
        <v>683</v>
      </c>
      <c r="KV60" s="750">
        <v>773496</v>
      </c>
      <c r="KW60" s="771" t="s">
        <v>684</v>
      </c>
      <c r="KX60" s="750" t="s">
        <v>685</v>
      </c>
      <c r="KY60" s="769" t="s">
        <v>686</v>
      </c>
      <c r="KZ60" s="770" t="s">
        <v>682</v>
      </c>
    </row>
    <row r="61" s="628" customFormat="1" customHeight="1" spans="1:312">
      <c r="A61" s="682" t="s">
        <v>374</v>
      </c>
      <c r="B61" s="683">
        <v>57</v>
      </c>
      <c r="C61" s="689" t="s">
        <v>687</v>
      </c>
      <c r="D61" s="680">
        <v>517522</v>
      </c>
      <c r="E61" s="685">
        <v>52.15</v>
      </c>
      <c r="F61" s="685">
        <v>51.85</v>
      </c>
      <c r="G61" s="688">
        <v>0.009922</v>
      </c>
      <c r="H61" s="686">
        <v>0.010024</v>
      </c>
      <c r="I61" s="696">
        <v>1.49023</v>
      </c>
      <c r="J61" s="696">
        <v>1.49507</v>
      </c>
      <c r="K61" s="696">
        <v>1.50035</v>
      </c>
      <c r="L61" s="696">
        <v>1.50503</v>
      </c>
      <c r="M61" s="696">
        <v>1.50588</v>
      </c>
      <c r="N61" s="696">
        <v>1.50657</v>
      </c>
      <c r="O61" s="696">
        <v>1.50925</v>
      </c>
      <c r="P61" s="696">
        <v>1.51108</v>
      </c>
      <c r="Q61" s="696">
        <v>1.51276</v>
      </c>
      <c r="R61" s="696">
        <v>1.51444</v>
      </c>
      <c r="S61" s="696">
        <v>1.51491</v>
      </c>
      <c r="T61" s="701">
        <v>1.51535</v>
      </c>
      <c r="U61" s="696">
        <v>1.51733</v>
      </c>
      <c r="V61" s="696">
        <v>1.51742</v>
      </c>
      <c r="W61" s="696">
        <v>1.51977</v>
      </c>
      <c r="X61" s="696">
        <v>1.52436</v>
      </c>
      <c r="Y61" s="696">
        <v>1.52493</v>
      </c>
      <c r="Z61" s="696">
        <v>1.52994</v>
      </c>
      <c r="AA61" s="696">
        <v>1.53468</v>
      </c>
      <c r="AB61" s="696">
        <v>1.54305</v>
      </c>
      <c r="AC61" s="704">
        <v>2.2663463</v>
      </c>
      <c r="AD61" s="705">
        <v>-0.00885481035</v>
      </c>
      <c r="AE61" s="705">
        <v>0.0125163602</v>
      </c>
      <c r="AF61" s="705">
        <v>0.000369483817</v>
      </c>
      <c r="AG61" s="705">
        <v>-8.1996487e-6</v>
      </c>
      <c r="AH61" s="705">
        <v>1.43231024e-6</v>
      </c>
      <c r="AI61" s="709">
        <v>0.3003</v>
      </c>
      <c r="AJ61" s="709">
        <v>0.2368</v>
      </c>
      <c r="AK61" s="709">
        <v>0.5624</v>
      </c>
      <c r="AL61" s="709">
        <v>0.2504</v>
      </c>
      <c r="AM61" s="709">
        <v>0.2344</v>
      </c>
      <c r="AN61" s="709">
        <v>0.4998</v>
      </c>
      <c r="AO61" s="709">
        <v>0.0012</v>
      </c>
      <c r="AP61" s="709">
        <v>0.0054</v>
      </c>
      <c r="AQ61" s="709">
        <v>0.0004</v>
      </c>
      <c r="AR61" s="709">
        <v>-0.0025</v>
      </c>
      <c r="AS61" s="714">
        <v>-1.2</v>
      </c>
      <c r="AT61" s="715">
        <v>-1.1</v>
      </c>
      <c r="AU61" s="715">
        <v>-1.1</v>
      </c>
      <c r="AV61" s="715">
        <v>-1</v>
      </c>
      <c r="AW61" s="715">
        <v>-0.9</v>
      </c>
      <c r="AX61" s="715">
        <v>-0.8</v>
      </c>
      <c r="AY61" s="715">
        <v>-0.6</v>
      </c>
      <c r="AZ61" s="715">
        <v>-0.5</v>
      </c>
      <c r="BA61" s="715">
        <v>-0.4</v>
      </c>
      <c r="BB61" s="715">
        <v>-0.2</v>
      </c>
      <c r="BC61" s="715">
        <v>-0.1</v>
      </c>
      <c r="BD61" s="715">
        <v>-1</v>
      </c>
      <c r="BE61" s="715">
        <v>-1</v>
      </c>
      <c r="BF61" s="715">
        <v>-1</v>
      </c>
      <c r="BG61" s="715">
        <v>-0.9</v>
      </c>
      <c r="BH61" s="715">
        <v>-0.8</v>
      </c>
      <c r="BI61" s="715">
        <v>-0.7</v>
      </c>
      <c r="BJ61" s="715">
        <v>-0.5</v>
      </c>
      <c r="BK61" s="715">
        <v>-0.4</v>
      </c>
      <c r="BL61" s="715">
        <v>-0.3</v>
      </c>
      <c r="BM61" s="715">
        <v>-0.1</v>
      </c>
      <c r="BN61" s="715">
        <v>0</v>
      </c>
      <c r="BO61" s="715">
        <v>-0.9</v>
      </c>
      <c r="BP61" s="715">
        <v>-0.9</v>
      </c>
      <c r="BQ61" s="715">
        <v>-0.9</v>
      </c>
      <c r="BR61" s="715">
        <v>-0.8</v>
      </c>
      <c r="BS61" s="715">
        <v>-0.7</v>
      </c>
      <c r="BT61" s="715">
        <v>-0.5</v>
      </c>
      <c r="BU61" s="715">
        <v>-0.4</v>
      </c>
      <c r="BV61" s="715">
        <v>-0.3</v>
      </c>
      <c r="BW61" s="715">
        <v>-0.2</v>
      </c>
      <c r="BX61" s="715">
        <v>-0.1</v>
      </c>
      <c r="BY61" s="715">
        <v>0.1</v>
      </c>
      <c r="BZ61" s="715">
        <v>-0.8</v>
      </c>
      <c r="CA61" s="715">
        <v>-0.8</v>
      </c>
      <c r="CB61" s="715">
        <v>-0.8</v>
      </c>
      <c r="CC61" s="715">
        <v>-0.7</v>
      </c>
      <c r="CD61" s="715">
        <v>-0.5</v>
      </c>
      <c r="CE61" s="715">
        <v>-0.4</v>
      </c>
      <c r="CF61" s="715">
        <v>-0.2</v>
      </c>
      <c r="CG61" s="715">
        <v>-0.2</v>
      </c>
      <c r="CH61" s="715">
        <v>-0.1</v>
      </c>
      <c r="CI61" s="715">
        <v>0</v>
      </c>
      <c r="CJ61" s="715">
        <v>0.2</v>
      </c>
      <c r="CK61" s="715">
        <v>-0.8</v>
      </c>
      <c r="CL61" s="715">
        <v>-0.7</v>
      </c>
      <c r="CM61" s="715">
        <v>-0.7</v>
      </c>
      <c r="CN61" s="715">
        <v>-0.7</v>
      </c>
      <c r="CO61" s="715">
        <v>-0.5</v>
      </c>
      <c r="CP61" s="715">
        <v>-0.4</v>
      </c>
      <c r="CQ61" s="715">
        <v>-0.2</v>
      </c>
      <c r="CR61" s="715">
        <v>-0.2</v>
      </c>
      <c r="CS61" s="715">
        <v>-0.1</v>
      </c>
      <c r="CT61" s="715">
        <v>0</v>
      </c>
      <c r="CU61" s="715">
        <v>0.2</v>
      </c>
      <c r="CV61" s="715">
        <v>-0.8</v>
      </c>
      <c r="CW61" s="715">
        <v>-0.6</v>
      </c>
      <c r="CX61" s="715">
        <v>-0.6</v>
      </c>
      <c r="CY61" s="715">
        <v>-0.5</v>
      </c>
      <c r="CZ61" s="715">
        <v>-0.4</v>
      </c>
      <c r="DA61" s="715">
        <v>-0.2</v>
      </c>
      <c r="DB61" s="715">
        <v>-0.2</v>
      </c>
      <c r="DC61" s="715">
        <v>-0.1</v>
      </c>
      <c r="DD61" s="715">
        <v>-0.1</v>
      </c>
      <c r="DE61" s="715">
        <v>0</v>
      </c>
      <c r="DF61" s="715">
        <v>0.2</v>
      </c>
      <c r="DG61" s="715">
        <v>-0.6</v>
      </c>
      <c r="DH61" s="715">
        <v>-0.5</v>
      </c>
      <c r="DI61" s="715">
        <v>-0.4</v>
      </c>
      <c r="DJ61" s="715">
        <v>-0.2</v>
      </c>
      <c r="DK61" s="715">
        <v>-0.2</v>
      </c>
      <c r="DL61" s="715">
        <v>0</v>
      </c>
      <c r="DM61" s="715">
        <v>0.1</v>
      </c>
      <c r="DN61" s="715">
        <v>0.3</v>
      </c>
      <c r="DO61" s="715">
        <v>0.5</v>
      </c>
      <c r="DP61" s="715">
        <v>0.5</v>
      </c>
      <c r="DQ61" s="715">
        <v>0.7</v>
      </c>
      <c r="DR61" s="715">
        <v>-0.3</v>
      </c>
      <c r="DS61" s="715">
        <v>-0.2</v>
      </c>
      <c r="DT61" s="715">
        <v>-0.1</v>
      </c>
      <c r="DU61" s="715">
        <v>0</v>
      </c>
      <c r="DV61" s="715">
        <v>0.1</v>
      </c>
      <c r="DW61" s="715">
        <v>0.2</v>
      </c>
      <c r="DX61" s="715">
        <v>0.3</v>
      </c>
      <c r="DY61" s="715">
        <v>0.5</v>
      </c>
      <c r="DZ61" s="715">
        <v>0.7</v>
      </c>
      <c r="EA61" s="715">
        <v>0.8</v>
      </c>
      <c r="EB61" s="715">
        <v>0.9</v>
      </c>
      <c r="EC61" s="715">
        <v>-0.2</v>
      </c>
      <c r="ED61" s="715">
        <v>-0.1</v>
      </c>
      <c r="EE61" s="715">
        <v>-0.1</v>
      </c>
      <c r="EF61" s="715">
        <v>0</v>
      </c>
      <c r="EG61" s="715">
        <v>0.1</v>
      </c>
      <c r="EH61" s="715">
        <v>0.3</v>
      </c>
      <c r="EI61" s="715">
        <v>0.4</v>
      </c>
      <c r="EJ61" s="715">
        <v>0.6</v>
      </c>
      <c r="EK61" s="715">
        <v>0.7</v>
      </c>
      <c r="EL61" s="715">
        <v>0.8</v>
      </c>
      <c r="EM61" s="715">
        <v>0.9</v>
      </c>
      <c r="EN61" s="715">
        <v>0.2</v>
      </c>
      <c r="EO61" s="715">
        <v>0.3</v>
      </c>
      <c r="EP61" s="715">
        <v>0.3</v>
      </c>
      <c r="EQ61" s="715">
        <v>0.4</v>
      </c>
      <c r="ER61" s="715">
        <v>0.6</v>
      </c>
      <c r="ES61" s="715">
        <v>0.7</v>
      </c>
      <c r="ET61" s="715">
        <v>0.9</v>
      </c>
      <c r="EU61" s="715">
        <v>1.1</v>
      </c>
      <c r="EV61" s="715">
        <v>1.2</v>
      </c>
      <c r="EW61" s="715">
        <v>1.3</v>
      </c>
      <c r="EX61" s="715">
        <v>1.4</v>
      </c>
      <c r="EY61" s="715">
        <v>-3.2</v>
      </c>
      <c r="EZ61" s="714">
        <v>-2.8</v>
      </c>
      <c r="FA61" s="714">
        <v>-2.5</v>
      </c>
      <c r="FB61" s="714">
        <v>-2.2</v>
      </c>
      <c r="FC61" s="714">
        <v>-1.8</v>
      </c>
      <c r="FD61" s="714">
        <v>-1.6</v>
      </c>
      <c r="FE61" s="714">
        <v>-1.2</v>
      </c>
      <c r="FF61" s="715">
        <v>-1.1</v>
      </c>
      <c r="FG61" s="715">
        <v>-0.9</v>
      </c>
      <c r="FH61" s="715">
        <v>-0.7</v>
      </c>
      <c r="FI61" s="715">
        <v>-0.5</v>
      </c>
      <c r="FJ61" s="725">
        <v>-5.94e-6</v>
      </c>
      <c r="FK61" s="725">
        <v>1.78e-8</v>
      </c>
      <c r="FL61" s="725">
        <v>-2.5e-11</v>
      </c>
      <c r="FM61" s="725">
        <v>4.2e-7</v>
      </c>
      <c r="FN61" s="725">
        <v>1.79e-10</v>
      </c>
      <c r="FO61" s="725">
        <v>0.283</v>
      </c>
      <c r="FP61" s="729">
        <v>1</v>
      </c>
      <c r="FQ61" s="729">
        <v>1</v>
      </c>
      <c r="FR61" s="729">
        <v>1</v>
      </c>
      <c r="FS61" s="729">
        <v>2</v>
      </c>
      <c r="FT61" s="729">
        <v>2</v>
      </c>
      <c r="FU61" s="729">
        <v>1</v>
      </c>
      <c r="FV61" s="681">
        <v>1</v>
      </c>
      <c r="FW61" s="729"/>
      <c r="FX61" s="729"/>
      <c r="FY61" s="729"/>
      <c r="FZ61" s="746">
        <v>461</v>
      </c>
      <c r="GA61" s="746">
        <v>536</v>
      </c>
      <c r="GB61" s="681">
        <v>407</v>
      </c>
      <c r="GC61" s="681">
        <v>430</v>
      </c>
      <c r="GD61" s="747">
        <v>1.04</v>
      </c>
      <c r="GE61" s="729"/>
      <c r="GF61" s="681">
        <v>91</v>
      </c>
      <c r="GG61" s="681">
        <v>102</v>
      </c>
      <c r="GH61" s="681">
        <v>82</v>
      </c>
      <c r="GI61" s="681">
        <v>86</v>
      </c>
      <c r="GJ61" s="681">
        <v>88</v>
      </c>
      <c r="GK61" s="681">
        <v>89</v>
      </c>
      <c r="GL61" s="681">
        <v>90</v>
      </c>
      <c r="GM61" s="681">
        <v>91</v>
      </c>
      <c r="GN61" s="681">
        <v>92</v>
      </c>
      <c r="GO61" s="681">
        <v>92</v>
      </c>
      <c r="GP61" s="681">
        <v>93</v>
      </c>
      <c r="GQ61" s="681">
        <v>93</v>
      </c>
      <c r="GR61" s="681">
        <v>94</v>
      </c>
      <c r="GS61" s="681">
        <v>94</v>
      </c>
      <c r="GT61" s="681">
        <v>95</v>
      </c>
      <c r="GU61" s="681">
        <v>96</v>
      </c>
      <c r="GV61" s="681">
        <v>96</v>
      </c>
      <c r="GW61" s="681">
        <v>97</v>
      </c>
      <c r="GX61" s="681">
        <v>98</v>
      </c>
      <c r="GY61" s="681">
        <v>99</v>
      </c>
      <c r="GZ61" s="681">
        <v>100</v>
      </c>
      <c r="HA61" s="681">
        <v>101</v>
      </c>
      <c r="HB61" s="681">
        <v>102</v>
      </c>
      <c r="HC61" s="681"/>
      <c r="HD61" s="750">
        <v>130</v>
      </c>
      <c r="HE61" s="681"/>
      <c r="HF61" s="681">
        <v>432</v>
      </c>
      <c r="HG61" s="681">
        <v>107</v>
      </c>
      <c r="HH61" s="714">
        <v>56.3</v>
      </c>
      <c r="HI61" s="714">
        <v>22.8</v>
      </c>
      <c r="HJ61" s="753">
        <v>0.233</v>
      </c>
      <c r="HK61" s="681">
        <v>48</v>
      </c>
      <c r="HL61" s="685">
        <v>3.12</v>
      </c>
      <c r="HM61" s="747">
        <v>2.52</v>
      </c>
      <c r="HN61" s="729" t="s">
        <v>688</v>
      </c>
      <c r="HO61" s="729" t="s">
        <v>689</v>
      </c>
      <c r="HP61" s="714">
        <v>-4.1</v>
      </c>
      <c r="HQ61" s="760">
        <v>0.929</v>
      </c>
      <c r="HR61" s="760">
        <v>0.956</v>
      </c>
      <c r="HS61" s="760">
        <v>0.994</v>
      </c>
      <c r="HT61" s="760">
        <v>0.997</v>
      </c>
      <c r="HU61" s="760">
        <v>0.999</v>
      </c>
      <c r="HV61" s="760">
        <v>0.999</v>
      </c>
      <c r="HW61" s="760">
        <v>0.999</v>
      </c>
      <c r="HX61" s="760">
        <v>0.999</v>
      </c>
      <c r="HY61" s="760">
        <v>0.999</v>
      </c>
      <c r="HZ61" s="760">
        <v>0.999</v>
      </c>
      <c r="IA61" s="760">
        <v>0.999</v>
      </c>
      <c r="IB61" s="760">
        <v>0.999</v>
      </c>
      <c r="IC61" s="760">
        <v>0.999</v>
      </c>
      <c r="ID61" s="760">
        <v>0.999</v>
      </c>
      <c r="IE61" s="760">
        <v>0.999</v>
      </c>
      <c r="IF61" s="760">
        <v>0.999</v>
      </c>
      <c r="IG61" s="760">
        <v>0.999</v>
      </c>
      <c r="IH61" s="760">
        <v>0.999</v>
      </c>
      <c r="II61" s="760">
        <v>0.999</v>
      </c>
      <c r="IJ61" s="760">
        <v>0.999</v>
      </c>
      <c r="IK61" s="760">
        <v>0.999</v>
      </c>
      <c r="IL61" s="760">
        <v>0.998</v>
      </c>
      <c r="IM61" s="760">
        <v>0.997</v>
      </c>
      <c r="IN61" s="760">
        <v>0.995</v>
      </c>
      <c r="IO61" s="760">
        <v>0.993</v>
      </c>
      <c r="IP61" s="760">
        <v>0.987</v>
      </c>
      <c r="IQ61" s="760">
        <v>0.976</v>
      </c>
      <c r="IR61" s="760">
        <v>0.936</v>
      </c>
      <c r="IS61" s="760">
        <v>0.783</v>
      </c>
      <c r="IT61" s="760">
        <v>0.39</v>
      </c>
      <c r="IU61" s="760"/>
      <c r="IV61" s="760"/>
      <c r="IW61" s="760"/>
      <c r="IX61" s="760"/>
      <c r="IY61" s="760"/>
      <c r="IZ61" s="760"/>
      <c r="JA61" s="755">
        <v>0.861</v>
      </c>
      <c r="JB61" s="755">
        <v>0.91</v>
      </c>
      <c r="JC61" s="755">
        <v>0.987</v>
      </c>
      <c r="JD61" s="755">
        <v>0.994</v>
      </c>
      <c r="JE61" s="755">
        <v>0.998</v>
      </c>
      <c r="JF61" s="755">
        <v>0.998</v>
      </c>
      <c r="JG61" s="755">
        <v>0.998</v>
      </c>
      <c r="JH61" s="755">
        <v>0.998</v>
      </c>
      <c r="JI61" s="755">
        <v>0.998</v>
      </c>
      <c r="JJ61" s="755">
        <v>0.998</v>
      </c>
      <c r="JK61" s="755">
        <v>0.998</v>
      </c>
      <c r="JL61" s="755">
        <v>0.998</v>
      </c>
      <c r="JM61" s="755">
        <v>0.998</v>
      </c>
      <c r="JN61" s="755">
        <v>0.998</v>
      </c>
      <c r="JO61" s="755">
        <v>0.998</v>
      </c>
      <c r="JP61" s="755">
        <v>0.998</v>
      </c>
      <c r="JQ61" s="755">
        <v>0.998</v>
      </c>
      <c r="JR61" s="755">
        <v>0.998</v>
      </c>
      <c r="JS61" s="755">
        <v>0.998</v>
      </c>
      <c r="JT61" s="755">
        <v>0.998</v>
      </c>
      <c r="JU61" s="755">
        <v>0.998</v>
      </c>
      <c r="JV61" s="755">
        <v>0.996</v>
      </c>
      <c r="JW61" s="755">
        <v>0.993</v>
      </c>
      <c r="JX61" s="755">
        <v>0.991</v>
      </c>
      <c r="JY61" s="755">
        <v>0.989</v>
      </c>
      <c r="JZ61" s="755">
        <v>0.979</v>
      </c>
      <c r="KA61" s="755">
        <v>0.957</v>
      </c>
      <c r="KB61" s="755">
        <v>0.879</v>
      </c>
      <c r="KC61" s="755">
        <v>0.618</v>
      </c>
      <c r="KD61" s="755">
        <v>0.154</v>
      </c>
      <c r="KE61" s="755"/>
      <c r="KF61" s="755"/>
      <c r="KG61" s="755"/>
      <c r="KH61" s="755"/>
      <c r="KI61" s="755"/>
      <c r="KJ61" s="755"/>
      <c r="KK61" s="765" t="s">
        <v>281</v>
      </c>
      <c r="KL61" s="738">
        <v>36</v>
      </c>
      <c r="KM61" s="738">
        <v>91</v>
      </c>
      <c r="KN61" s="646" t="s">
        <v>303</v>
      </c>
      <c r="KO61" s="646" t="s">
        <v>687</v>
      </c>
      <c r="KP61" s="680">
        <v>517522</v>
      </c>
      <c r="KQ61" s="766" t="s">
        <v>690</v>
      </c>
      <c r="KR61" s="750" t="s">
        <v>691</v>
      </c>
      <c r="KS61" s="769" t="s">
        <v>687</v>
      </c>
      <c r="KT61" s="770" t="s">
        <v>692</v>
      </c>
      <c r="KU61" s="766" t="s">
        <v>693</v>
      </c>
      <c r="KV61" s="750">
        <v>517522</v>
      </c>
      <c r="KW61" s="771"/>
      <c r="KX61" s="750"/>
      <c r="KY61" s="769"/>
      <c r="KZ61" s="770"/>
    </row>
    <row r="62" s="628" customFormat="1" customHeight="1" spans="1:312">
      <c r="A62" s="682" t="s">
        <v>300</v>
      </c>
      <c r="B62" s="683">
        <v>58</v>
      </c>
      <c r="C62" s="689" t="s">
        <v>694</v>
      </c>
      <c r="D62" s="680">
        <v>596392</v>
      </c>
      <c r="E62" s="685">
        <v>39.22</v>
      </c>
      <c r="F62" s="685">
        <v>38.95</v>
      </c>
      <c r="G62" s="688">
        <v>0.015183</v>
      </c>
      <c r="H62" s="686">
        <v>0.015383</v>
      </c>
      <c r="I62" s="696">
        <v>1.56078</v>
      </c>
      <c r="J62" s="696">
        <v>1.56608</v>
      </c>
      <c r="K62" s="696">
        <v>1.57206</v>
      </c>
      <c r="L62" s="696">
        <v>1.57777</v>
      </c>
      <c r="M62" s="696">
        <v>1.57886</v>
      </c>
      <c r="N62" s="696">
        <v>1.57979</v>
      </c>
      <c r="O62" s="696">
        <v>1.58348</v>
      </c>
      <c r="P62" s="696">
        <v>1.58609</v>
      </c>
      <c r="Q62" s="697">
        <v>1.58854</v>
      </c>
      <c r="R62" s="697">
        <v>1.59103</v>
      </c>
      <c r="S62" s="697">
        <v>1.59173</v>
      </c>
      <c r="T62" s="701">
        <v>1.59239</v>
      </c>
      <c r="U62" s="697">
        <v>1.59538</v>
      </c>
      <c r="V62" s="697">
        <v>1.59551</v>
      </c>
      <c r="W62" s="697">
        <v>1.59911</v>
      </c>
      <c r="X62" s="697">
        <v>1.60621</v>
      </c>
      <c r="Y62" s="697">
        <v>1.60712</v>
      </c>
      <c r="Z62" s="697">
        <v>1.61509</v>
      </c>
      <c r="AA62" s="697">
        <v>1.62284</v>
      </c>
      <c r="AB62" s="697">
        <v>1.63695</v>
      </c>
      <c r="AC62" s="704">
        <v>2.48576653</v>
      </c>
      <c r="AD62" s="705">
        <v>-0.0098903442</v>
      </c>
      <c r="AE62" s="705">
        <v>0.0202035248</v>
      </c>
      <c r="AF62" s="705">
        <v>0.000492709</v>
      </c>
      <c r="AG62" s="705">
        <v>1.83898751e-5</v>
      </c>
      <c r="AH62" s="705">
        <v>2.51608701e-6</v>
      </c>
      <c r="AI62" s="709">
        <v>0.2951</v>
      </c>
      <c r="AJ62" s="709">
        <v>0.2371</v>
      </c>
      <c r="AK62" s="709">
        <v>0.5849</v>
      </c>
      <c r="AL62" s="709">
        <v>0.2457</v>
      </c>
      <c r="AM62" s="709">
        <v>0.234</v>
      </c>
      <c r="AN62" s="709">
        <v>0.5181</v>
      </c>
      <c r="AO62" s="709">
        <v>-0.0009</v>
      </c>
      <c r="AP62" s="709">
        <v>0.0064</v>
      </c>
      <c r="AQ62" s="709">
        <v>0.0101</v>
      </c>
      <c r="AR62" s="709">
        <v>0.0027</v>
      </c>
      <c r="AS62" s="714">
        <v>2.2</v>
      </c>
      <c r="AT62" s="714">
        <v>2.2</v>
      </c>
      <c r="AU62" s="714">
        <v>2.3</v>
      </c>
      <c r="AV62" s="714">
        <v>2.3</v>
      </c>
      <c r="AW62" s="714">
        <v>2.3</v>
      </c>
      <c r="AX62" s="714">
        <v>2.3</v>
      </c>
      <c r="AY62" s="714">
        <v>2.3</v>
      </c>
      <c r="AZ62" s="714">
        <v>2.4</v>
      </c>
      <c r="BA62" s="714">
        <v>2.4</v>
      </c>
      <c r="BB62" s="714">
        <v>2.5</v>
      </c>
      <c r="BC62" s="714">
        <v>2.5</v>
      </c>
      <c r="BD62" s="714">
        <v>2.5</v>
      </c>
      <c r="BE62" s="714">
        <v>2.5</v>
      </c>
      <c r="BF62" s="714">
        <v>2.5</v>
      </c>
      <c r="BG62" s="714">
        <v>2.6</v>
      </c>
      <c r="BH62" s="714">
        <v>2.6</v>
      </c>
      <c r="BI62" s="714">
        <v>2.6</v>
      </c>
      <c r="BJ62" s="714">
        <v>2.7</v>
      </c>
      <c r="BK62" s="714">
        <v>2.7</v>
      </c>
      <c r="BL62" s="714">
        <v>2.8</v>
      </c>
      <c r="BM62" s="714">
        <v>2.8</v>
      </c>
      <c r="BN62" s="714">
        <v>2.8</v>
      </c>
      <c r="BO62" s="714">
        <v>2.7</v>
      </c>
      <c r="BP62" s="714">
        <v>2.8</v>
      </c>
      <c r="BQ62" s="714">
        <v>2.8</v>
      </c>
      <c r="BR62" s="714">
        <v>2.8</v>
      </c>
      <c r="BS62" s="714">
        <v>2.8</v>
      </c>
      <c r="BT62" s="714">
        <v>2.9</v>
      </c>
      <c r="BU62" s="714">
        <v>2.9</v>
      </c>
      <c r="BV62" s="714">
        <v>2.9</v>
      </c>
      <c r="BW62" s="714">
        <v>2.9</v>
      </c>
      <c r="BX62" s="714">
        <v>2.9</v>
      </c>
      <c r="BY62" s="714">
        <v>2.9</v>
      </c>
      <c r="BZ62" s="714">
        <v>2.7</v>
      </c>
      <c r="CA62" s="714">
        <v>2.8</v>
      </c>
      <c r="CB62" s="714">
        <v>2.8</v>
      </c>
      <c r="CC62" s="714">
        <v>2.8</v>
      </c>
      <c r="CD62" s="714">
        <v>2.8</v>
      </c>
      <c r="CE62" s="714">
        <v>2.9</v>
      </c>
      <c r="CF62" s="714">
        <v>2.9</v>
      </c>
      <c r="CG62" s="714">
        <v>3</v>
      </c>
      <c r="CH62" s="714">
        <v>3</v>
      </c>
      <c r="CI62" s="714">
        <v>3</v>
      </c>
      <c r="CJ62" s="714">
        <v>3</v>
      </c>
      <c r="CK62" s="714">
        <v>2.8</v>
      </c>
      <c r="CL62" s="715">
        <v>2.8</v>
      </c>
      <c r="CM62" s="715">
        <v>2.8</v>
      </c>
      <c r="CN62" s="715">
        <v>2.8</v>
      </c>
      <c r="CO62" s="715">
        <v>2.9</v>
      </c>
      <c r="CP62" s="715">
        <v>3</v>
      </c>
      <c r="CQ62" s="715">
        <v>3</v>
      </c>
      <c r="CR62" s="714">
        <v>3</v>
      </c>
      <c r="CS62" s="714">
        <v>3.1</v>
      </c>
      <c r="CT62" s="714">
        <v>3.1</v>
      </c>
      <c r="CU62" s="714">
        <v>3.1</v>
      </c>
      <c r="CV62" s="714">
        <v>2.9</v>
      </c>
      <c r="CW62" s="715">
        <v>3</v>
      </c>
      <c r="CX62" s="715">
        <v>3</v>
      </c>
      <c r="CY62" s="715">
        <v>3.1</v>
      </c>
      <c r="CZ62" s="715">
        <v>3.1</v>
      </c>
      <c r="DA62" s="715">
        <v>3.2</v>
      </c>
      <c r="DB62" s="715">
        <v>3.3</v>
      </c>
      <c r="DC62" s="714">
        <v>3.3</v>
      </c>
      <c r="DD62" s="714">
        <v>3.3</v>
      </c>
      <c r="DE62" s="714">
        <v>3.4</v>
      </c>
      <c r="DF62" s="714">
        <v>3.5</v>
      </c>
      <c r="DG62" s="714">
        <v>3.1</v>
      </c>
      <c r="DH62" s="715">
        <v>3.2</v>
      </c>
      <c r="DI62" s="715">
        <v>3.2</v>
      </c>
      <c r="DJ62" s="715">
        <v>3.4</v>
      </c>
      <c r="DK62" s="715">
        <v>3.4</v>
      </c>
      <c r="DL62" s="715">
        <v>3.5</v>
      </c>
      <c r="DM62" s="715">
        <v>3.6</v>
      </c>
      <c r="DN62" s="714">
        <v>3.7</v>
      </c>
      <c r="DO62" s="714">
        <v>3.8</v>
      </c>
      <c r="DP62" s="714">
        <v>3.9</v>
      </c>
      <c r="DQ62" s="714">
        <v>4.1</v>
      </c>
      <c r="DR62" s="714">
        <v>3.7</v>
      </c>
      <c r="DS62" s="715">
        <v>3.7</v>
      </c>
      <c r="DT62" s="715">
        <v>3.8</v>
      </c>
      <c r="DU62" s="715">
        <v>3.9</v>
      </c>
      <c r="DV62" s="715">
        <v>4.1</v>
      </c>
      <c r="DW62" s="715">
        <v>4.2</v>
      </c>
      <c r="DX62" s="715">
        <v>4.3</v>
      </c>
      <c r="DY62" s="714">
        <v>4.3</v>
      </c>
      <c r="DZ62" s="714">
        <v>4.3</v>
      </c>
      <c r="EA62" s="714">
        <v>4.4</v>
      </c>
      <c r="EB62" s="714">
        <v>4.6</v>
      </c>
      <c r="EC62" s="714">
        <v>3.8</v>
      </c>
      <c r="ED62" s="715">
        <v>3.8</v>
      </c>
      <c r="EE62" s="715">
        <v>3.9</v>
      </c>
      <c r="EF62" s="715">
        <v>4</v>
      </c>
      <c r="EG62" s="715">
        <v>4.1</v>
      </c>
      <c r="EH62" s="715">
        <v>4.2</v>
      </c>
      <c r="EI62" s="715">
        <v>4.3</v>
      </c>
      <c r="EJ62" s="714">
        <v>4.4</v>
      </c>
      <c r="EK62" s="714">
        <v>4.4</v>
      </c>
      <c r="EL62" s="714">
        <v>4.5</v>
      </c>
      <c r="EM62" s="714">
        <v>4.7</v>
      </c>
      <c r="EN62" s="714">
        <v>4.4</v>
      </c>
      <c r="EO62" s="715">
        <v>4.5</v>
      </c>
      <c r="EP62" s="715">
        <v>4.6</v>
      </c>
      <c r="EQ62" s="715">
        <v>4.8</v>
      </c>
      <c r="ER62" s="715">
        <v>4.9</v>
      </c>
      <c r="ES62" s="715">
        <v>5.1</v>
      </c>
      <c r="ET62" s="715">
        <v>5.2</v>
      </c>
      <c r="EU62" s="714">
        <v>5.3</v>
      </c>
      <c r="EV62" s="714">
        <v>5.4</v>
      </c>
      <c r="EW62" s="714">
        <v>5.5</v>
      </c>
      <c r="EX62" s="714">
        <v>5.7</v>
      </c>
      <c r="EY62" s="714">
        <v>0.2</v>
      </c>
      <c r="EZ62" s="714">
        <v>0.6</v>
      </c>
      <c r="FA62" s="714">
        <v>1</v>
      </c>
      <c r="FB62" s="714">
        <v>1.2</v>
      </c>
      <c r="FC62" s="714">
        <v>1.5</v>
      </c>
      <c r="FD62" s="714">
        <v>1.8</v>
      </c>
      <c r="FE62" s="714">
        <v>1.9</v>
      </c>
      <c r="FF62" s="714">
        <v>2</v>
      </c>
      <c r="FG62" s="714">
        <v>2.2</v>
      </c>
      <c r="FH62" s="714">
        <v>2.3</v>
      </c>
      <c r="FI62" s="714">
        <v>2.4</v>
      </c>
      <c r="FJ62" s="723">
        <v>1.19e-6</v>
      </c>
      <c r="FK62" s="723">
        <v>1.2e-8</v>
      </c>
      <c r="FL62" s="723">
        <v>-2.83e-11</v>
      </c>
      <c r="FM62" s="723">
        <v>5.3e-7</v>
      </c>
      <c r="FN62" s="723">
        <v>5.94e-10</v>
      </c>
      <c r="FO62" s="723">
        <v>0.305</v>
      </c>
      <c r="FP62" s="729">
        <v>1</v>
      </c>
      <c r="FQ62" s="729">
        <v>1</v>
      </c>
      <c r="FR62" s="729">
        <v>1</v>
      </c>
      <c r="FS62" s="729">
        <v>1</v>
      </c>
      <c r="FT62" s="729">
        <v>1</v>
      </c>
      <c r="FU62" s="729">
        <v>1</v>
      </c>
      <c r="FV62" s="681">
        <v>1</v>
      </c>
      <c r="FW62" s="729"/>
      <c r="FX62" s="729"/>
      <c r="FY62" s="729"/>
      <c r="FZ62" s="746">
        <v>540</v>
      </c>
      <c r="GA62" s="746">
        <v>594</v>
      </c>
      <c r="GB62" s="681">
        <v>483</v>
      </c>
      <c r="GC62" s="681">
        <v>515</v>
      </c>
      <c r="GD62" s="747">
        <v>1.13</v>
      </c>
      <c r="GE62" s="729"/>
      <c r="GF62" s="681">
        <v>80</v>
      </c>
      <c r="GG62" s="681">
        <v>98</v>
      </c>
      <c r="GH62" s="681">
        <v>73</v>
      </c>
      <c r="GI62" s="681">
        <v>75</v>
      </c>
      <c r="GJ62" s="681">
        <v>76</v>
      </c>
      <c r="GK62" s="681">
        <v>76</v>
      </c>
      <c r="GL62" s="681">
        <v>77</v>
      </c>
      <c r="GM62" s="681">
        <v>78</v>
      </c>
      <c r="GN62" s="681">
        <v>79</v>
      </c>
      <c r="GO62" s="681">
        <v>79</v>
      </c>
      <c r="GP62" s="681">
        <v>80</v>
      </c>
      <c r="GQ62" s="681">
        <v>81</v>
      </c>
      <c r="GR62" s="681">
        <v>81</v>
      </c>
      <c r="GS62" s="681">
        <v>82</v>
      </c>
      <c r="GT62" s="681">
        <v>83</v>
      </c>
      <c r="GU62" s="681">
        <v>84</v>
      </c>
      <c r="GV62" s="681">
        <v>85</v>
      </c>
      <c r="GW62" s="681">
        <v>86</v>
      </c>
      <c r="GX62" s="681">
        <v>87</v>
      </c>
      <c r="GY62" s="681">
        <v>88</v>
      </c>
      <c r="GZ62" s="681">
        <v>89</v>
      </c>
      <c r="HA62" s="681">
        <v>90</v>
      </c>
      <c r="HB62" s="681">
        <v>91</v>
      </c>
      <c r="HC62" s="681"/>
      <c r="HD62" s="750">
        <v>195</v>
      </c>
      <c r="HE62" s="681"/>
      <c r="HF62" s="681">
        <v>534</v>
      </c>
      <c r="HG62" s="738">
        <v>168</v>
      </c>
      <c r="HH62" s="714">
        <v>75.3</v>
      </c>
      <c r="HI62" s="714">
        <v>30.9</v>
      </c>
      <c r="HJ62" s="753">
        <v>0.221</v>
      </c>
      <c r="HK62" s="681">
        <v>73</v>
      </c>
      <c r="HL62" s="685">
        <v>3.08</v>
      </c>
      <c r="HM62" s="747">
        <v>2.71</v>
      </c>
      <c r="HN62" s="729" t="s">
        <v>695</v>
      </c>
      <c r="HO62" s="729" t="s">
        <v>696</v>
      </c>
      <c r="HP62" s="714">
        <v>-0.5</v>
      </c>
      <c r="HQ62" s="754">
        <v>0.958</v>
      </c>
      <c r="HR62" s="754">
        <v>0.964</v>
      </c>
      <c r="HS62" s="754">
        <v>0.99</v>
      </c>
      <c r="HT62" s="754">
        <v>0.994</v>
      </c>
      <c r="HU62" s="754">
        <v>0.999</v>
      </c>
      <c r="HV62" s="754">
        <v>0.999</v>
      </c>
      <c r="HW62" s="754">
        <v>0.999</v>
      </c>
      <c r="HX62" s="754">
        <v>0.999</v>
      </c>
      <c r="HY62" s="754">
        <v>0.999</v>
      </c>
      <c r="HZ62" s="754">
        <v>0.999</v>
      </c>
      <c r="IA62" s="754">
        <v>0.999</v>
      </c>
      <c r="IB62" s="754">
        <v>0.999</v>
      </c>
      <c r="IC62" s="754">
        <v>0.999</v>
      </c>
      <c r="ID62" s="754">
        <v>0.999</v>
      </c>
      <c r="IE62" s="754">
        <v>0.999</v>
      </c>
      <c r="IF62" s="754">
        <v>0.999</v>
      </c>
      <c r="IG62" s="754">
        <v>0.999</v>
      </c>
      <c r="IH62" s="754">
        <v>0.999</v>
      </c>
      <c r="II62" s="754">
        <v>0.999</v>
      </c>
      <c r="IJ62" s="754">
        <v>0.999</v>
      </c>
      <c r="IK62" s="754">
        <v>0.997</v>
      </c>
      <c r="IL62" s="754">
        <v>0.995</v>
      </c>
      <c r="IM62" s="754">
        <v>0.993</v>
      </c>
      <c r="IN62" s="754">
        <v>0.99</v>
      </c>
      <c r="IO62" s="754">
        <v>0.981</v>
      </c>
      <c r="IP62" s="754">
        <v>0.956</v>
      </c>
      <c r="IQ62" s="754">
        <v>0.882</v>
      </c>
      <c r="IR62" s="754">
        <v>0.641</v>
      </c>
      <c r="IS62" s="754">
        <v>0.185</v>
      </c>
      <c r="IT62" s="754"/>
      <c r="IU62" s="754"/>
      <c r="IV62" s="754"/>
      <c r="IW62" s="754"/>
      <c r="IX62" s="754"/>
      <c r="IY62" s="754"/>
      <c r="IZ62" s="754"/>
      <c r="JA62" s="753">
        <v>0.916</v>
      </c>
      <c r="JB62" s="753">
        <v>0.927</v>
      </c>
      <c r="JC62" s="753">
        <v>0.977</v>
      </c>
      <c r="JD62" s="753">
        <v>0.987</v>
      </c>
      <c r="JE62" s="753">
        <v>0.998</v>
      </c>
      <c r="JF62" s="753">
        <v>0.998</v>
      </c>
      <c r="JG62" s="753">
        <v>0.998</v>
      </c>
      <c r="JH62" s="753">
        <v>0.998</v>
      </c>
      <c r="JI62" s="753">
        <v>0.998</v>
      </c>
      <c r="JJ62" s="753">
        <v>0.998</v>
      </c>
      <c r="JK62" s="753">
        <v>0.998</v>
      </c>
      <c r="JL62" s="753">
        <v>0.998</v>
      </c>
      <c r="JM62" s="753">
        <v>0.998</v>
      </c>
      <c r="JN62" s="753">
        <v>0.998</v>
      </c>
      <c r="JO62" s="753">
        <v>0.998</v>
      </c>
      <c r="JP62" s="753">
        <v>0.998</v>
      </c>
      <c r="JQ62" s="753">
        <v>0.998</v>
      </c>
      <c r="JR62" s="753">
        <v>0.998</v>
      </c>
      <c r="JS62" s="753">
        <v>0.998</v>
      </c>
      <c r="JT62" s="753">
        <v>0.998</v>
      </c>
      <c r="JU62" s="753">
        <v>0.994</v>
      </c>
      <c r="JV62" s="753">
        <v>0.99</v>
      </c>
      <c r="JW62" s="753">
        <v>0.986</v>
      </c>
      <c r="JX62" s="753">
        <v>0.98</v>
      </c>
      <c r="JY62" s="753">
        <v>0.961</v>
      </c>
      <c r="JZ62" s="753">
        <v>0.914</v>
      </c>
      <c r="KA62" s="753">
        <v>0.776</v>
      </c>
      <c r="KB62" s="753">
        <v>0.413</v>
      </c>
      <c r="KC62" s="753">
        <v>0.038</v>
      </c>
      <c r="KD62" s="753"/>
      <c r="KE62" s="753"/>
      <c r="KF62" s="753"/>
      <c r="KG62" s="753"/>
      <c r="KH62" s="753"/>
      <c r="KI62" s="753"/>
      <c r="KJ62" s="753"/>
      <c r="KK62" s="765" t="s">
        <v>281</v>
      </c>
      <c r="KL62" s="738">
        <v>45</v>
      </c>
      <c r="KM62" s="738">
        <v>122</v>
      </c>
      <c r="KN62" s="646" t="s">
        <v>282</v>
      </c>
      <c r="KO62" s="646" t="s">
        <v>694</v>
      </c>
      <c r="KP62" s="680">
        <v>596392</v>
      </c>
      <c r="KQ62" s="766"/>
      <c r="KR62" s="750"/>
      <c r="KS62" s="769" t="s">
        <v>694</v>
      </c>
      <c r="KT62" s="770" t="s">
        <v>697</v>
      </c>
      <c r="KU62" s="766" t="s">
        <v>698</v>
      </c>
      <c r="KV62" s="750">
        <v>596392</v>
      </c>
      <c r="KW62" s="771"/>
      <c r="KX62" s="750"/>
      <c r="KY62" s="769"/>
      <c r="KZ62" s="770"/>
    </row>
    <row r="63" s="628" customFormat="1" customHeight="1" spans="1:312">
      <c r="A63" s="682" t="s">
        <v>300</v>
      </c>
      <c r="B63" s="683">
        <v>59</v>
      </c>
      <c r="C63" s="689" t="s">
        <v>699</v>
      </c>
      <c r="D63" s="680">
        <v>581409</v>
      </c>
      <c r="E63" s="685">
        <v>40.89</v>
      </c>
      <c r="F63" s="685">
        <v>40.61</v>
      </c>
      <c r="G63" s="688">
        <v>0.01422</v>
      </c>
      <c r="H63" s="686">
        <v>0.0144</v>
      </c>
      <c r="I63" s="696">
        <v>1.54848</v>
      </c>
      <c r="J63" s="696">
        <v>1.55364</v>
      </c>
      <c r="K63" s="696">
        <v>1.5594</v>
      </c>
      <c r="L63" s="696">
        <v>1.56481</v>
      </c>
      <c r="M63" s="696">
        <v>1.56584</v>
      </c>
      <c r="N63" s="696">
        <v>1.56671</v>
      </c>
      <c r="O63" s="696">
        <v>1.57015</v>
      </c>
      <c r="P63" s="696">
        <v>1.5726</v>
      </c>
      <c r="Q63" s="697">
        <v>1.5749</v>
      </c>
      <c r="R63" s="697">
        <v>1.57723</v>
      </c>
      <c r="S63" s="697">
        <v>1.57789</v>
      </c>
      <c r="T63" s="701">
        <v>1.57852</v>
      </c>
      <c r="U63" s="696">
        <v>1.58131</v>
      </c>
      <c r="V63" s="697">
        <v>1.58144</v>
      </c>
      <c r="W63" s="697">
        <v>1.58481</v>
      </c>
      <c r="X63" s="697">
        <v>1.59145</v>
      </c>
      <c r="Y63" s="697">
        <v>1.59229</v>
      </c>
      <c r="Z63" s="697">
        <v>1.59961</v>
      </c>
      <c r="AA63" s="697">
        <v>1.60669</v>
      </c>
      <c r="AB63" s="697">
        <v>1.61951</v>
      </c>
      <c r="AC63" s="704">
        <v>2.44672171</v>
      </c>
      <c r="AD63" s="705">
        <v>-0.00964692814</v>
      </c>
      <c r="AE63" s="705">
        <v>0.0172763622</v>
      </c>
      <c r="AF63" s="705">
        <v>0.00109967502</v>
      </c>
      <c r="AG63" s="705">
        <v>-9.37435013e-5</v>
      </c>
      <c r="AH63" s="705">
        <v>8.00160916e-6</v>
      </c>
      <c r="AI63" s="709">
        <v>0.2961</v>
      </c>
      <c r="AJ63" s="709">
        <v>0.237</v>
      </c>
      <c r="AK63" s="709">
        <v>0.5738</v>
      </c>
      <c r="AL63" s="709">
        <v>0.2465</v>
      </c>
      <c r="AM63" s="709">
        <v>0.234</v>
      </c>
      <c r="AN63" s="709">
        <v>0.5083</v>
      </c>
      <c r="AO63" s="709">
        <v>-0.0007</v>
      </c>
      <c r="AP63" s="709">
        <v>-0.0018</v>
      </c>
      <c r="AQ63" s="709">
        <v>0.0016</v>
      </c>
      <c r="AR63" s="709">
        <v>-0.0006</v>
      </c>
      <c r="AS63" s="714">
        <v>1.4</v>
      </c>
      <c r="AT63" s="714">
        <v>1.6</v>
      </c>
      <c r="AU63" s="714">
        <v>1.5</v>
      </c>
      <c r="AV63" s="714">
        <v>1.6</v>
      </c>
      <c r="AW63" s="714">
        <v>1.9</v>
      </c>
      <c r="AX63" s="714">
        <v>2</v>
      </c>
      <c r="AY63" s="714">
        <v>2.3</v>
      </c>
      <c r="AZ63" s="714">
        <v>2.3</v>
      </c>
      <c r="BA63" s="714">
        <v>2.3</v>
      </c>
      <c r="BB63" s="714">
        <v>2.5</v>
      </c>
      <c r="BC63" s="714">
        <v>2.7</v>
      </c>
      <c r="BD63" s="714">
        <v>1.8</v>
      </c>
      <c r="BE63" s="714">
        <v>1.9</v>
      </c>
      <c r="BF63" s="714">
        <v>2</v>
      </c>
      <c r="BG63" s="714">
        <v>2.3</v>
      </c>
      <c r="BH63" s="714">
        <v>2.6</v>
      </c>
      <c r="BI63" s="714">
        <v>2.6</v>
      </c>
      <c r="BJ63" s="714">
        <v>2.7</v>
      </c>
      <c r="BK63" s="714">
        <v>2.8</v>
      </c>
      <c r="BL63" s="714">
        <v>2.9</v>
      </c>
      <c r="BM63" s="714">
        <v>3.1</v>
      </c>
      <c r="BN63" s="714">
        <v>3.2</v>
      </c>
      <c r="BO63" s="714">
        <v>2</v>
      </c>
      <c r="BP63" s="714">
        <v>2.2</v>
      </c>
      <c r="BQ63" s="714">
        <v>2.3</v>
      </c>
      <c r="BR63" s="714">
        <v>2.5</v>
      </c>
      <c r="BS63" s="714">
        <v>2.7</v>
      </c>
      <c r="BT63" s="714">
        <v>2.8</v>
      </c>
      <c r="BU63" s="714">
        <v>3</v>
      </c>
      <c r="BV63" s="714">
        <v>3.1</v>
      </c>
      <c r="BW63" s="714">
        <v>3.1</v>
      </c>
      <c r="BX63" s="714">
        <v>3.3</v>
      </c>
      <c r="BY63" s="714">
        <v>3.5</v>
      </c>
      <c r="BZ63" s="714">
        <v>2.1</v>
      </c>
      <c r="CA63" s="714">
        <v>2.3</v>
      </c>
      <c r="CB63" s="714">
        <v>2.4</v>
      </c>
      <c r="CC63" s="714">
        <v>2.6</v>
      </c>
      <c r="CD63" s="714">
        <v>2.7</v>
      </c>
      <c r="CE63" s="714">
        <v>2.8</v>
      </c>
      <c r="CF63" s="714">
        <v>3</v>
      </c>
      <c r="CG63" s="714">
        <v>3.1</v>
      </c>
      <c r="CH63" s="714">
        <v>3.2</v>
      </c>
      <c r="CI63" s="714">
        <v>3.3</v>
      </c>
      <c r="CJ63" s="714">
        <v>3.5</v>
      </c>
      <c r="CK63" s="714">
        <v>2.1</v>
      </c>
      <c r="CL63" s="714">
        <v>2.3</v>
      </c>
      <c r="CM63" s="714">
        <v>2.5</v>
      </c>
      <c r="CN63" s="714">
        <v>2.6</v>
      </c>
      <c r="CO63" s="714">
        <v>2.7</v>
      </c>
      <c r="CP63" s="714">
        <v>2.8</v>
      </c>
      <c r="CQ63" s="714">
        <v>3</v>
      </c>
      <c r="CR63" s="714">
        <v>3.2</v>
      </c>
      <c r="CS63" s="714">
        <v>3.3</v>
      </c>
      <c r="CT63" s="714">
        <v>3.4</v>
      </c>
      <c r="CU63" s="714">
        <v>3.6</v>
      </c>
      <c r="CV63" s="714">
        <v>2.5</v>
      </c>
      <c r="CW63" s="714">
        <v>2.5</v>
      </c>
      <c r="CX63" s="714">
        <v>2.6</v>
      </c>
      <c r="CY63" s="714">
        <v>2.8</v>
      </c>
      <c r="CZ63" s="714">
        <v>3</v>
      </c>
      <c r="DA63" s="714">
        <v>3.2</v>
      </c>
      <c r="DB63" s="714">
        <v>3.3</v>
      </c>
      <c r="DC63" s="714">
        <v>3.5</v>
      </c>
      <c r="DD63" s="714">
        <v>3.6</v>
      </c>
      <c r="DE63" s="714">
        <v>3.7</v>
      </c>
      <c r="DF63" s="714">
        <v>3.9</v>
      </c>
      <c r="DG63" s="714">
        <v>2.6</v>
      </c>
      <c r="DH63" s="715">
        <v>2.7</v>
      </c>
      <c r="DI63" s="715">
        <v>2.8</v>
      </c>
      <c r="DJ63" s="714">
        <v>3.1</v>
      </c>
      <c r="DK63" s="715">
        <v>3.3</v>
      </c>
      <c r="DL63" s="715">
        <v>3.5</v>
      </c>
      <c r="DM63" s="714">
        <v>3.8</v>
      </c>
      <c r="DN63" s="715">
        <v>3.9</v>
      </c>
      <c r="DO63" s="715">
        <v>4.1</v>
      </c>
      <c r="DP63" s="714">
        <v>4.2</v>
      </c>
      <c r="DQ63" s="714">
        <v>4.3</v>
      </c>
      <c r="DR63" s="714">
        <v>2.9</v>
      </c>
      <c r="DS63" s="714">
        <v>3.1</v>
      </c>
      <c r="DT63" s="714">
        <v>3.4</v>
      </c>
      <c r="DU63" s="714">
        <v>3.5</v>
      </c>
      <c r="DV63" s="714">
        <v>3.7</v>
      </c>
      <c r="DW63" s="714">
        <v>3.9</v>
      </c>
      <c r="DX63" s="714">
        <v>4.2</v>
      </c>
      <c r="DY63" s="714">
        <v>4.3</v>
      </c>
      <c r="DZ63" s="714">
        <v>4.4</v>
      </c>
      <c r="EA63" s="714">
        <v>4.5</v>
      </c>
      <c r="EB63" s="714">
        <v>4.7</v>
      </c>
      <c r="EC63" s="714">
        <v>3</v>
      </c>
      <c r="ED63" s="714">
        <v>3.1</v>
      </c>
      <c r="EE63" s="714">
        <v>3.5</v>
      </c>
      <c r="EF63" s="714">
        <v>3.6</v>
      </c>
      <c r="EG63" s="714">
        <v>3.7</v>
      </c>
      <c r="EH63" s="714">
        <v>3.9</v>
      </c>
      <c r="EI63" s="714">
        <v>4.2</v>
      </c>
      <c r="EJ63" s="714">
        <v>4.4</v>
      </c>
      <c r="EK63" s="714">
        <v>4.5</v>
      </c>
      <c r="EL63" s="714">
        <v>4.6</v>
      </c>
      <c r="EM63" s="714">
        <v>4.8</v>
      </c>
      <c r="EN63" s="714">
        <v>3.6</v>
      </c>
      <c r="EO63" s="714">
        <v>3.8</v>
      </c>
      <c r="EP63" s="714">
        <v>4.2</v>
      </c>
      <c r="EQ63" s="714">
        <v>4.4</v>
      </c>
      <c r="ER63" s="714">
        <v>4.6</v>
      </c>
      <c r="ES63" s="714">
        <v>4.8</v>
      </c>
      <c r="ET63" s="714">
        <v>5</v>
      </c>
      <c r="EU63" s="714">
        <v>5.3</v>
      </c>
      <c r="EV63" s="714">
        <v>5.4</v>
      </c>
      <c r="EW63" s="714">
        <v>5.6</v>
      </c>
      <c r="EX63" s="714">
        <v>5.8</v>
      </c>
      <c r="EY63" s="714">
        <v>-0.4</v>
      </c>
      <c r="EZ63" s="714">
        <v>0.2</v>
      </c>
      <c r="FA63" s="714">
        <v>0.7</v>
      </c>
      <c r="FB63" s="714">
        <v>1</v>
      </c>
      <c r="FC63" s="714">
        <v>1.3</v>
      </c>
      <c r="FD63" s="714">
        <v>1.6</v>
      </c>
      <c r="FE63" s="714">
        <v>1.9</v>
      </c>
      <c r="FF63" s="714">
        <v>2.2</v>
      </c>
      <c r="FG63" s="714">
        <v>2.4</v>
      </c>
      <c r="FH63" s="714">
        <v>2.6</v>
      </c>
      <c r="FI63" s="714">
        <v>2.9</v>
      </c>
      <c r="FJ63" s="725">
        <v>3.81e-7</v>
      </c>
      <c r="FK63" s="725">
        <v>1.8e-8</v>
      </c>
      <c r="FL63" s="725">
        <v>-3.28e-11</v>
      </c>
      <c r="FM63" s="725">
        <v>7.19e-7</v>
      </c>
      <c r="FN63" s="725">
        <v>6.44e-10</v>
      </c>
      <c r="FO63" s="725">
        <v>0.245</v>
      </c>
      <c r="FP63" s="729">
        <v>1</v>
      </c>
      <c r="FQ63" s="729">
        <v>1</v>
      </c>
      <c r="FR63" s="729">
        <v>1</v>
      </c>
      <c r="FS63" s="729">
        <v>1</v>
      </c>
      <c r="FT63" s="729">
        <v>1</v>
      </c>
      <c r="FU63" s="729">
        <v>1</v>
      </c>
      <c r="FV63" s="681">
        <v>1</v>
      </c>
      <c r="FW63" s="729"/>
      <c r="FX63" s="729"/>
      <c r="FY63" s="729"/>
      <c r="FZ63" s="746">
        <v>590</v>
      </c>
      <c r="GA63" s="746">
        <v>649</v>
      </c>
      <c r="GB63" s="681">
        <v>515</v>
      </c>
      <c r="GC63" s="681">
        <v>559</v>
      </c>
      <c r="GD63" s="747">
        <v>0.98</v>
      </c>
      <c r="GE63" s="729"/>
      <c r="GF63" s="681">
        <v>82</v>
      </c>
      <c r="GG63" s="681">
        <v>98</v>
      </c>
      <c r="GH63" s="681">
        <v>73</v>
      </c>
      <c r="GI63" s="681">
        <v>76</v>
      </c>
      <c r="GJ63" s="681">
        <v>78</v>
      </c>
      <c r="GK63" s="681">
        <v>79</v>
      </c>
      <c r="GL63" s="681">
        <v>80</v>
      </c>
      <c r="GM63" s="681">
        <v>80</v>
      </c>
      <c r="GN63" s="681">
        <v>81</v>
      </c>
      <c r="GO63" s="681">
        <v>82</v>
      </c>
      <c r="GP63" s="681">
        <v>82</v>
      </c>
      <c r="GQ63" s="681">
        <v>83</v>
      </c>
      <c r="GR63" s="681">
        <v>84</v>
      </c>
      <c r="GS63" s="681">
        <v>84</v>
      </c>
      <c r="GT63" s="681">
        <v>85</v>
      </c>
      <c r="GU63" s="681">
        <v>85</v>
      </c>
      <c r="GV63" s="681">
        <v>86</v>
      </c>
      <c r="GW63" s="681">
        <v>87</v>
      </c>
      <c r="GX63" s="681">
        <v>88</v>
      </c>
      <c r="GY63" s="681">
        <v>90</v>
      </c>
      <c r="GZ63" s="681">
        <v>91</v>
      </c>
      <c r="HA63" s="681">
        <v>92</v>
      </c>
      <c r="HB63" s="681">
        <v>93</v>
      </c>
      <c r="HC63" s="681"/>
      <c r="HD63" s="750">
        <v>200</v>
      </c>
      <c r="HE63" s="681"/>
      <c r="HF63" s="681">
        <v>499</v>
      </c>
      <c r="HG63" s="738">
        <v>128</v>
      </c>
      <c r="HH63" s="714">
        <v>70.3</v>
      </c>
      <c r="HI63" s="714">
        <v>27.7</v>
      </c>
      <c r="HJ63" s="753">
        <v>0.269</v>
      </c>
      <c r="HK63" s="681">
        <v>62</v>
      </c>
      <c r="HL63" s="685">
        <v>3.07</v>
      </c>
      <c r="HM63" s="747">
        <v>2.64</v>
      </c>
      <c r="HN63" s="729" t="s">
        <v>700</v>
      </c>
      <c r="HO63" s="729" t="s">
        <v>695</v>
      </c>
      <c r="HP63" s="714">
        <v>-0.6</v>
      </c>
      <c r="HQ63" s="754">
        <v>0.933</v>
      </c>
      <c r="HR63" s="754">
        <v>0.946</v>
      </c>
      <c r="HS63" s="754">
        <v>0.98</v>
      </c>
      <c r="HT63" s="754">
        <v>0.99</v>
      </c>
      <c r="HU63" s="754">
        <v>0.999</v>
      </c>
      <c r="HV63" s="754">
        <v>0.999</v>
      </c>
      <c r="HW63" s="754">
        <v>0.999</v>
      </c>
      <c r="HX63" s="754">
        <v>0.999</v>
      </c>
      <c r="HY63" s="754">
        <v>0.999</v>
      </c>
      <c r="HZ63" s="754">
        <v>0.999</v>
      </c>
      <c r="IA63" s="754">
        <v>0.999</v>
      </c>
      <c r="IB63" s="754">
        <v>0.999</v>
      </c>
      <c r="IC63" s="754">
        <v>0.999</v>
      </c>
      <c r="ID63" s="754">
        <v>0.999</v>
      </c>
      <c r="IE63" s="754">
        <v>0.999</v>
      </c>
      <c r="IF63" s="754">
        <v>0.999</v>
      </c>
      <c r="IG63" s="754">
        <v>0.999</v>
      </c>
      <c r="IH63" s="754">
        <v>0.999</v>
      </c>
      <c r="II63" s="754">
        <v>0.999</v>
      </c>
      <c r="IJ63" s="754">
        <v>0.998</v>
      </c>
      <c r="IK63" s="754">
        <v>0.997</v>
      </c>
      <c r="IL63" s="754">
        <v>0.996</v>
      </c>
      <c r="IM63" s="754">
        <v>0.994</v>
      </c>
      <c r="IN63" s="754">
        <v>0.992</v>
      </c>
      <c r="IO63" s="754">
        <v>0.986</v>
      </c>
      <c r="IP63" s="754">
        <v>0.966</v>
      </c>
      <c r="IQ63" s="754">
        <v>0.903</v>
      </c>
      <c r="IR63" s="754">
        <v>0.701</v>
      </c>
      <c r="IS63" s="754">
        <v>0.268</v>
      </c>
      <c r="IT63" s="754"/>
      <c r="IU63" s="754"/>
      <c r="IV63" s="754"/>
      <c r="IW63" s="754"/>
      <c r="IX63" s="754"/>
      <c r="IY63" s="754"/>
      <c r="IZ63" s="754"/>
      <c r="JA63" s="753">
        <v>0.81</v>
      </c>
      <c r="JB63" s="753">
        <v>0.859</v>
      </c>
      <c r="JC63" s="753">
        <v>0.96</v>
      </c>
      <c r="JD63" s="753">
        <v>0.98</v>
      </c>
      <c r="JE63" s="753">
        <v>0.998</v>
      </c>
      <c r="JF63" s="753">
        <v>0.998</v>
      </c>
      <c r="JG63" s="753">
        <v>0.998</v>
      </c>
      <c r="JH63" s="753">
        <v>0.998</v>
      </c>
      <c r="JI63" s="753">
        <v>0.998</v>
      </c>
      <c r="JJ63" s="753">
        <v>0.998</v>
      </c>
      <c r="JK63" s="753">
        <v>0.998</v>
      </c>
      <c r="JL63" s="753">
        <v>0.998</v>
      </c>
      <c r="JM63" s="753">
        <v>0.998</v>
      </c>
      <c r="JN63" s="753">
        <v>0.998</v>
      </c>
      <c r="JO63" s="753">
        <v>0.998</v>
      </c>
      <c r="JP63" s="753">
        <v>0.998</v>
      </c>
      <c r="JQ63" s="753">
        <v>0.998</v>
      </c>
      <c r="JR63" s="753">
        <v>0.998</v>
      </c>
      <c r="JS63" s="753">
        <v>0.998</v>
      </c>
      <c r="JT63" s="753">
        <v>0.996</v>
      </c>
      <c r="JU63" s="753">
        <v>0.994</v>
      </c>
      <c r="JV63" s="753">
        <v>0.992</v>
      </c>
      <c r="JW63" s="753">
        <v>0.989</v>
      </c>
      <c r="JX63" s="753">
        <v>0.981</v>
      </c>
      <c r="JY63" s="753">
        <v>0.966</v>
      </c>
      <c r="JZ63" s="753">
        <v>0.926</v>
      </c>
      <c r="KA63" s="753">
        <v>0.808</v>
      </c>
      <c r="KB63" s="753">
        <v>0.488</v>
      </c>
      <c r="KC63" s="753">
        <v>0.075</v>
      </c>
      <c r="KD63" s="753"/>
      <c r="KE63" s="753"/>
      <c r="KF63" s="753"/>
      <c r="KG63" s="753"/>
      <c r="KH63" s="753"/>
      <c r="KI63" s="753"/>
      <c r="KJ63" s="753"/>
      <c r="KK63" s="765" t="s">
        <v>281</v>
      </c>
      <c r="KL63" s="738">
        <v>39</v>
      </c>
      <c r="KM63" s="738">
        <v>103</v>
      </c>
      <c r="KN63" s="646" t="s">
        <v>339</v>
      </c>
      <c r="KO63" s="646" t="s">
        <v>699</v>
      </c>
      <c r="KP63" s="680">
        <v>581409</v>
      </c>
      <c r="KQ63" s="766" t="s">
        <v>701</v>
      </c>
      <c r="KR63" s="750" t="s">
        <v>702</v>
      </c>
      <c r="KS63" s="769" t="s">
        <v>703</v>
      </c>
      <c r="KT63" s="770" t="s">
        <v>704</v>
      </c>
      <c r="KU63" s="766" t="s">
        <v>705</v>
      </c>
      <c r="KV63" s="750">
        <v>581409</v>
      </c>
      <c r="KW63" s="771"/>
      <c r="KX63" s="750"/>
      <c r="KY63" s="769" t="s">
        <v>706</v>
      </c>
      <c r="KZ63" s="770" t="s">
        <v>707</v>
      </c>
    </row>
    <row r="64" s="628" customFormat="1" customHeight="1" spans="1:312">
      <c r="A64" s="682" t="s">
        <v>300</v>
      </c>
      <c r="B64" s="683">
        <v>60</v>
      </c>
      <c r="C64" s="689" t="s">
        <v>708</v>
      </c>
      <c r="D64" s="680">
        <v>603380</v>
      </c>
      <c r="E64" s="685">
        <v>38.01</v>
      </c>
      <c r="F64" s="685">
        <v>37.74</v>
      </c>
      <c r="G64" s="688">
        <v>0.015875</v>
      </c>
      <c r="H64" s="686">
        <v>0.016088</v>
      </c>
      <c r="I64" s="696">
        <v>1.5676</v>
      </c>
      <c r="J64" s="696">
        <v>1.57308</v>
      </c>
      <c r="K64" s="696">
        <v>1.57923</v>
      </c>
      <c r="L64" s="696">
        <v>1.58506</v>
      </c>
      <c r="M64" s="696">
        <v>1.58618</v>
      </c>
      <c r="N64" s="696">
        <v>1.58713</v>
      </c>
      <c r="O64" s="696">
        <v>1.59091</v>
      </c>
      <c r="P64" s="696">
        <v>1.59361</v>
      </c>
      <c r="Q64" s="697">
        <v>1.59615</v>
      </c>
      <c r="R64" s="697">
        <v>1.59874</v>
      </c>
      <c r="S64" s="697">
        <v>1.59948</v>
      </c>
      <c r="T64" s="701">
        <v>1.60017</v>
      </c>
      <c r="U64" s="697">
        <v>1.60328</v>
      </c>
      <c r="V64" s="697">
        <v>1.60342</v>
      </c>
      <c r="W64" s="697">
        <v>1.60718</v>
      </c>
      <c r="X64" s="697">
        <v>1.61462</v>
      </c>
      <c r="Y64" s="697">
        <v>1.61557</v>
      </c>
      <c r="Z64" s="697">
        <v>1.62386</v>
      </c>
      <c r="AA64" s="697">
        <v>1.6319</v>
      </c>
      <c r="AB64" s="697">
        <v>1.64667</v>
      </c>
      <c r="AC64" s="704">
        <v>2.50960367</v>
      </c>
      <c r="AD64" s="705">
        <v>-0.0103328069</v>
      </c>
      <c r="AE64" s="705">
        <v>0.0194468683</v>
      </c>
      <c r="AF64" s="705">
        <v>0.00123207636</v>
      </c>
      <c r="AG64" s="705">
        <v>-9.94382918e-5</v>
      </c>
      <c r="AH64" s="705">
        <v>9.44281258e-6</v>
      </c>
      <c r="AI64" s="709">
        <v>0.2948</v>
      </c>
      <c r="AJ64" s="709">
        <v>0.2369</v>
      </c>
      <c r="AK64" s="709">
        <v>0.582</v>
      </c>
      <c r="AL64" s="709">
        <v>0.2449</v>
      </c>
      <c r="AM64" s="709">
        <v>0.2337</v>
      </c>
      <c r="AN64" s="709">
        <v>0.5153</v>
      </c>
      <c r="AO64" s="709">
        <v>-0.0006</v>
      </c>
      <c r="AP64" s="709">
        <v>0.0016</v>
      </c>
      <c r="AQ64" s="709">
        <v>0.007</v>
      </c>
      <c r="AR64" s="709">
        <v>0.0016</v>
      </c>
      <c r="AS64" s="714">
        <v>1.8</v>
      </c>
      <c r="AT64" s="714">
        <v>1.8</v>
      </c>
      <c r="AU64" s="714">
        <v>1.7</v>
      </c>
      <c r="AV64" s="714">
        <v>1.7</v>
      </c>
      <c r="AW64" s="714">
        <v>1.8</v>
      </c>
      <c r="AX64" s="714">
        <v>1.8</v>
      </c>
      <c r="AY64" s="714">
        <v>1.8</v>
      </c>
      <c r="AZ64" s="714">
        <v>1.9</v>
      </c>
      <c r="BA64" s="714">
        <v>1.9</v>
      </c>
      <c r="BB64" s="714">
        <v>2</v>
      </c>
      <c r="BC64" s="714">
        <v>2</v>
      </c>
      <c r="BD64" s="714">
        <v>2.1</v>
      </c>
      <c r="BE64" s="714">
        <v>2.1</v>
      </c>
      <c r="BF64" s="714">
        <v>2.2</v>
      </c>
      <c r="BG64" s="714">
        <v>2.2</v>
      </c>
      <c r="BH64" s="714">
        <v>2.2</v>
      </c>
      <c r="BI64" s="714">
        <v>2.2</v>
      </c>
      <c r="BJ64" s="714">
        <v>2.3</v>
      </c>
      <c r="BK64" s="714">
        <v>2.4</v>
      </c>
      <c r="BL64" s="714">
        <v>2.4</v>
      </c>
      <c r="BM64" s="714">
        <v>2.5</v>
      </c>
      <c r="BN64" s="714">
        <v>2.5</v>
      </c>
      <c r="BO64" s="714">
        <v>2.3</v>
      </c>
      <c r="BP64" s="714">
        <v>2.3</v>
      </c>
      <c r="BQ64" s="714">
        <v>2.3</v>
      </c>
      <c r="BR64" s="714">
        <v>2.4</v>
      </c>
      <c r="BS64" s="714">
        <v>2.4</v>
      </c>
      <c r="BT64" s="714">
        <v>2.6</v>
      </c>
      <c r="BU64" s="714">
        <v>2.6</v>
      </c>
      <c r="BV64" s="714">
        <v>2.7</v>
      </c>
      <c r="BW64" s="714">
        <v>2.7</v>
      </c>
      <c r="BX64" s="714">
        <v>2.8</v>
      </c>
      <c r="BY64" s="714">
        <v>2.8</v>
      </c>
      <c r="BZ64" s="714">
        <v>2.4</v>
      </c>
      <c r="CA64" s="714">
        <v>2.4</v>
      </c>
      <c r="CB64" s="714">
        <v>2.4</v>
      </c>
      <c r="CC64" s="714">
        <v>2.4</v>
      </c>
      <c r="CD64" s="714">
        <v>2.4</v>
      </c>
      <c r="CE64" s="714">
        <v>2.6</v>
      </c>
      <c r="CF64" s="714">
        <v>2.6</v>
      </c>
      <c r="CG64" s="714">
        <v>2.7</v>
      </c>
      <c r="CH64" s="714">
        <v>2.7</v>
      </c>
      <c r="CI64" s="714">
        <v>2.8</v>
      </c>
      <c r="CJ64" s="714">
        <v>2.9</v>
      </c>
      <c r="CK64" s="714">
        <v>2.4</v>
      </c>
      <c r="CL64" s="714">
        <v>2.4</v>
      </c>
      <c r="CM64" s="714">
        <v>2.4</v>
      </c>
      <c r="CN64" s="714">
        <v>2.5</v>
      </c>
      <c r="CO64" s="714">
        <v>2.6</v>
      </c>
      <c r="CP64" s="714">
        <v>2.7</v>
      </c>
      <c r="CQ64" s="714">
        <v>2.7</v>
      </c>
      <c r="CR64" s="714">
        <v>2.8</v>
      </c>
      <c r="CS64" s="714">
        <v>2.8</v>
      </c>
      <c r="CT64" s="714">
        <v>2.8</v>
      </c>
      <c r="CU64" s="714">
        <v>2.9</v>
      </c>
      <c r="CV64" s="714">
        <v>2.6</v>
      </c>
      <c r="CW64" s="714">
        <v>2.6</v>
      </c>
      <c r="CX64" s="714">
        <v>2.7</v>
      </c>
      <c r="CY64" s="714">
        <v>2.7</v>
      </c>
      <c r="CZ64" s="714">
        <v>2.7</v>
      </c>
      <c r="DA64" s="714">
        <v>2.8</v>
      </c>
      <c r="DB64" s="714">
        <v>2.8</v>
      </c>
      <c r="DC64" s="714">
        <v>3</v>
      </c>
      <c r="DD64" s="714">
        <v>3.1</v>
      </c>
      <c r="DE64" s="714">
        <v>3.2</v>
      </c>
      <c r="DF64" s="714">
        <v>3.4</v>
      </c>
      <c r="DG64" s="714">
        <v>2.8</v>
      </c>
      <c r="DH64" s="714">
        <v>2.9</v>
      </c>
      <c r="DI64" s="714">
        <v>2.9</v>
      </c>
      <c r="DJ64" s="714">
        <v>2.9</v>
      </c>
      <c r="DK64" s="714">
        <v>2.9</v>
      </c>
      <c r="DL64" s="714">
        <v>3.1</v>
      </c>
      <c r="DM64" s="714">
        <v>3.1</v>
      </c>
      <c r="DN64" s="714">
        <v>3.1</v>
      </c>
      <c r="DO64" s="714">
        <v>3.3</v>
      </c>
      <c r="DP64" s="714">
        <v>3.4</v>
      </c>
      <c r="DQ64" s="714">
        <v>3.6</v>
      </c>
      <c r="DR64" s="714">
        <v>3.4</v>
      </c>
      <c r="DS64" s="714">
        <v>3.5</v>
      </c>
      <c r="DT64" s="714">
        <v>3.5</v>
      </c>
      <c r="DU64" s="714">
        <v>3.6</v>
      </c>
      <c r="DV64" s="714">
        <v>3.6</v>
      </c>
      <c r="DW64" s="714">
        <v>3.7</v>
      </c>
      <c r="DX64" s="714">
        <v>3.8</v>
      </c>
      <c r="DY64" s="714">
        <v>3.9</v>
      </c>
      <c r="DZ64" s="714">
        <v>4.1</v>
      </c>
      <c r="EA64" s="714">
        <v>4.2</v>
      </c>
      <c r="EB64" s="714">
        <v>4.4</v>
      </c>
      <c r="EC64" s="714">
        <v>3.4</v>
      </c>
      <c r="ED64" s="714">
        <v>3.5</v>
      </c>
      <c r="EE64" s="714">
        <v>3.5</v>
      </c>
      <c r="EF64" s="714">
        <v>3.7</v>
      </c>
      <c r="EG64" s="714">
        <v>3.7</v>
      </c>
      <c r="EH64" s="714">
        <v>3.9</v>
      </c>
      <c r="EI64" s="714">
        <v>3.9</v>
      </c>
      <c r="EJ64" s="714">
        <v>4</v>
      </c>
      <c r="EK64" s="714">
        <v>4.2</v>
      </c>
      <c r="EL64" s="714">
        <v>4.3</v>
      </c>
      <c r="EM64" s="714">
        <v>4.5</v>
      </c>
      <c r="EN64" s="714">
        <v>4.3</v>
      </c>
      <c r="EO64" s="714">
        <v>4.3</v>
      </c>
      <c r="EP64" s="714">
        <v>4.5</v>
      </c>
      <c r="EQ64" s="714">
        <v>4.5</v>
      </c>
      <c r="ER64" s="714">
        <v>4.5</v>
      </c>
      <c r="ES64" s="714">
        <v>4.7</v>
      </c>
      <c r="ET64" s="714">
        <v>4.9</v>
      </c>
      <c r="EU64" s="714">
        <v>5.1</v>
      </c>
      <c r="EV64" s="714">
        <v>5.2</v>
      </c>
      <c r="EW64" s="714">
        <v>5.3</v>
      </c>
      <c r="EX64" s="714">
        <v>5.5</v>
      </c>
      <c r="EY64" s="714">
        <v>-0.2</v>
      </c>
      <c r="EZ64" s="714">
        <v>0.2</v>
      </c>
      <c r="FA64" s="714">
        <v>0.6</v>
      </c>
      <c r="FB64" s="714">
        <v>0.9</v>
      </c>
      <c r="FC64" s="714">
        <v>1.2</v>
      </c>
      <c r="FD64" s="714">
        <v>1.5</v>
      </c>
      <c r="FE64" s="714">
        <v>1.6</v>
      </c>
      <c r="FF64" s="714">
        <v>1.8</v>
      </c>
      <c r="FG64" s="714">
        <v>1.9</v>
      </c>
      <c r="FH64" s="714">
        <v>2</v>
      </c>
      <c r="FI64" s="714">
        <v>2.2</v>
      </c>
      <c r="FJ64" s="723">
        <v>1.43e-7</v>
      </c>
      <c r="FK64" s="723">
        <v>1.19e-8</v>
      </c>
      <c r="FL64" s="723">
        <v>-2.03e-11</v>
      </c>
      <c r="FM64" s="723">
        <v>5.89e-7</v>
      </c>
      <c r="FN64" s="723">
        <v>5.54e-10</v>
      </c>
      <c r="FO64" s="723">
        <v>0.298</v>
      </c>
      <c r="FP64" s="729">
        <v>1</v>
      </c>
      <c r="FQ64" s="729">
        <v>1</v>
      </c>
      <c r="FR64" s="729">
        <v>1</v>
      </c>
      <c r="FS64" s="729">
        <v>1</v>
      </c>
      <c r="FT64" s="729">
        <v>1</v>
      </c>
      <c r="FU64" s="729">
        <v>1</v>
      </c>
      <c r="FV64" s="681">
        <v>3</v>
      </c>
      <c r="FW64" s="729"/>
      <c r="FX64" s="729"/>
      <c r="FY64" s="729"/>
      <c r="FZ64" s="746">
        <v>591</v>
      </c>
      <c r="GA64" s="746">
        <v>638</v>
      </c>
      <c r="GB64" s="681">
        <v>517</v>
      </c>
      <c r="GC64" s="681">
        <v>565</v>
      </c>
      <c r="GD64" s="747">
        <v>1.19</v>
      </c>
      <c r="GE64" s="729"/>
      <c r="GF64" s="681">
        <v>79</v>
      </c>
      <c r="GG64" s="681">
        <v>98</v>
      </c>
      <c r="GH64" s="681">
        <v>73</v>
      </c>
      <c r="GI64" s="681">
        <v>74</v>
      </c>
      <c r="GJ64" s="681">
        <v>74</v>
      </c>
      <c r="GK64" s="681">
        <v>74</v>
      </c>
      <c r="GL64" s="681">
        <v>76</v>
      </c>
      <c r="GM64" s="681">
        <v>78</v>
      </c>
      <c r="GN64" s="681">
        <v>78</v>
      </c>
      <c r="GO64" s="681">
        <v>80</v>
      </c>
      <c r="GP64" s="681">
        <v>81</v>
      </c>
      <c r="GQ64" s="681">
        <v>82</v>
      </c>
      <c r="GR64" s="681">
        <v>83</v>
      </c>
      <c r="GS64" s="681">
        <v>83</v>
      </c>
      <c r="GT64" s="681">
        <v>86</v>
      </c>
      <c r="GU64" s="681">
        <v>87</v>
      </c>
      <c r="GV64" s="681">
        <v>88</v>
      </c>
      <c r="GW64" s="681">
        <v>89</v>
      </c>
      <c r="GX64" s="681">
        <v>90</v>
      </c>
      <c r="GY64" s="681">
        <v>93</v>
      </c>
      <c r="GZ64" s="681">
        <v>93</v>
      </c>
      <c r="HA64" s="681">
        <v>95</v>
      </c>
      <c r="HB64" s="681">
        <v>97</v>
      </c>
      <c r="HC64" s="681"/>
      <c r="HD64" s="750">
        <v>207</v>
      </c>
      <c r="HE64" s="681"/>
      <c r="HF64" s="681">
        <v>491</v>
      </c>
      <c r="HG64" s="738">
        <v>141</v>
      </c>
      <c r="HH64" s="714">
        <v>76.6</v>
      </c>
      <c r="HI64" s="714">
        <v>31.3</v>
      </c>
      <c r="HJ64" s="753">
        <v>0.223</v>
      </c>
      <c r="HK64" s="681"/>
      <c r="HL64" s="685">
        <v>2.74</v>
      </c>
      <c r="HM64" s="747">
        <v>2.63</v>
      </c>
      <c r="HN64" s="729" t="s">
        <v>709</v>
      </c>
      <c r="HO64" s="729" t="s">
        <v>710</v>
      </c>
      <c r="HP64" s="714">
        <v>-0.4</v>
      </c>
      <c r="HQ64" s="753">
        <v>0.938</v>
      </c>
      <c r="HR64" s="753">
        <v>0.95</v>
      </c>
      <c r="HS64" s="753">
        <v>0.987</v>
      </c>
      <c r="HT64" s="753">
        <v>0.996</v>
      </c>
      <c r="HU64" s="753">
        <v>0.999</v>
      </c>
      <c r="HV64" s="753">
        <v>0.999</v>
      </c>
      <c r="HW64" s="753">
        <v>0.999</v>
      </c>
      <c r="HX64" s="753">
        <v>0.999</v>
      </c>
      <c r="HY64" s="753">
        <v>0.999</v>
      </c>
      <c r="HZ64" s="753">
        <v>0.999</v>
      </c>
      <c r="IA64" s="753">
        <v>0.999</v>
      </c>
      <c r="IB64" s="753">
        <v>0.999</v>
      </c>
      <c r="IC64" s="753">
        <v>0.999</v>
      </c>
      <c r="ID64" s="753">
        <v>0.999</v>
      </c>
      <c r="IE64" s="753">
        <v>0.999</v>
      </c>
      <c r="IF64" s="753">
        <v>0.999</v>
      </c>
      <c r="IG64" s="753">
        <v>0.999</v>
      </c>
      <c r="IH64" s="753">
        <v>0.999</v>
      </c>
      <c r="II64" s="753">
        <v>0.999</v>
      </c>
      <c r="IJ64" s="753">
        <v>0.998</v>
      </c>
      <c r="IK64" s="753">
        <v>0.997</v>
      </c>
      <c r="IL64" s="753">
        <v>0.995</v>
      </c>
      <c r="IM64" s="753">
        <v>0.991</v>
      </c>
      <c r="IN64" s="753">
        <v>0.985</v>
      </c>
      <c r="IO64" s="753">
        <v>0.975</v>
      </c>
      <c r="IP64" s="753">
        <v>0.94</v>
      </c>
      <c r="IQ64" s="753">
        <v>0.841</v>
      </c>
      <c r="IR64" s="753">
        <v>0.54</v>
      </c>
      <c r="IS64" s="754">
        <v>0.112</v>
      </c>
      <c r="IT64" s="754"/>
      <c r="IU64" s="754"/>
      <c r="IV64" s="754"/>
      <c r="IW64" s="754"/>
      <c r="IX64" s="754"/>
      <c r="IY64" s="754"/>
      <c r="IZ64" s="754"/>
      <c r="JA64" s="753">
        <v>0.867</v>
      </c>
      <c r="JB64" s="753">
        <v>0.892</v>
      </c>
      <c r="JC64" s="753">
        <v>0.961</v>
      </c>
      <c r="JD64" s="753">
        <v>0.982</v>
      </c>
      <c r="JE64" s="753">
        <v>0.998</v>
      </c>
      <c r="JF64" s="753">
        <v>0.998</v>
      </c>
      <c r="JG64" s="753">
        <v>0.998</v>
      </c>
      <c r="JH64" s="753">
        <v>0.998</v>
      </c>
      <c r="JI64" s="753">
        <v>0.998</v>
      </c>
      <c r="JJ64" s="753">
        <v>0.998</v>
      </c>
      <c r="JK64" s="753">
        <v>0.998</v>
      </c>
      <c r="JL64" s="753">
        <v>0.998</v>
      </c>
      <c r="JM64" s="753">
        <v>0.998</v>
      </c>
      <c r="JN64" s="753">
        <v>0.998</v>
      </c>
      <c r="JO64" s="753">
        <v>0.998</v>
      </c>
      <c r="JP64" s="753">
        <v>0.998</v>
      </c>
      <c r="JQ64" s="753">
        <v>0.998</v>
      </c>
      <c r="JR64" s="753">
        <v>0.998</v>
      </c>
      <c r="JS64" s="753">
        <v>0.998</v>
      </c>
      <c r="JT64" s="753">
        <v>0.996</v>
      </c>
      <c r="JU64" s="753">
        <v>0.993</v>
      </c>
      <c r="JV64" s="753">
        <v>0.99</v>
      </c>
      <c r="JW64" s="753">
        <v>0.981</v>
      </c>
      <c r="JX64" s="753">
        <v>0.965</v>
      </c>
      <c r="JY64" s="753">
        <v>0.944</v>
      </c>
      <c r="JZ64" s="753">
        <v>0.867</v>
      </c>
      <c r="KA64" s="753">
        <v>0.683</v>
      </c>
      <c r="KB64" s="753">
        <v>0.279</v>
      </c>
      <c r="KC64" s="754">
        <v>0.018</v>
      </c>
      <c r="KD64" s="754"/>
      <c r="KE64" s="754"/>
      <c r="KF64" s="754"/>
      <c r="KG64" s="754"/>
      <c r="KH64" s="754"/>
      <c r="KI64" s="754"/>
      <c r="KJ64" s="754"/>
      <c r="KK64" s="765" t="s">
        <v>281</v>
      </c>
      <c r="KL64" s="738">
        <v>27</v>
      </c>
      <c r="KM64" s="738">
        <v>71</v>
      </c>
      <c r="KN64" s="646" t="s">
        <v>282</v>
      </c>
      <c r="KO64" s="646" t="s">
        <v>708</v>
      </c>
      <c r="KP64" s="680">
        <v>603380</v>
      </c>
      <c r="KQ64" s="766" t="s">
        <v>711</v>
      </c>
      <c r="KR64" s="750" t="s">
        <v>712</v>
      </c>
      <c r="KS64" s="769" t="s">
        <v>708</v>
      </c>
      <c r="KT64" s="770" t="s">
        <v>712</v>
      </c>
      <c r="KU64" s="766" t="s">
        <v>713</v>
      </c>
      <c r="KV64" s="750">
        <v>603380</v>
      </c>
      <c r="KW64" s="771"/>
      <c r="KX64" s="750"/>
      <c r="KY64" s="769" t="s">
        <v>714</v>
      </c>
      <c r="KZ64" s="770" t="s">
        <v>712</v>
      </c>
    </row>
    <row r="65" s="628" customFormat="1" customHeight="1" spans="1:312">
      <c r="A65" s="682" t="s">
        <v>277</v>
      </c>
      <c r="B65" s="683">
        <v>61</v>
      </c>
      <c r="C65" s="689" t="s">
        <v>715</v>
      </c>
      <c r="D65" s="680">
        <v>620364</v>
      </c>
      <c r="E65" s="685">
        <v>36.35</v>
      </c>
      <c r="F65" s="685">
        <v>36.09</v>
      </c>
      <c r="G65" s="688">
        <v>0.01706</v>
      </c>
      <c r="H65" s="686">
        <v>0.017291</v>
      </c>
      <c r="I65" s="696">
        <v>1.58141</v>
      </c>
      <c r="J65" s="696">
        <v>1.58736</v>
      </c>
      <c r="K65" s="696">
        <v>1.59402</v>
      </c>
      <c r="L65" s="696">
        <v>1.60033</v>
      </c>
      <c r="M65" s="696">
        <v>1.60154</v>
      </c>
      <c r="N65" s="696">
        <v>1.60256</v>
      </c>
      <c r="O65" s="696">
        <v>1.60664</v>
      </c>
      <c r="P65" s="696">
        <v>1.60954</v>
      </c>
      <c r="Q65" s="696">
        <v>1.61226</v>
      </c>
      <c r="R65" s="696">
        <v>1.61504</v>
      </c>
      <c r="S65" s="696">
        <v>1.61582</v>
      </c>
      <c r="T65" s="701">
        <v>1.61656</v>
      </c>
      <c r="U65" s="696">
        <v>1.6199</v>
      </c>
      <c r="V65" s="696">
        <v>1.62005</v>
      </c>
      <c r="W65" s="696">
        <v>1.62408</v>
      </c>
      <c r="X65" s="696">
        <v>1.6321</v>
      </c>
      <c r="Y65" s="696">
        <v>1.63312</v>
      </c>
      <c r="Z65" s="696">
        <v>1.64214</v>
      </c>
      <c r="AA65" s="696">
        <v>1.65099</v>
      </c>
      <c r="AB65" s="696">
        <v>1.6674</v>
      </c>
      <c r="AC65" s="705">
        <v>2.55786478</v>
      </c>
      <c r="AD65" s="705">
        <v>-0.0112844748</v>
      </c>
      <c r="AE65" s="705">
        <v>0.0215761024</v>
      </c>
      <c r="AF65" s="705">
        <v>0.0010681881</v>
      </c>
      <c r="AG65" s="705">
        <v>-6.19068712e-5</v>
      </c>
      <c r="AH65" s="705">
        <v>8.79794163e-6</v>
      </c>
      <c r="AI65" s="709">
        <v>0.2937</v>
      </c>
      <c r="AJ65" s="709">
        <v>0.2362</v>
      </c>
      <c r="AK65" s="709">
        <v>0.5885</v>
      </c>
      <c r="AL65" s="709">
        <v>0.2446</v>
      </c>
      <c r="AM65" s="709">
        <v>0.2331</v>
      </c>
      <c r="AN65" s="709">
        <v>0.5217</v>
      </c>
      <c r="AO65" s="709">
        <v>0</v>
      </c>
      <c r="AP65" s="709">
        <v>0.0053</v>
      </c>
      <c r="AQ65" s="709">
        <v>0.0153</v>
      </c>
      <c r="AR65" s="709">
        <v>0.0047</v>
      </c>
      <c r="AS65" s="714">
        <v>2.5</v>
      </c>
      <c r="AT65" s="715">
        <v>2.5</v>
      </c>
      <c r="AU65" s="715">
        <v>2.6</v>
      </c>
      <c r="AV65" s="715">
        <v>2.6</v>
      </c>
      <c r="AW65" s="715">
        <v>2.6</v>
      </c>
      <c r="AX65" s="715">
        <v>2.7</v>
      </c>
      <c r="AY65" s="715">
        <v>2.9</v>
      </c>
      <c r="AZ65" s="715">
        <v>3</v>
      </c>
      <c r="BA65" s="715">
        <v>3.1</v>
      </c>
      <c r="BB65" s="715">
        <v>3.3</v>
      </c>
      <c r="BC65" s="715">
        <v>3.3</v>
      </c>
      <c r="BD65" s="715">
        <v>2.9</v>
      </c>
      <c r="BE65" s="715">
        <v>3</v>
      </c>
      <c r="BF65" s="715">
        <v>3</v>
      </c>
      <c r="BG65" s="715">
        <v>3.1</v>
      </c>
      <c r="BH65" s="715">
        <v>3.1</v>
      </c>
      <c r="BI65" s="715">
        <v>3.2</v>
      </c>
      <c r="BJ65" s="715">
        <v>3.4</v>
      </c>
      <c r="BK65" s="715">
        <v>3.5</v>
      </c>
      <c r="BL65" s="715">
        <v>3.7</v>
      </c>
      <c r="BM65" s="715">
        <v>3.8</v>
      </c>
      <c r="BN65" s="715">
        <v>3.8</v>
      </c>
      <c r="BO65" s="715">
        <v>3.1</v>
      </c>
      <c r="BP65" s="715">
        <v>3.2</v>
      </c>
      <c r="BQ65" s="715">
        <v>3.3</v>
      </c>
      <c r="BR65" s="715">
        <v>3.4</v>
      </c>
      <c r="BS65" s="715">
        <v>3.4</v>
      </c>
      <c r="BT65" s="715">
        <v>3.5</v>
      </c>
      <c r="BU65" s="715">
        <v>3.7</v>
      </c>
      <c r="BV65" s="715">
        <v>3.8</v>
      </c>
      <c r="BW65" s="715">
        <v>4</v>
      </c>
      <c r="BX65" s="715">
        <v>4.1</v>
      </c>
      <c r="BY65" s="715">
        <v>4.2</v>
      </c>
      <c r="BZ65" s="715">
        <v>3.1</v>
      </c>
      <c r="CA65" s="715">
        <v>3.2</v>
      </c>
      <c r="CB65" s="715">
        <v>3.3</v>
      </c>
      <c r="CC65" s="715">
        <v>3.4</v>
      </c>
      <c r="CD65" s="715">
        <v>3.4</v>
      </c>
      <c r="CE65" s="715">
        <v>3.5</v>
      </c>
      <c r="CF65" s="715">
        <v>3.7</v>
      </c>
      <c r="CG65" s="715">
        <v>3.8</v>
      </c>
      <c r="CH65" s="715">
        <v>4</v>
      </c>
      <c r="CI65" s="715">
        <v>4.1</v>
      </c>
      <c r="CJ65" s="715">
        <v>4.2</v>
      </c>
      <c r="CK65" s="715">
        <v>3.2</v>
      </c>
      <c r="CL65" s="715">
        <v>3.2</v>
      </c>
      <c r="CM65" s="715">
        <v>3.4</v>
      </c>
      <c r="CN65" s="715">
        <v>3.4</v>
      </c>
      <c r="CO65" s="715">
        <v>3.4</v>
      </c>
      <c r="CP65" s="715">
        <v>3.5</v>
      </c>
      <c r="CQ65" s="715">
        <v>3.7</v>
      </c>
      <c r="CR65" s="715">
        <v>3.8</v>
      </c>
      <c r="CS65" s="715">
        <v>4</v>
      </c>
      <c r="CT65" s="715">
        <v>4.1</v>
      </c>
      <c r="CU65" s="715">
        <v>4.3</v>
      </c>
      <c r="CV65" s="715">
        <v>3.4</v>
      </c>
      <c r="CW65" s="715">
        <v>3.4</v>
      </c>
      <c r="CX65" s="715">
        <v>3.5</v>
      </c>
      <c r="CY65" s="715">
        <v>3.6</v>
      </c>
      <c r="CZ65" s="715">
        <v>3.6</v>
      </c>
      <c r="DA65" s="715">
        <v>3.7</v>
      </c>
      <c r="DB65" s="715">
        <v>3.9</v>
      </c>
      <c r="DC65" s="715">
        <v>4</v>
      </c>
      <c r="DD65" s="715">
        <v>4.1</v>
      </c>
      <c r="DE65" s="715">
        <v>4.2</v>
      </c>
      <c r="DF65" s="715">
        <v>4.4</v>
      </c>
      <c r="DG65" s="715">
        <v>3.7</v>
      </c>
      <c r="DH65" s="715">
        <v>3.8</v>
      </c>
      <c r="DI65" s="715">
        <v>3.8</v>
      </c>
      <c r="DJ65" s="715">
        <v>3.9</v>
      </c>
      <c r="DK65" s="715">
        <v>4</v>
      </c>
      <c r="DL65" s="715">
        <v>4</v>
      </c>
      <c r="DM65" s="715">
        <v>4.3</v>
      </c>
      <c r="DN65" s="715">
        <v>4.4</v>
      </c>
      <c r="DO65" s="715">
        <v>4.6</v>
      </c>
      <c r="DP65" s="715">
        <v>4.7</v>
      </c>
      <c r="DQ65" s="715">
        <v>4.8</v>
      </c>
      <c r="DR65" s="715">
        <v>4.3</v>
      </c>
      <c r="DS65" s="715">
        <v>4.3</v>
      </c>
      <c r="DT65" s="715">
        <v>4.5</v>
      </c>
      <c r="DU65" s="715">
        <v>4.6</v>
      </c>
      <c r="DV65" s="715">
        <v>4.8</v>
      </c>
      <c r="DW65" s="715">
        <v>4.9</v>
      </c>
      <c r="DX65" s="715">
        <v>5.1</v>
      </c>
      <c r="DY65" s="715">
        <v>5.3</v>
      </c>
      <c r="DZ65" s="715">
        <v>5.4</v>
      </c>
      <c r="EA65" s="715">
        <v>5.5</v>
      </c>
      <c r="EB65" s="715">
        <v>5.6</v>
      </c>
      <c r="EC65" s="715">
        <v>4.4</v>
      </c>
      <c r="ED65" s="715">
        <v>4.4</v>
      </c>
      <c r="EE65" s="715">
        <v>4.5</v>
      </c>
      <c r="EF65" s="715">
        <v>4.6</v>
      </c>
      <c r="EG65" s="715">
        <v>4.8</v>
      </c>
      <c r="EH65" s="715">
        <v>4.9</v>
      </c>
      <c r="EI65" s="715">
        <v>5.1</v>
      </c>
      <c r="EJ65" s="715">
        <v>5.3</v>
      </c>
      <c r="EK65" s="715">
        <v>5.4</v>
      </c>
      <c r="EL65" s="715">
        <v>5.6</v>
      </c>
      <c r="EM65" s="715">
        <v>5.7</v>
      </c>
      <c r="EN65" s="715">
        <v>4.9</v>
      </c>
      <c r="EO65" s="715">
        <v>5.1</v>
      </c>
      <c r="EP65" s="715">
        <v>5.3</v>
      </c>
      <c r="EQ65" s="715">
        <v>5.5</v>
      </c>
      <c r="ER65" s="715">
        <v>5.6</v>
      </c>
      <c r="ES65" s="715">
        <v>5.8</v>
      </c>
      <c r="ET65" s="715">
        <v>6</v>
      </c>
      <c r="EU65" s="715">
        <v>6.2</v>
      </c>
      <c r="EV65" s="715">
        <v>6.3</v>
      </c>
      <c r="EW65" s="715">
        <v>6.3</v>
      </c>
      <c r="EX65" s="715">
        <v>6.4</v>
      </c>
      <c r="EY65" s="715">
        <v>0.6</v>
      </c>
      <c r="EZ65" s="715">
        <v>1</v>
      </c>
      <c r="FA65" s="715">
        <v>1.5</v>
      </c>
      <c r="FB65" s="715">
        <v>1.8</v>
      </c>
      <c r="FC65" s="715">
        <v>2</v>
      </c>
      <c r="FD65" s="715">
        <v>2.3</v>
      </c>
      <c r="FE65" s="715">
        <v>2.6</v>
      </c>
      <c r="FF65" s="715">
        <v>2.8</v>
      </c>
      <c r="FG65" s="715">
        <v>3.1</v>
      </c>
      <c r="FH65" s="715">
        <v>3.3</v>
      </c>
      <c r="FI65" s="715">
        <v>3.6</v>
      </c>
      <c r="FJ65" s="723">
        <v>1.85e-6</v>
      </c>
      <c r="FK65" s="723">
        <v>1.51e-8</v>
      </c>
      <c r="FL65" s="723">
        <v>-2.19e-11</v>
      </c>
      <c r="FM65" s="723">
        <v>6.75e-7</v>
      </c>
      <c r="FN65" s="723">
        <v>4.19e-10</v>
      </c>
      <c r="FO65" s="723">
        <v>0.271</v>
      </c>
      <c r="FP65" s="646">
        <v>1</v>
      </c>
      <c r="FQ65" s="646">
        <v>1</v>
      </c>
      <c r="FR65" s="646">
        <v>1</v>
      </c>
      <c r="FS65" s="646">
        <v>1</v>
      </c>
      <c r="FT65" s="646">
        <v>1</v>
      </c>
      <c r="FU65" s="646">
        <v>1</v>
      </c>
      <c r="FV65" s="681">
        <v>1</v>
      </c>
      <c r="FW65" s="646"/>
      <c r="FX65" s="646"/>
      <c r="FY65" s="646"/>
      <c r="FZ65" s="773">
        <v>590</v>
      </c>
      <c r="GA65" s="773">
        <v>635</v>
      </c>
      <c r="GB65" s="738">
        <v>524</v>
      </c>
      <c r="GC65" s="738">
        <v>563</v>
      </c>
      <c r="GD65" s="685">
        <v>1.39</v>
      </c>
      <c r="GE65" s="646"/>
      <c r="GF65" s="738">
        <v>73</v>
      </c>
      <c r="GG65" s="738">
        <v>90</v>
      </c>
      <c r="GH65" s="738">
        <v>71</v>
      </c>
      <c r="GI65" s="738">
        <v>73</v>
      </c>
      <c r="GJ65" s="738">
        <v>75</v>
      </c>
      <c r="GK65" s="738">
        <v>76</v>
      </c>
      <c r="GL65" s="738">
        <v>77</v>
      </c>
      <c r="GM65" s="738">
        <v>77</v>
      </c>
      <c r="GN65" s="738">
        <v>78</v>
      </c>
      <c r="GO65" s="738">
        <v>79</v>
      </c>
      <c r="GP65" s="738">
        <v>79</v>
      </c>
      <c r="GQ65" s="738">
        <v>79</v>
      </c>
      <c r="GR65" s="738">
        <v>80</v>
      </c>
      <c r="GS65" s="738">
        <v>80</v>
      </c>
      <c r="GT65" s="738">
        <v>81</v>
      </c>
      <c r="GU65" s="738">
        <v>81</v>
      </c>
      <c r="GV65" s="738">
        <v>82</v>
      </c>
      <c r="GW65" s="738">
        <v>83</v>
      </c>
      <c r="GX65" s="738">
        <v>84</v>
      </c>
      <c r="GY65" s="738">
        <v>86</v>
      </c>
      <c r="GZ65" s="738">
        <v>86</v>
      </c>
      <c r="HA65" s="738">
        <v>87</v>
      </c>
      <c r="HB65" s="738">
        <v>88</v>
      </c>
      <c r="HC65" s="738"/>
      <c r="HD65" s="750">
        <v>235</v>
      </c>
      <c r="HE65" s="738"/>
      <c r="HF65" s="738">
        <v>603</v>
      </c>
      <c r="HG65" s="738">
        <v>118</v>
      </c>
      <c r="HH65" s="714">
        <v>83</v>
      </c>
      <c r="HI65" s="714">
        <v>33.3</v>
      </c>
      <c r="HJ65" s="754">
        <v>0.246</v>
      </c>
      <c r="HK65" s="738">
        <v>72</v>
      </c>
      <c r="HL65" s="685">
        <v>3.07</v>
      </c>
      <c r="HM65" s="685">
        <v>2.66</v>
      </c>
      <c r="HN65" s="646" t="s">
        <v>716</v>
      </c>
      <c r="HO65" s="646" t="s">
        <v>717</v>
      </c>
      <c r="HP65" s="715">
        <v>-1.2</v>
      </c>
      <c r="HQ65" s="753">
        <v>0.934</v>
      </c>
      <c r="HR65" s="753">
        <v>0.945</v>
      </c>
      <c r="HS65" s="753">
        <v>0.994</v>
      </c>
      <c r="HT65" s="753">
        <v>0.999</v>
      </c>
      <c r="HU65" s="753">
        <v>0.999</v>
      </c>
      <c r="HV65" s="753">
        <v>0.999</v>
      </c>
      <c r="HW65" s="753">
        <v>0.999</v>
      </c>
      <c r="HX65" s="753">
        <v>0.999</v>
      </c>
      <c r="HY65" s="753">
        <v>0.999</v>
      </c>
      <c r="HZ65" s="753">
        <v>0.999</v>
      </c>
      <c r="IA65" s="753">
        <v>0.999</v>
      </c>
      <c r="IB65" s="753">
        <v>0.999</v>
      </c>
      <c r="IC65" s="753">
        <v>0.999</v>
      </c>
      <c r="ID65" s="753">
        <v>0.999</v>
      </c>
      <c r="IE65" s="753">
        <v>0.999</v>
      </c>
      <c r="IF65" s="753">
        <v>0.999</v>
      </c>
      <c r="IG65" s="753">
        <v>0.999</v>
      </c>
      <c r="IH65" s="753">
        <v>0.999</v>
      </c>
      <c r="II65" s="753">
        <v>0.999</v>
      </c>
      <c r="IJ65" s="753">
        <v>0.999</v>
      </c>
      <c r="IK65" s="753">
        <v>0.997</v>
      </c>
      <c r="IL65" s="753">
        <v>0.995</v>
      </c>
      <c r="IM65" s="753">
        <v>0.992</v>
      </c>
      <c r="IN65" s="753">
        <v>0.982</v>
      </c>
      <c r="IO65" s="753">
        <v>0.963</v>
      </c>
      <c r="IP65" s="753">
        <v>0.91</v>
      </c>
      <c r="IQ65" s="753">
        <v>0.749</v>
      </c>
      <c r="IR65" s="753">
        <v>0.363</v>
      </c>
      <c r="IS65" s="753"/>
      <c r="IT65" s="753"/>
      <c r="IU65" s="753"/>
      <c r="IV65" s="753"/>
      <c r="IW65" s="753"/>
      <c r="IX65" s="753"/>
      <c r="IY65" s="753"/>
      <c r="IZ65" s="753"/>
      <c r="JA65" s="753">
        <v>0.872</v>
      </c>
      <c r="JB65" s="753">
        <v>0.893</v>
      </c>
      <c r="JC65" s="753">
        <v>0.989</v>
      </c>
      <c r="JD65" s="753">
        <v>0.998</v>
      </c>
      <c r="JE65" s="753">
        <v>0.998</v>
      </c>
      <c r="JF65" s="753">
        <v>0.998</v>
      </c>
      <c r="JG65" s="753">
        <v>0.998</v>
      </c>
      <c r="JH65" s="753">
        <v>0.998</v>
      </c>
      <c r="JI65" s="753">
        <v>0.998</v>
      </c>
      <c r="JJ65" s="753">
        <v>0.998</v>
      </c>
      <c r="JK65" s="753">
        <v>0.998</v>
      </c>
      <c r="JL65" s="753">
        <v>0.998</v>
      </c>
      <c r="JM65" s="753">
        <v>0.998</v>
      </c>
      <c r="JN65" s="753">
        <v>0.998</v>
      </c>
      <c r="JO65" s="753">
        <v>0.998</v>
      </c>
      <c r="JP65" s="753">
        <v>0.998</v>
      </c>
      <c r="JQ65" s="753">
        <v>0.998</v>
      </c>
      <c r="JR65" s="753">
        <v>0.998</v>
      </c>
      <c r="JS65" s="753">
        <v>0.998</v>
      </c>
      <c r="JT65" s="753">
        <v>0.998</v>
      </c>
      <c r="JU65" s="753">
        <v>0.994</v>
      </c>
      <c r="JV65" s="753">
        <v>0.99</v>
      </c>
      <c r="JW65" s="753">
        <v>0.981</v>
      </c>
      <c r="JX65" s="753">
        <v>0.961</v>
      </c>
      <c r="JY65" s="753">
        <v>0.925</v>
      </c>
      <c r="JZ65" s="753">
        <v>0.828</v>
      </c>
      <c r="KA65" s="753">
        <v>0.568</v>
      </c>
      <c r="KB65" s="753">
        <v>0.14</v>
      </c>
      <c r="KC65" s="753"/>
      <c r="KD65" s="754"/>
      <c r="KE65" s="754"/>
      <c r="KF65" s="754"/>
      <c r="KG65" s="754"/>
      <c r="KH65" s="754"/>
      <c r="KI65" s="754"/>
      <c r="KJ65" s="754"/>
      <c r="KK65" s="765" t="s">
        <v>281</v>
      </c>
      <c r="KL65" s="738">
        <v>12</v>
      </c>
      <c r="KM65" s="738">
        <v>32</v>
      </c>
      <c r="KN65" s="646" t="s">
        <v>282</v>
      </c>
      <c r="KO65" s="646" t="s">
        <v>715</v>
      </c>
      <c r="KP65" s="680">
        <v>620364</v>
      </c>
      <c r="KQ65" s="766" t="s">
        <v>718</v>
      </c>
      <c r="KR65" s="750" t="s">
        <v>719</v>
      </c>
      <c r="KS65" s="769" t="s">
        <v>715</v>
      </c>
      <c r="KT65" s="770" t="s">
        <v>720</v>
      </c>
      <c r="KU65" s="766" t="s">
        <v>721</v>
      </c>
      <c r="KV65" s="750">
        <v>620363</v>
      </c>
      <c r="KW65" s="771"/>
      <c r="KX65" s="750"/>
      <c r="KY65" s="769" t="s">
        <v>722</v>
      </c>
      <c r="KZ65" s="770" t="s">
        <v>720</v>
      </c>
    </row>
    <row r="66" s="628" customFormat="1" customHeight="1" spans="1:312">
      <c r="A66" s="682" t="s">
        <v>277</v>
      </c>
      <c r="B66" s="683">
        <v>62</v>
      </c>
      <c r="C66" s="689" t="s">
        <v>723</v>
      </c>
      <c r="D66" s="680">
        <v>626357</v>
      </c>
      <c r="E66" s="685">
        <v>35.7</v>
      </c>
      <c r="F66" s="685">
        <v>35.43</v>
      </c>
      <c r="G66" s="688">
        <v>0.017532</v>
      </c>
      <c r="H66" s="686">
        <v>0.01778</v>
      </c>
      <c r="I66" s="696">
        <v>1.58752</v>
      </c>
      <c r="J66" s="696">
        <v>1.59329</v>
      </c>
      <c r="K66" s="696">
        <v>1.59977</v>
      </c>
      <c r="L66" s="696">
        <v>1.60594</v>
      </c>
      <c r="M66" s="696">
        <v>1.60713</v>
      </c>
      <c r="N66" s="696">
        <v>1.60814</v>
      </c>
      <c r="O66" s="696">
        <v>1.6122</v>
      </c>
      <c r="P66" s="696">
        <v>1.61513</v>
      </c>
      <c r="Q66" s="696">
        <v>1.6179</v>
      </c>
      <c r="R66" s="696">
        <v>1.62074</v>
      </c>
      <c r="S66" s="696">
        <v>1.62155</v>
      </c>
      <c r="T66" s="701">
        <v>1.62231</v>
      </c>
      <c r="U66" s="696">
        <v>1.62573</v>
      </c>
      <c r="V66" s="696">
        <v>1.62588</v>
      </c>
      <c r="W66" s="696">
        <v>1.63003</v>
      </c>
      <c r="X66" s="696">
        <v>1.63828</v>
      </c>
      <c r="Y66" s="696">
        <v>1.63933</v>
      </c>
      <c r="Z66" s="696">
        <v>1.6486</v>
      </c>
      <c r="AA66" s="696">
        <v>1.65768</v>
      </c>
      <c r="AB66" s="696">
        <v>1.67466</v>
      </c>
      <c r="AC66" s="705">
        <v>2.57590334</v>
      </c>
      <c r="AD66" s="705">
        <v>-0.0110109986</v>
      </c>
      <c r="AE66" s="705">
        <v>0.0205548046</v>
      </c>
      <c r="AF66" s="705">
        <v>0.00179594369</v>
      </c>
      <c r="AG66" s="705">
        <v>-0.000178465029</v>
      </c>
      <c r="AH66" s="705">
        <v>1.57736814e-5</v>
      </c>
      <c r="AI66" s="709">
        <v>0.2932</v>
      </c>
      <c r="AJ66" s="709">
        <v>0.2367</v>
      </c>
      <c r="AK66" s="709">
        <v>0.5886</v>
      </c>
      <c r="AL66" s="709">
        <v>0.2435</v>
      </c>
      <c r="AM66" s="709">
        <v>0.2334</v>
      </c>
      <c r="AN66" s="709">
        <v>0.5214</v>
      </c>
      <c r="AO66" s="709">
        <v>0.0001</v>
      </c>
      <c r="AP66" s="709">
        <v>0.0043</v>
      </c>
      <c r="AQ66" s="709">
        <v>0.0056</v>
      </c>
      <c r="AR66" s="709">
        <v>0.001</v>
      </c>
      <c r="AS66" s="714">
        <v>2.8</v>
      </c>
      <c r="AT66" s="715">
        <v>2.8</v>
      </c>
      <c r="AU66" s="715">
        <v>2.8</v>
      </c>
      <c r="AV66" s="715">
        <v>2.7</v>
      </c>
      <c r="AW66" s="715">
        <v>2.8</v>
      </c>
      <c r="AX66" s="715">
        <v>2.8</v>
      </c>
      <c r="AY66" s="715">
        <v>3</v>
      </c>
      <c r="AZ66" s="715">
        <v>3</v>
      </c>
      <c r="BA66" s="715">
        <v>3.2</v>
      </c>
      <c r="BB66" s="715">
        <v>3.3</v>
      </c>
      <c r="BC66" s="715">
        <v>3.4</v>
      </c>
      <c r="BD66" s="715">
        <v>3.1</v>
      </c>
      <c r="BE66" s="715">
        <v>3.1</v>
      </c>
      <c r="BF66" s="715">
        <v>3.2</v>
      </c>
      <c r="BG66" s="715">
        <v>3.2</v>
      </c>
      <c r="BH66" s="715">
        <v>3.3</v>
      </c>
      <c r="BI66" s="715">
        <v>3.3</v>
      </c>
      <c r="BJ66" s="715">
        <v>3.4</v>
      </c>
      <c r="BK66" s="715">
        <v>3.5</v>
      </c>
      <c r="BL66" s="715">
        <v>3.7</v>
      </c>
      <c r="BM66" s="715">
        <v>3.8</v>
      </c>
      <c r="BN66" s="715">
        <v>3.9</v>
      </c>
      <c r="BO66" s="715">
        <v>3.4</v>
      </c>
      <c r="BP66" s="715">
        <v>3.4</v>
      </c>
      <c r="BQ66" s="715">
        <v>3.4</v>
      </c>
      <c r="BR66" s="715">
        <v>3.4</v>
      </c>
      <c r="BS66" s="715">
        <v>3.5</v>
      </c>
      <c r="BT66" s="715">
        <v>3.5</v>
      </c>
      <c r="BU66" s="715">
        <v>3.6</v>
      </c>
      <c r="BV66" s="715">
        <v>3.7</v>
      </c>
      <c r="BW66" s="715">
        <v>3.9</v>
      </c>
      <c r="BX66" s="715">
        <v>4</v>
      </c>
      <c r="BY66" s="715">
        <v>4</v>
      </c>
      <c r="BZ66" s="715">
        <v>3.4</v>
      </c>
      <c r="CA66" s="715">
        <v>3.4</v>
      </c>
      <c r="CB66" s="715">
        <v>3.5</v>
      </c>
      <c r="CC66" s="715">
        <v>3.5</v>
      </c>
      <c r="CD66" s="715">
        <v>3.6</v>
      </c>
      <c r="CE66" s="715">
        <v>3.6</v>
      </c>
      <c r="CF66" s="715">
        <v>3.7</v>
      </c>
      <c r="CG66" s="715">
        <v>3.8</v>
      </c>
      <c r="CH66" s="715">
        <v>4</v>
      </c>
      <c r="CI66" s="715">
        <v>4.1</v>
      </c>
      <c r="CJ66" s="715">
        <v>4.1</v>
      </c>
      <c r="CK66" s="715">
        <v>3.5</v>
      </c>
      <c r="CL66" s="715">
        <v>3.5</v>
      </c>
      <c r="CM66" s="715">
        <v>3.5</v>
      </c>
      <c r="CN66" s="715">
        <v>3.5</v>
      </c>
      <c r="CO66" s="715">
        <v>3.6</v>
      </c>
      <c r="CP66" s="715">
        <v>3.6</v>
      </c>
      <c r="CQ66" s="715">
        <v>3.7</v>
      </c>
      <c r="CR66" s="715">
        <v>3.8</v>
      </c>
      <c r="CS66" s="715">
        <v>4</v>
      </c>
      <c r="CT66" s="715">
        <v>4.2</v>
      </c>
      <c r="CU66" s="715">
        <v>4.2</v>
      </c>
      <c r="CV66" s="715">
        <v>3.6</v>
      </c>
      <c r="CW66" s="715">
        <v>3.7</v>
      </c>
      <c r="CX66" s="715">
        <v>3.7</v>
      </c>
      <c r="CY66" s="715">
        <v>3.8</v>
      </c>
      <c r="CZ66" s="715">
        <v>3.8</v>
      </c>
      <c r="DA66" s="715">
        <v>3.9</v>
      </c>
      <c r="DB66" s="715">
        <v>4.1</v>
      </c>
      <c r="DC66" s="715">
        <v>4.3</v>
      </c>
      <c r="DD66" s="715">
        <v>4.4</v>
      </c>
      <c r="DE66" s="715">
        <v>4.5</v>
      </c>
      <c r="DF66" s="715">
        <v>4.7</v>
      </c>
      <c r="DG66" s="715">
        <v>3.9</v>
      </c>
      <c r="DH66" s="715">
        <v>4</v>
      </c>
      <c r="DI66" s="715">
        <v>4.1</v>
      </c>
      <c r="DJ66" s="715">
        <v>4.1</v>
      </c>
      <c r="DK66" s="715">
        <v>4.2</v>
      </c>
      <c r="DL66" s="715">
        <v>4.4</v>
      </c>
      <c r="DM66" s="715">
        <v>4.5</v>
      </c>
      <c r="DN66" s="715">
        <v>4.6</v>
      </c>
      <c r="DO66" s="715">
        <v>4.8</v>
      </c>
      <c r="DP66" s="715">
        <v>4.8</v>
      </c>
      <c r="DQ66" s="715">
        <v>5</v>
      </c>
      <c r="DR66" s="715">
        <v>4.7</v>
      </c>
      <c r="DS66" s="715">
        <v>4.7</v>
      </c>
      <c r="DT66" s="715">
        <v>4.8</v>
      </c>
      <c r="DU66" s="715">
        <v>4.9</v>
      </c>
      <c r="DV66" s="715">
        <v>5</v>
      </c>
      <c r="DW66" s="715">
        <v>5.1</v>
      </c>
      <c r="DX66" s="715">
        <v>5.3</v>
      </c>
      <c r="DY66" s="715">
        <v>5.3</v>
      </c>
      <c r="DZ66" s="715">
        <v>5.4</v>
      </c>
      <c r="EA66" s="715">
        <v>5.5</v>
      </c>
      <c r="EB66" s="715">
        <v>5.6</v>
      </c>
      <c r="EC66" s="715">
        <v>4.8</v>
      </c>
      <c r="ED66" s="715">
        <v>4.8</v>
      </c>
      <c r="EE66" s="715">
        <v>4.9</v>
      </c>
      <c r="EF66" s="715">
        <v>4.9</v>
      </c>
      <c r="EG66" s="715">
        <v>5</v>
      </c>
      <c r="EH66" s="715">
        <v>5.2</v>
      </c>
      <c r="EI66" s="715">
        <v>5.3</v>
      </c>
      <c r="EJ66" s="715">
        <v>5.3</v>
      </c>
      <c r="EK66" s="715">
        <v>5.4</v>
      </c>
      <c r="EL66" s="715">
        <v>5.6</v>
      </c>
      <c r="EM66" s="715">
        <v>5.7</v>
      </c>
      <c r="EN66" s="715">
        <v>5.4</v>
      </c>
      <c r="EO66" s="715">
        <v>5.5</v>
      </c>
      <c r="EP66" s="715">
        <v>5.7</v>
      </c>
      <c r="EQ66" s="715">
        <v>5.9</v>
      </c>
      <c r="ER66" s="715">
        <v>6</v>
      </c>
      <c r="ES66" s="715">
        <v>6.1</v>
      </c>
      <c r="ET66" s="715">
        <v>6.3</v>
      </c>
      <c r="EU66" s="715">
        <v>6.5</v>
      </c>
      <c r="EV66" s="715">
        <v>6.6</v>
      </c>
      <c r="EW66" s="715">
        <v>6.7</v>
      </c>
      <c r="EX66" s="715">
        <v>6.9</v>
      </c>
      <c r="EY66" s="715">
        <v>0.9</v>
      </c>
      <c r="EZ66" s="715">
        <v>1.3</v>
      </c>
      <c r="FA66" s="715">
        <v>1.6</v>
      </c>
      <c r="FB66" s="715">
        <v>1.9</v>
      </c>
      <c r="FC66" s="715">
        <v>2.2</v>
      </c>
      <c r="FD66" s="715">
        <v>2.4</v>
      </c>
      <c r="FE66" s="715">
        <v>2.6</v>
      </c>
      <c r="FF66" s="715">
        <v>2.8</v>
      </c>
      <c r="FG66" s="715">
        <v>3.1</v>
      </c>
      <c r="FH66" s="715">
        <v>3.4</v>
      </c>
      <c r="FI66" s="715">
        <v>3.5</v>
      </c>
      <c r="FJ66" s="723">
        <v>2.09e-6</v>
      </c>
      <c r="FK66" s="723">
        <v>1.35e-8</v>
      </c>
      <c r="FL66" s="723">
        <v>-1.84e-11</v>
      </c>
      <c r="FM66" s="723">
        <v>6.5e-7</v>
      </c>
      <c r="FN66" s="723">
        <v>3.82e-10</v>
      </c>
      <c r="FO66" s="723">
        <v>0.292</v>
      </c>
      <c r="FP66" s="646">
        <v>1</v>
      </c>
      <c r="FQ66" s="646">
        <v>1</v>
      </c>
      <c r="FR66" s="646">
        <v>1</v>
      </c>
      <c r="FS66" s="646">
        <v>1</v>
      </c>
      <c r="FT66" s="646">
        <v>1</v>
      </c>
      <c r="FU66" s="646">
        <v>1</v>
      </c>
      <c r="FV66" s="681">
        <v>1</v>
      </c>
      <c r="FW66" s="646"/>
      <c r="FX66" s="646"/>
      <c r="FY66" s="646"/>
      <c r="FZ66" s="773">
        <v>596</v>
      </c>
      <c r="GA66" s="773">
        <v>639</v>
      </c>
      <c r="GB66" s="738">
        <v>522</v>
      </c>
      <c r="GC66" s="738">
        <v>566</v>
      </c>
      <c r="GD66" s="685">
        <v>1.19</v>
      </c>
      <c r="GE66" s="646"/>
      <c r="GF66" s="738">
        <v>75</v>
      </c>
      <c r="GG66" s="738">
        <v>93</v>
      </c>
      <c r="GH66" s="738">
        <v>72</v>
      </c>
      <c r="GI66" s="738">
        <v>74</v>
      </c>
      <c r="GJ66" s="738">
        <v>75</v>
      </c>
      <c r="GK66" s="738">
        <v>76</v>
      </c>
      <c r="GL66" s="738">
        <v>76</v>
      </c>
      <c r="GM66" s="738">
        <v>77</v>
      </c>
      <c r="GN66" s="738">
        <v>77</v>
      </c>
      <c r="GO66" s="738">
        <v>77</v>
      </c>
      <c r="GP66" s="738">
        <v>78</v>
      </c>
      <c r="GQ66" s="738">
        <v>78</v>
      </c>
      <c r="GR66" s="738">
        <v>78</v>
      </c>
      <c r="GS66" s="738">
        <v>78</v>
      </c>
      <c r="GT66" s="738">
        <v>79</v>
      </c>
      <c r="GU66" s="738">
        <v>80</v>
      </c>
      <c r="GV66" s="738">
        <v>81</v>
      </c>
      <c r="GW66" s="738">
        <v>82</v>
      </c>
      <c r="GX66" s="738">
        <v>83</v>
      </c>
      <c r="GY66" s="738">
        <v>85</v>
      </c>
      <c r="GZ66" s="738">
        <v>86</v>
      </c>
      <c r="HA66" s="738">
        <v>87</v>
      </c>
      <c r="HB66" s="738">
        <v>88</v>
      </c>
      <c r="HC66" s="738"/>
      <c r="HD66" s="750">
        <v>200</v>
      </c>
      <c r="HE66" s="738"/>
      <c r="HF66" s="738">
        <v>546</v>
      </c>
      <c r="HG66" s="738">
        <v>123</v>
      </c>
      <c r="HH66" s="714">
        <v>80.4</v>
      </c>
      <c r="HI66" s="714">
        <v>32.4</v>
      </c>
      <c r="HJ66" s="754">
        <v>0.24</v>
      </c>
      <c r="HK66" s="738">
        <v>71</v>
      </c>
      <c r="HL66" s="685">
        <v>3.04</v>
      </c>
      <c r="HM66" s="685">
        <v>2.72</v>
      </c>
      <c r="HN66" s="646" t="s">
        <v>716</v>
      </c>
      <c r="HO66" s="646" t="s">
        <v>724</v>
      </c>
      <c r="HP66" s="715">
        <v>0</v>
      </c>
      <c r="HQ66" s="754">
        <v>0.945</v>
      </c>
      <c r="HR66" s="754">
        <v>0.948</v>
      </c>
      <c r="HS66" s="754">
        <v>0.982</v>
      </c>
      <c r="HT66" s="754">
        <v>0.984</v>
      </c>
      <c r="HU66" s="754">
        <v>0.998</v>
      </c>
      <c r="HV66" s="754">
        <v>0.998</v>
      </c>
      <c r="HW66" s="754">
        <v>0.998</v>
      </c>
      <c r="HX66" s="754">
        <v>0.998</v>
      </c>
      <c r="HY66" s="754">
        <v>0.998</v>
      </c>
      <c r="HZ66" s="754">
        <v>0.998</v>
      </c>
      <c r="IA66" s="754">
        <v>0.998</v>
      </c>
      <c r="IB66" s="754">
        <v>0.998</v>
      </c>
      <c r="IC66" s="754">
        <v>0.998</v>
      </c>
      <c r="ID66" s="754">
        <v>0.998</v>
      </c>
      <c r="IE66" s="754">
        <v>0.998</v>
      </c>
      <c r="IF66" s="754">
        <v>0.998</v>
      </c>
      <c r="IG66" s="754">
        <v>0.998</v>
      </c>
      <c r="IH66" s="754">
        <v>0.998</v>
      </c>
      <c r="II66" s="754">
        <v>0.996</v>
      </c>
      <c r="IJ66" s="754">
        <v>0.994</v>
      </c>
      <c r="IK66" s="754">
        <v>0.992</v>
      </c>
      <c r="IL66" s="754">
        <v>0.989</v>
      </c>
      <c r="IM66" s="754">
        <v>0.982</v>
      </c>
      <c r="IN66" s="754">
        <v>0.967</v>
      </c>
      <c r="IO66" s="754">
        <v>0.941</v>
      </c>
      <c r="IP66" s="754">
        <v>0.877</v>
      </c>
      <c r="IQ66" s="754">
        <v>0.699</v>
      </c>
      <c r="IR66" s="754">
        <v>0.308</v>
      </c>
      <c r="IS66" s="754"/>
      <c r="IT66" s="754"/>
      <c r="IU66" s="754"/>
      <c r="IV66" s="754"/>
      <c r="IW66" s="754"/>
      <c r="IX66" s="754"/>
      <c r="IY66" s="754"/>
      <c r="IZ66" s="754"/>
      <c r="JA66" s="776">
        <v>0.893</v>
      </c>
      <c r="JB66" s="776">
        <v>0.899</v>
      </c>
      <c r="JC66" s="776">
        <v>0.964</v>
      </c>
      <c r="JD66" s="776">
        <v>0.968</v>
      </c>
      <c r="JE66" s="776">
        <v>0.996</v>
      </c>
      <c r="JF66" s="776">
        <v>0.996</v>
      </c>
      <c r="JG66" s="776">
        <v>0.996</v>
      </c>
      <c r="JH66" s="776">
        <v>0.996</v>
      </c>
      <c r="JI66" s="776">
        <v>0.996</v>
      </c>
      <c r="JJ66" s="776">
        <v>0.996</v>
      </c>
      <c r="JK66" s="776">
        <v>0.996</v>
      </c>
      <c r="JL66" s="776">
        <v>0.996</v>
      </c>
      <c r="JM66" s="777">
        <v>0.996</v>
      </c>
      <c r="JN66" s="777">
        <v>0.996</v>
      </c>
      <c r="JO66" s="777">
        <v>0.996</v>
      </c>
      <c r="JP66" s="777">
        <v>0.996</v>
      </c>
      <c r="JQ66" s="777">
        <v>0.996</v>
      </c>
      <c r="JR66" s="777">
        <v>0.996</v>
      </c>
      <c r="JS66" s="777">
        <v>0.993</v>
      </c>
      <c r="JT66" s="777">
        <v>0.989</v>
      </c>
      <c r="JU66" s="777">
        <v>0.984</v>
      </c>
      <c r="JV66" s="777">
        <v>0.978</v>
      </c>
      <c r="JW66" s="777">
        <v>0.967</v>
      </c>
      <c r="JX66" s="777">
        <v>0.936</v>
      </c>
      <c r="JY66" s="777">
        <v>0.89</v>
      </c>
      <c r="JZ66" s="778">
        <v>0.772</v>
      </c>
      <c r="KA66" s="778">
        <v>0.49</v>
      </c>
      <c r="KB66" s="778">
        <v>0.098</v>
      </c>
      <c r="KC66" s="754"/>
      <c r="KD66" s="754"/>
      <c r="KE66" s="754"/>
      <c r="KF66" s="754"/>
      <c r="KG66" s="754"/>
      <c r="KH66" s="754"/>
      <c r="KI66" s="754"/>
      <c r="KJ66" s="754"/>
      <c r="KK66" s="765" t="s">
        <v>281</v>
      </c>
      <c r="KL66" s="738">
        <v>36</v>
      </c>
      <c r="KM66" s="738">
        <v>98</v>
      </c>
      <c r="KN66" s="646" t="s">
        <v>339</v>
      </c>
      <c r="KO66" s="646" t="s">
        <v>723</v>
      </c>
      <c r="KP66" s="680">
        <v>626357</v>
      </c>
      <c r="KQ66" s="766"/>
      <c r="KR66" s="750"/>
      <c r="KS66" s="769" t="s">
        <v>723</v>
      </c>
      <c r="KT66" s="770" t="s">
        <v>725</v>
      </c>
      <c r="KU66" s="766" t="s">
        <v>726</v>
      </c>
      <c r="KV66" s="750">
        <v>626357</v>
      </c>
      <c r="KW66" s="771"/>
      <c r="KX66" s="750"/>
      <c r="KY66" s="769"/>
      <c r="KZ66" s="770"/>
    </row>
    <row r="67" s="628" customFormat="1" customHeight="1" spans="1:312">
      <c r="A67" s="682" t="s">
        <v>277</v>
      </c>
      <c r="B67" s="683">
        <v>63</v>
      </c>
      <c r="C67" s="684" t="s">
        <v>727</v>
      </c>
      <c r="D67" s="679">
        <v>648338</v>
      </c>
      <c r="E67" s="685">
        <v>33.84</v>
      </c>
      <c r="F67" s="685">
        <v>33.58</v>
      </c>
      <c r="G67" s="686">
        <v>0.01914</v>
      </c>
      <c r="H67" s="686">
        <v>0.019421</v>
      </c>
      <c r="I67" s="696"/>
      <c r="J67" s="696"/>
      <c r="K67" s="696"/>
      <c r="L67" s="696">
        <v>1.62568</v>
      </c>
      <c r="M67" s="696">
        <v>1.62715</v>
      </c>
      <c r="N67" s="696">
        <v>1.62838</v>
      </c>
      <c r="O67" s="696">
        <v>1.63289</v>
      </c>
      <c r="P67" s="696">
        <v>1.63608</v>
      </c>
      <c r="Q67" s="696">
        <v>1.63905</v>
      </c>
      <c r="R67" s="696">
        <v>1.64209</v>
      </c>
      <c r="S67" s="696">
        <v>1.64298</v>
      </c>
      <c r="T67" s="696">
        <v>1.64382</v>
      </c>
      <c r="U67" s="696">
        <v>1.64754</v>
      </c>
      <c r="V67" s="696">
        <v>1.64769</v>
      </c>
      <c r="W67" s="696">
        <v>1.65222</v>
      </c>
      <c r="X67" s="696">
        <v>1.66124</v>
      </c>
      <c r="Y67" s="696">
        <v>1.6624</v>
      </c>
      <c r="Z67" s="696">
        <v>1.67254</v>
      </c>
      <c r="AA67" s="696">
        <v>1.68252</v>
      </c>
      <c r="AB67" s="696">
        <v>1.70116</v>
      </c>
      <c r="AC67" s="704">
        <v>2.65337691</v>
      </c>
      <c r="AD67" s="704">
        <v>-0.0190021227</v>
      </c>
      <c r="AE67" s="704">
        <v>0.0144298518</v>
      </c>
      <c r="AF67" s="704">
        <v>0.00425529366</v>
      </c>
      <c r="AG67" s="704">
        <v>-0.000477918162</v>
      </c>
      <c r="AH67" s="704">
        <v>3.06145958e-5</v>
      </c>
      <c r="AI67" s="709">
        <v>0.2926</v>
      </c>
      <c r="AJ67" s="709">
        <v>0.2367</v>
      </c>
      <c r="AK67" s="709">
        <v>0.5904</v>
      </c>
      <c r="AL67" s="709">
        <v>0.2425</v>
      </c>
      <c r="AM67" s="709">
        <v>0.2333</v>
      </c>
      <c r="AN67" s="709">
        <v>0.5221</v>
      </c>
      <c r="AO67" s="709">
        <v>-0.0003</v>
      </c>
      <c r="AP67" s="709">
        <v>0.003</v>
      </c>
      <c r="AQ67" s="709">
        <v>0.0122</v>
      </c>
      <c r="AR67" s="709">
        <v>-0.0009</v>
      </c>
      <c r="AS67" s="714">
        <v>0.2</v>
      </c>
      <c r="AT67" s="714">
        <v>0.4</v>
      </c>
      <c r="AU67" s="714">
        <v>0.5</v>
      </c>
      <c r="AV67" s="714">
        <v>0.6</v>
      </c>
      <c r="AW67" s="714">
        <v>0.8</v>
      </c>
      <c r="AX67" s="714">
        <v>0.9</v>
      </c>
      <c r="AY67" s="714">
        <v>0.9</v>
      </c>
      <c r="AZ67" s="714">
        <v>0.9</v>
      </c>
      <c r="BA67" s="714">
        <v>0.9</v>
      </c>
      <c r="BB67" s="714">
        <v>1</v>
      </c>
      <c r="BC67" s="714">
        <v>1</v>
      </c>
      <c r="BD67" s="714">
        <v>0.4</v>
      </c>
      <c r="BE67" s="714">
        <v>0.6</v>
      </c>
      <c r="BF67" s="714">
        <v>0.7</v>
      </c>
      <c r="BG67" s="714">
        <v>0.9</v>
      </c>
      <c r="BH67" s="714">
        <v>1.1</v>
      </c>
      <c r="BI67" s="714">
        <v>1.2</v>
      </c>
      <c r="BJ67" s="714">
        <v>1.4</v>
      </c>
      <c r="BK67" s="714">
        <v>1.5</v>
      </c>
      <c r="BL67" s="714">
        <v>1.6</v>
      </c>
      <c r="BM67" s="714">
        <v>1.6</v>
      </c>
      <c r="BN67" s="714">
        <v>1.7</v>
      </c>
      <c r="BO67" s="714">
        <v>0.8</v>
      </c>
      <c r="BP67" s="714">
        <v>0.9</v>
      </c>
      <c r="BQ67" s="714">
        <v>1.1</v>
      </c>
      <c r="BR67" s="714">
        <v>1.3</v>
      </c>
      <c r="BS67" s="714">
        <v>1.5</v>
      </c>
      <c r="BT67" s="714">
        <v>1.6</v>
      </c>
      <c r="BU67" s="714">
        <v>1.7</v>
      </c>
      <c r="BV67" s="714">
        <v>1.8</v>
      </c>
      <c r="BW67" s="714">
        <v>1.8</v>
      </c>
      <c r="BX67" s="714">
        <v>2</v>
      </c>
      <c r="BY67" s="714">
        <v>2.1</v>
      </c>
      <c r="BZ67" s="714">
        <v>1</v>
      </c>
      <c r="CA67" s="714">
        <v>1.2</v>
      </c>
      <c r="CB67" s="714">
        <v>1.3</v>
      </c>
      <c r="CC67" s="714">
        <v>1.4</v>
      </c>
      <c r="CD67" s="714">
        <v>1.5</v>
      </c>
      <c r="CE67" s="714">
        <v>1.6</v>
      </c>
      <c r="CF67" s="714">
        <v>1.8</v>
      </c>
      <c r="CG67" s="714">
        <v>1.9</v>
      </c>
      <c r="CH67" s="714">
        <v>1.9</v>
      </c>
      <c r="CI67" s="714">
        <v>2.1</v>
      </c>
      <c r="CJ67" s="714">
        <v>2.2</v>
      </c>
      <c r="CK67" s="714">
        <v>1.1</v>
      </c>
      <c r="CL67" s="714">
        <v>1.3</v>
      </c>
      <c r="CM67" s="714">
        <v>1.5</v>
      </c>
      <c r="CN67" s="714">
        <v>1.6</v>
      </c>
      <c r="CO67" s="714">
        <v>1.7</v>
      </c>
      <c r="CP67" s="714">
        <v>1.8</v>
      </c>
      <c r="CQ67" s="714">
        <v>2</v>
      </c>
      <c r="CR67" s="714">
        <v>2.1</v>
      </c>
      <c r="CS67" s="714">
        <v>2.2</v>
      </c>
      <c r="CT67" s="714">
        <v>2.3</v>
      </c>
      <c r="CU67" s="714">
        <v>2.4</v>
      </c>
      <c r="CV67" s="714">
        <v>1.5</v>
      </c>
      <c r="CW67" s="715">
        <v>1.7</v>
      </c>
      <c r="CX67" s="715">
        <v>1.9</v>
      </c>
      <c r="CY67" s="715">
        <v>2.1</v>
      </c>
      <c r="CZ67" s="715">
        <v>2.2</v>
      </c>
      <c r="DA67" s="715">
        <v>2.4</v>
      </c>
      <c r="DB67" s="715">
        <v>2.5</v>
      </c>
      <c r="DC67" s="714">
        <v>2.6</v>
      </c>
      <c r="DD67" s="714">
        <v>2.7</v>
      </c>
      <c r="DE67" s="714">
        <v>2.8</v>
      </c>
      <c r="DF67" s="714">
        <v>3</v>
      </c>
      <c r="DG67" s="714">
        <v>1.7</v>
      </c>
      <c r="DH67" s="714">
        <v>1.8</v>
      </c>
      <c r="DI67" s="714">
        <v>2.1</v>
      </c>
      <c r="DJ67" s="714">
        <v>2.3</v>
      </c>
      <c r="DK67" s="714">
        <v>2.5</v>
      </c>
      <c r="DL67" s="714">
        <v>2.7</v>
      </c>
      <c r="DM67" s="714">
        <v>2.8</v>
      </c>
      <c r="DN67" s="714">
        <v>3</v>
      </c>
      <c r="DO67" s="714">
        <v>3</v>
      </c>
      <c r="DP67" s="714">
        <v>3.1</v>
      </c>
      <c r="DQ67" s="714">
        <v>3.2</v>
      </c>
      <c r="DR67" s="714">
        <v>2</v>
      </c>
      <c r="DS67" s="714">
        <v>2.2</v>
      </c>
      <c r="DT67" s="714">
        <v>2.3</v>
      </c>
      <c r="DU67" s="714">
        <v>2.5</v>
      </c>
      <c r="DV67" s="714">
        <v>2.5</v>
      </c>
      <c r="DW67" s="714">
        <v>2.7</v>
      </c>
      <c r="DX67" s="714">
        <v>2.9</v>
      </c>
      <c r="DY67" s="714">
        <v>3</v>
      </c>
      <c r="DZ67" s="714">
        <v>3.1</v>
      </c>
      <c r="EA67" s="714">
        <v>3.2</v>
      </c>
      <c r="EB67" s="714">
        <v>3.3</v>
      </c>
      <c r="EC67" s="714">
        <v>2.2</v>
      </c>
      <c r="ED67" s="714">
        <v>2.3</v>
      </c>
      <c r="EE67" s="714">
        <v>2.4</v>
      </c>
      <c r="EF67" s="714">
        <v>2.5</v>
      </c>
      <c r="EG67" s="714">
        <v>2.6</v>
      </c>
      <c r="EH67" s="714">
        <v>2.9</v>
      </c>
      <c r="EI67" s="714">
        <v>3.1</v>
      </c>
      <c r="EJ67" s="714">
        <v>3.2</v>
      </c>
      <c r="EK67" s="714">
        <v>3.3</v>
      </c>
      <c r="EL67" s="714">
        <v>3.4</v>
      </c>
      <c r="EM67" s="714">
        <v>3.5</v>
      </c>
      <c r="EN67" s="714">
        <v>2.8</v>
      </c>
      <c r="EO67" s="714">
        <v>3</v>
      </c>
      <c r="EP67" s="714">
        <v>3.4</v>
      </c>
      <c r="EQ67" s="714">
        <v>3.6</v>
      </c>
      <c r="ER67" s="714">
        <v>3.9</v>
      </c>
      <c r="ES67" s="714">
        <v>4.1</v>
      </c>
      <c r="ET67" s="714">
        <v>4.3</v>
      </c>
      <c r="EU67" s="714">
        <v>4.5</v>
      </c>
      <c r="EV67" s="714">
        <v>4.7</v>
      </c>
      <c r="EW67" s="714">
        <v>5.1</v>
      </c>
      <c r="EX67" s="714">
        <v>5.3</v>
      </c>
      <c r="EY67" s="714">
        <v>-1.5</v>
      </c>
      <c r="EZ67" s="715">
        <v>-0.9</v>
      </c>
      <c r="FA67" s="715">
        <v>-0.4</v>
      </c>
      <c r="FB67" s="715">
        <v>0</v>
      </c>
      <c r="FC67" s="715">
        <v>0.3</v>
      </c>
      <c r="FD67" s="715">
        <v>0.5</v>
      </c>
      <c r="FE67" s="715">
        <v>0.9</v>
      </c>
      <c r="FF67" s="714">
        <v>1.1</v>
      </c>
      <c r="FG67" s="714">
        <v>1.3</v>
      </c>
      <c r="FH67" s="714">
        <v>1.5</v>
      </c>
      <c r="FI67" s="714">
        <v>1.7</v>
      </c>
      <c r="FJ67" s="723">
        <v>-2.51e-6</v>
      </c>
      <c r="FK67" s="723">
        <v>1.55e-8</v>
      </c>
      <c r="FL67" s="723">
        <v>-3.44e-11</v>
      </c>
      <c r="FM67" s="723">
        <v>9.45e-7</v>
      </c>
      <c r="FN67" s="723">
        <v>8.73e-10</v>
      </c>
      <c r="FO67" s="723">
        <v>0.194</v>
      </c>
      <c r="FP67" s="729">
        <v>1</v>
      </c>
      <c r="FQ67" s="729">
        <v>1</v>
      </c>
      <c r="FR67" s="729">
        <v>1</v>
      </c>
      <c r="FS67" s="729">
        <v>1</v>
      </c>
      <c r="FT67" s="729">
        <v>1</v>
      </c>
      <c r="FU67" s="729">
        <v>1</v>
      </c>
      <c r="FV67" s="681">
        <v>1</v>
      </c>
      <c r="FW67" s="729"/>
      <c r="FX67" s="729"/>
      <c r="FY67" s="729"/>
      <c r="FZ67" s="746">
        <v>580</v>
      </c>
      <c r="GA67" s="746">
        <v>621</v>
      </c>
      <c r="GB67" s="681">
        <v>527</v>
      </c>
      <c r="GC67" s="681">
        <v>541</v>
      </c>
      <c r="GD67" s="747">
        <v>1.11</v>
      </c>
      <c r="GE67" s="729"/>
      <c r="GF67" s="681">
        <v>85</v>
      </c>
      <c r="GG67" s="681">
        <v>107</v>
      </c>
      <c r="GH67" s="681">
        <v>76</v>
      </c>
      <c r="GI67" s="681">
        <v>78</v>
      </c>
      <c r="GJ67" s="681">
        <v>79</v>
      </c>
      <c r="GK67" s="681">
        <v>80</v>
      </c>
      <c r="GL67" s="681">
        <v>81</v>
      </c>
      <c r="GM67" s="681">
        <v>82</v>
      </c>
      <c r="GN67" s="681">
        <v>85</v>
      </c>
      <c r="GO67" s="681">
        <v>87</v>
      </c>
      <c r="GP67" s="681">
        <v>88</v>
      </c>
      <c r="GQ67" s="681">
        <v>89</v>
      </c>
      <c r="GR67" s="681">
        <v>91</v>
      </c>
      <c r="GS67" s="681">
        <v>91</v>
      </c>
      <c r="GT67" s="681">
        <v>92</v>
      </c>
      <c r="GU67" s="681">
        <v>94</v>
      </c>
      <c r="GV67" s="681">
        <v>94</v>
      </c>
      <c r="GW67" s="681">
        <v>97</v>
      </c>
      <c r="GX67" s="681">
        <v>98</v>
      </c>
      <c r="GY67" s="681">
        <v>100</v>
      </c>
      <c r="GZ67" s="681">
        <v>102</v>
      </c>
      <c r="HA67" s="681">
        <v>102</v>
      </c>
      <c r="HB67" s="681">
        <v>104</v>
      </c>
      <c r="HC67" s="681"/>
      <c r="HD67" s="750">
        <v>200</v>
      </c>
      <c r="HE67" s="681"/>
      <c r="HF67" s="681">
        <v>538</v>
      </c>
      <c r="HG67" s="681">
        <v>132</v>
      </c>
      <c r="HH67" s="714">
        <v>82</v>
      </c>
      <c r="HI67" s="714">
        <v>32.8</v>
      </c>
      <c r="HJ67" s="753">
        <v>0.252</v>
      </c>
      <c r="HK67" s="681">
        <v>81</v>
      </c>
      <c r="HL67" s="685">
        <v>2.79</v>
      </c>
      <c r="HM67" s="747">
        <v>2.77</v>
      </c>
      <c r="HN67" s="646" t="s">
        <v>716</v>
      </c>
      <c r="HO67" s="729" t="s">
        <v>728</v>
      </c>
      <c r="HP67" s="714">
        <v>-0.7</v>
      </c>
      <c r="HQ67" s="754">
        <v>0.93</v>
      </c>
      <c r="HR67" s="754">
        <v>0.944</v>
      </c>
      <c r="HS67" s="754">
        <v>0.976</v>
      </c>
      <c r="HT67" s="754">
        <v>0.985</v>
      </c>
      <c r="HU67" s="754">
        <v>0.995</v>
      </c>
      <c r="HV67" s="754">
        <v>0.996</v>
      </c>
      <c r="HW67" s="754">
        <v>0.999</v>
      </c>
      <c r="HX67" s="754">
        <v>0.999</v>
      </c>
      <c r="HY67" s="754">
        <v>0.999</v>
      </c>
      <c r="HZ67" s="754">
        <v>0.999</v>
      </c>
      <c r="IA67" s="754">
        <v>0.999</v>
      </c>
      <c r="IB67" s="754">
        <v>0.999</v>
      </c>
      <c r="IC67" s="754">
        <v>0.999</v>
      </c>
      <c r="ID67" s="754">
        <v>0.999</v>
      </c>
      <c r="IE67" s="754">
        <v>0.999</v>
      </c>
      <c r="IF67" s="754">
        <v>0.999</v>
      </c>
      <c r="IG67" s="754">
        <v>0.999</v>
      </c>
      <c r="IH67" s="754">
        <v>0.998</v>
      </c>
      <c r="II67" s="754">
        <v>0.998</v>
      </c>
      <c r="IJ67" s="754">
        <v>0.997</v>
      </c>
      <c r="IK67" s="754">
        <v>0.996</v>
      </c>
      <c r="IL67" s="754">
        <v>0.995</v>
      </c>
      <c r="IM67" s="754">
        <v>0.992</v>
      </c>
      <c r="IN67" s="754">
        <v>0.98</v>
      </c>
      <c r="IO67" s="754">
        <v>0.959</v>
      </c>
      <c r="IP67" s="754">
        <v>0.898</v>
      </c>
      <c r="IQ67" s="754">
        <v>0.726</v>
      </c>
      <c r="IR67" s="754">
        <v>0.367</v>
      </c>
      <c r="IS67" s="753"/>
      <c r="IT67" s="754"/>
      <c r="IU67" s="754"/>
      <c r="IV67" s="754"/>
      <c r="IW67" s="754"/>
      <c r="IX67" s="754"/>
      <c r="IY67" s="754"/>
      <c r="IZ67" s="754"/>
      <c r="JA67" s="776">
        <v>0.865</v>
      </c>
      <c r="JB67" s="776">
        <v>0.891</v>
      </c>
      <c r="JC67" s="776">
        <v>0.953</v>
      </c>
      <c r="JD67" s="776">
        <v>0.971</v>
      </c>
      <c r="JE67" s="776">
        <v>0.991</v>
      </c>
      <c r="JF67" s="776">
        <v>0.993</v>
      </c>
      <c r="JG67" s="776">
        <v>0.998</v>
      </c>
      <c r="JH67" s="776">
        <v>0.998</v>
      </c>
      <c r="JI67" s="776">
        <v>0.998</v>
      </c>
      <c r="JJ67" s="776">
        <v>0.998</v>
      </c>
      <c r="JK67" s="776">
        <v>0.998</v>
      </c>
      <c r="JL67" s="776">
        <v>0.998</v>
      </c>
      <c r="JM67" s="776">
        <v>0.998</v>
      </c>
      <c r="JN67" s="776">
        <v>0.998</v>
      </c>
      <c r="JO67" s="776">
        <v>0.998</v>
      </c>
      <c r="JP67" s="776">
        <v>0.998</v>
      </c>
      <c r="JQ67" s="776">
        <v>0.998</v>
      </c>
      <c r="JR67" s="776">
        <v>0.997</v>
      </c>
      <c r="JS67" s="776">
        <v>0.996</v>
      </c>
      <c r="JT67" s="776">
        <v>0.995</v>
      </c>
      <c r="JU67" s="776">
        <v>0.993</v>
      </c>
      <c r="JV67" s="776">
        <v>0.99</v>
      </c>
      <c r="JW67" s="776">
        <v>0.985</v>
      </c>
      <c r="JX67" s="776">
        <v>0.961</v>
      </c>
      <c r="JY67" s="776">
        <v>0.92</v>
      </c>
      <c r="JZ67" s="776">
        <v>0.807</v>
      </c>
      <c r="KA67" s="776">
        <v>0.527</v>
      </c>
      <c r="KB67" s="776">
        <v>0.135</v>
      </c>
      <c r="KC67" s="753"/>
      <c r="KD67" s="754"/>
      <c r="KE67" s="754"/>
      <c r="KF67" s="754"/>
      <c r="KG67" s="754"/>
      <c r="KH67" s="754"/>
      <c r="KI67" s="754"/>
      <c r="KJ67" s="754"/>
      <c r="KK67" s="765" t="s">
        <v>281</v>
      </c>
      <c r="KL67" s="738">
        <v>16</v>
      </c>
      <c r="KM67" s="738">
        <v>44</v>
      </c>
      <c r="KN67" s="646" t="s">
        <v>282</v>
      </c>
      <c r="KO67" s="646" t="s">
        <v>727</v>
      </c>
      <c r="KP67" s="679">
        <v>648338</v>
      </c>
      <c r="KQ67" s="766"/>
      <c r="KR67" s="750"/>
      <c r="KS67" s="769" t="s">
        <v>729</v>
      </c>
      <c r="KT67" s="770" t="s">
        <v>730</v>
      </c>
      <c r="KU67" s="766" t="s">
        <v>731</v>
      </c>
      <c r="KV67" s="750">
        <v>648338</v>
      </c>
      <c r="KW67" s="771"/>
      <c r="KX67" s="750"/>
      <c r="KY67" s="769" t="s">
        <v>732</v>
      </c>
      <c r="KZ67" s="770" t="s">
        <v>733</v>
      </c>
    </row>
    <row r="68" s="628" customFormat="1" customHeight="1" spans="1:312">
      <c r="A68" s="682" t="s">
        <v>277</v>
      </c>
      <c r="B68" s="683">
        <v>64</v>
      </c>
      <c r="C68" s="689" t="s">
        <v>734</v>
      </c>
      <c r="D68" s="679">
        <v>673322</v>
      </c>
      <c r="E68" s="685">
        <v>32.17</v>
      </c>
      <c r="F68" s="685">
        <v>31.92</v>
      </c>
      <c r="G68" s="686">
        <v>0.02091</v>
      </c>
      <c r="H68" s="686">
        <v>0.021227</v>
      </c>
      <c r="I68" s="696">
        <v>1.63037</v>
      </c>
      <c r="J68" s="696">
        <v>1.63613</v>
      </c>
      <c r="K68" s="696">
        <v>1.64275</v>
      </c>
      <c r="L68" s="696">
        <v>1.64942</v>
      </c>
      <c r="M68" s="696">
        <v>1.65076</v>
      </c>
      <c r="N68" s="696">
        <v>1.6519</v>
      </c>
      <c r="O68" s="696">
        <v>1.65659</v>
      </c>
      <c r="P68" s="696">
        <v>1.66001</v>
      </c>
      <c r="Q68" s="696">
        <v>1.66327</v>
      </c>
      <c r="R68" s="696">
        <v>1.66661</v>
      </c>
      <c r="S68" s="696">
        <v>1.66756</v>
      </c>
      <c r="T68" s="701">
        <v>1.66846</v>
      </c>
      <c r="U68" s="696">
        <v>1.67252</v>
      </c>
      <c r="V68" s="696">
        <v>1.6727</v>
      </c>
      <c r="W68" s="696">
        <v>1.67764</v>
      </c>
      <c r="X68" s="696">
        <v>1.68752</v>
      </c>
      <c r="Y68" s="696">
        <v>1.68879</v>
      </c>
      <c r="Z68" s="697">
        <v>1.70004</v>
      </c>
      <c r="AA68" s="697">
        <v>1.71115</v>
      </c>
      <c r="AB68" s="697">
        <v>1.73203</v>
      </c>
      <c r="AC68" s="704">
        <v>2.71254884</v>
      </c>
      <c r="AD68" s="705">
        <v>-0.0109981079</v>
      </c>
      <c r="AE68" s="705">
        <v>0.0269930833</v>
      </c>
      <c r="AF68" s="705">
        <v>0.00144291354</v>
      </c>
      <c r="AG68" s="705">
        <v>-8.34857219e-5</v>
      </c>
      <c r="AH68" s="705">
        <v>1.26851609e-5</v>
      </c>
      <c r="AI68" s="709">
        <v>0.2912</v>
      </c>
      <c r="AJ68" s="709">
        <v>0.2363</v>
      </c>
      <c r="AK68" s="709">
        <v>0.5988</v>
      </c>
      <c r="AL68" s="709">
        <v>0.2421</v>
      </c>
      <c r="AM68" s="709">
        <v>0.2327</v>
      </c>
      <c r="AN68" s="709">
        <v>0.53</v>
      </c>
      <c r="AO68" s="709">
        <v>0.0001</v>
      </c>
      <c r="AP68" s="709">
        <v>0.0086</v>
      </c>
      <c r="AQ68" s="709">
        <v>0.0075</v>
      </c>
      <c r="AR68" s="709">
        <v>0.0016</v>
      </c>
      <c r="AS68" s="714">
        <v>0.7</v>
      </c>
      <c r="AT68" s="714">
        <v>0.7</v>
      </c>
      <c r="AU68" s="714">
        <v>0.7</v>
      </c>
      <c r="AV68" s="714">
        <v>0.7</v>
      </c>
      <c r="AW68" s="714">
        <v>0.7</v>
      </c>
      <c r="AX68" s="714">
        <v>0.7</v>
      </c>
      <c r="AY68" s="714">
        <v>0.9</v>
      </c>
      <c r="AZ68" s="714">
        <v>0.9</v>
      </c>
      <c r="BA68" s="714">
        <v>1</v>
      </c>
      <c r="BB68" s="714">
        <v>1.2</v>
      </c>
      <c r="BC68" s="714">
        <v>1.2</v>
      </c>
      <c r="BD68" s="714">
        <v>1</v>
      </c>
      <c r="BE68" s="714">
        <v>1</v>
      </c>
      <c r="BF68" s="714">
        <v>1.1</v>
      </c>
      <c r="BG68" s="714">
        <v>1.1</v>
      </c>
      <c r="BH68" s="714">
        <v>1.1</v>
      </c>
      <c r="BI68" s="714">
        <v>1.3</v>
      </c>
      <c r="BJ68" s="714">
        <v>1.4</v>
      </c>
      <c r="BK68" s="714">
        <v>1.5</v>
      </c>
      <c r="BL68" s="714">
        <v>1.6</v>
      </c>
      <c r="BM68" s="714">
        <v>1.8</v>
      </c>
      <c r="BN68" s="714">
        <v>1.8</v>
      </c>
      <c r="BO68" s="714">
        <v>1.4</v>
      </c>
      <c r="BP68" s="714">
        <v>1.4</v>
      </c>
      <c r="BQ68" s="714">
        <v>1.4</v>
      </c>
      <c r="BR68" s="714">
        <v>1.5</v>
      </c>
      <c r="BS68" s="714">
        <v>1.5</v>
      </c>
      <c r="BT68" s="714">
        <v>1.6</v>
      </c>
      <c r="BU68" s="714">
        <v>1.7</v>
      </c>
      <c r="BV68" s="714">
        <v>1.8</v>
      </c>
      <c r="BW68" s="714">
        <v>2</v>
      </c>
      <c r="BX68" s="714">
        <v>2.2</v>
      </c>
      <c r="BY68" s="714">
        <v>2.3</v>
      </c>
      <c r="BZ68" s="714">
        <v>1.4</v>
      </c>
      <c r="CA68" s="714">
        <v>1.4</v>
      </c>
      <c r="CB68" s="714">
        <v>1.5</v>
      </c>
      <c r="CC68" s="714">
        <v>1.5</v>
      </c>
      <c r="CD68" s="714">
        <v>1.5</v>
      </c>
      <c r="CE68" s="714">
        <v>1.6</v>
      </c>
      <c r="CF68" s="714">
        <v>1.8</v>
      </c>
      <c r="CG68" s="714">
        <v>1.9</v>
      </c>
      <c r="CH68" s="714">
        <v>2.1</v>
      </c>
      <c r="CI68" s="714">
        <v>2.3</v>
      </c>
      <c r="CJ68" s="714">
        <v>2.4</v>
      </c>
      <c r="CK68" s="714">
        <v>1.5</v>
      </c>
      <c r="CL68" s="715">
        <v>1.4</v>
      </c>
      <c r="CM68" s="715">
        <v>1.5</v>
      </c>
      <c r="CN68" s="715">
        <v>1.6</v>
      </c>
      <c r="CO68" s="715">
        <v>1.6</v>
      </c>
      <c r="CP68" s="715">
        <v>1.7</v>
      </c>
      <c r="CQ68" s="715">
        <v>1.8</v>
      </c>
      <c r="CR68" s="714">
        <v>2</v>
      </c>
      <c r="CS68" s="714">
        <v>2.1</v>
      </c>
      <c r="CT68" s="714">
        <v>2.3</v>
      </c>
      <c r="CU68" s="714">
        <v>2.4</v>
      </c>
      <c r="CV68" s="714">
        <v>1.7</v>
      </c>
      <c r="CW68" s="715">
        <v>1.8</v>
      </c>
      <c r="CX68" s="715">
        <v>1.8</v>
      </c>
      <c r="CY68" s="715">
        <v>1.8</v>
      </c>
      <c r="CZ68" s="715">
        <v>1.8</v>
      </c>
      <c r="DA68" s="715">
        <v>2.1</v>
      </c>
      <c r="DB68" s="715">
        <v>2.3</v>
      </c>
      <c r="DC68" s="714">
        <v>2.4</v>
      </c>
      <c r="DD68" s="714">
        <v>2.6</v>
      </c>
      <c r="DE68" s="714">
        <v>2.8</v>
      </c>
      <c r="DF68" s="714">
        <v>2.9</v>
      </c>
      <c r="DG68" s="714">
        <v>2</v>
      </c>
      <c r="DH68" s="715">
        <v>2</v>
      </c>
      <c r="DI68" s="715">
        <v>2.1</v>
      </c>
      <c r="DJ68" s="715">
        <v>2.2</v>
      </c>
      <c r="DK68" s="715">
        <v>2.3</v>
      </c>
      <c r="DL68" s="715">
        <v>2.5</v>
      </c>
      <c r="DM68" s="715">
        <v>2.5</v>
      </c>
      <c r="DN68" s="714">
        <v>2.7</v>
      </c>
      <c r="DO68" s="714">
        <v>2.8</v>
      </c>
      <c r="DP68" s="714">
        <v>3.1</v>
      </c>
      <c r="DQ68" s="714">
        <v>3.3</v>
      </c>
      <c r="DR68" s="714">
        <v>2.9</v>
      </c>
      <c r="DS68" s="715">
        <v>2.9</v>
      </c>
      <c r="DT68" s="715">
        <v>3</v>
      </c>
      <c r="DU68" s="715">
        <v>3.1</v>
      </c>
      <c r="DV68" s="715">
        <v>3.3</v>
      </c>
      <c r="DW68" s="715">
        <v>3.5</v>
      </c>
      <c r="DX68" s="715">
        <v>3.7</v>
      </c>
      <c r="DY68" s="714">
        <v>4</v>
      </c>
      <c r="DZ68" s="714">
        <v>4.1</v>
      </c>
      <c r="EA68" s="714">
        <v>4.2</v>
      </c>
      <c r="EB68" s="714">
        <v>4.3</v>
      </c>
      <c r="EC68" s="714">
        <v>3</v>
      </c>
      <c r="ED68" s="715">
        <v>3</v>
      </c>
      <c r="EE68" s="715">
        <v>3.1</v>
      </c>
      <c r="EF68" s="715">
        <v>3.2</v>
      </c>
      <c r="EG68" s="715">
        <v>3.3</v>
      </c>
      <c r="EH68" s="715">
        <v>3.6</v>
      </c>
      <c r="EI68" s="715">
        <v>3.8</v>
      </c>
      <c r="EJ68" s="714">
        <v>4</v>
      </c>
      <c r="EK68" s="714">
        <v>4.1</v>
      </c>
      <c r="EL68" s="714">
        <v>4.3</v>
      </c>
      <c r="EM68" s="714">
        <v>4.4</v>
      </c>
      <c r="EN68" s="714">
        <v>3.7</v>
      </c>
      <c r="EO68" s="715">
        <v>3.8</v>
      </c>
      <c r="EP68" s="715">
        <v>4</v>
      </c>
      <c r="EQ68" s="715">
        <v>4.2</v>
      </c>
      <c r="ER68" s="715">
        <v>4.5</v>
      </c>
      <c r="ES68" s="715">
        <v>4.5</v>
      </c>
      <c r="ET68" s="715">
        <v>4.8</v>
      </c>
      <c r="EU68" s="714">
        <v>4.9</v>
      </c>
      <c r="EV68" s="714">
        <v>5.1</v>
      </c>
      <c r="EW68" s="714">
        <v>5.2</v>
      </c>
      <c r="EX68" s="714">
        <v>5.5</v>
      </c>
      <c r="EY68" s="714">
        <v>-1.2</v>
      </c>
      <c r="EZ68" s="715">
        <v>-0.9</v>
      </c>
      <c r="FA68" s="715">
        <v>-0.4</v>
      </c>
      <c r="FB68" s="715">
        <v>-0.1</v>
      </c>
      <c r="FC68" s="715">
        <v>0.1</v>
      </c>
      <c r="FD68" s="715">
        <v>0.4</v>
      </c>
      <c r="FE68" s="715">
        <v>0.7</v>
      </c>
      <c r="FF68" s="714">
        <v>1</v>
      </c>
      <c r="FG68" s="714">
        <v>1.2</v>
      </c>
      <c r="FH68" s="714">
        <v>1.5</v>
      </c>
      <c r="FI68" s="714">
        <v>1.7</v>
      </c>
      <c r="FJ68" s="723">
        <v>-2.44e-6</v>
      </c>
      <c r="FK68" s="723">
        <v>1.28e-8</v>
      </c>
      <c r="FL68" s="723">
        <v>-1.52e-11</v>
      </c>
      <c r="FM68" s="723">
        <v>8.6e-7</v>
      </c>
      <c r="FN68" s="723">
        <v>6.85e-10</v>
      </c>
      <c r="FO68" s="723">
        <v>0.266</v>
      </c>
      <c r="FP68" s="729">
        <v>1</v>
      </c>
      <c r="FQ68" s="729">
        <v>1</v>
      </c>
      <c r="FR68" s="729">
        <v>1</v>
      </c>
      <c r="FS68" s="729">
        <v>1</v>
      </c>
      <c r="FT68" s="729">
        <v>1</v>
      </c>
      <c r="FU68" s="729">
        <v>1</v>
      </c>
      <c r="FV68" s="681">
        <v>1</v>
      </c>
      <c r="FW68" s="729"/>
      <c r="FX68" s="729"/>
      <c r="FY68" s="729"/>
      <c r="FZ68" s="746">
        <v>592</v>
      </c>
      <c r="GA68" s="746">
        <v>627</v>
      </c>
      <c r="GB68" s="681">
        <v>518</v>
      </c>
      <c r="GC68" s="681">
        <v>560</v>
      </c>
      <c r="GD68" s="747">
        <v>1.2</v>
      </c>
      <c r="GE68" s="729"/>
      <c r="GF68" s="681">
        <v>85</v>
      </c>
      <c r="GG68" s="681">
        <v>107</v>
      </c>
      <c r="GH68" s="681">
        <v>76</v>
      </c>
      <c r="GI68" s="681">
        <v>79</v>
      </c>
      <c r="GJ68" s="681">
        <v>80</v>
      </c>
      <c r="GK68" s="681">
        <v>82</v>
      </c>
      <c r="GL68" s="681">
        <v>84</v>
      </c>
      <c r="GM68" s="681">
        <v>86</v>
      </c>
      <c r="GN68" s="681">
        <v>87</v>
      </c>
      <c r="GO68" s="681">
        <v>88</v>
      </c>
      <c r="GP68" s="681">
        <v>89</v>
      </c>
      <c r="GQ68" s="681">
        <v>89</v>
      </c>
      <c r="GR68" s="681">
        <v>90</v>
      </c>
      <c r="GS68" s="681">
        <v>90</v>
      </c>
      <c r="GT68" s="681">
        <v>91</v>
      </c>
      <c r="GU68" s="681">
        <v>92</v>
      </c>
      <c r="GV68" s="681">
        <v>93</v>
      </c>
      <c r="GW68" s="681">
        <v>94</v>
      </c>
      <c r="GX68" s="681">
        <v>95</v>
      </c>
      <c r="GY68" s="681">
        <v>97</v>
      </c>
      <c r="GZ68" s="681">
        <v>98</v>
      </c>
      <c r="HA68" s="681">
        <v>99</v>
      </c>
      <c r="HB68" s="681">
        <v>100</v>
      </c>
      <c r="HC68" s="681"/>
      <c r="HD68" s="750">
        <v>245</v>
      </c>
      <c r="HE68" s="681"/>
      <c r="HF68" s="681">
        <v>569</v>
      </c>
      <c r="HG68" s="681">
        <v>140</v>
      </c>
      <c r="HH68" s="714">
        <v>82.1</v>
      </c>
      <c r="HI68" s="714">
        <v>33.2</v>
      </c>
      <c r="HJ68" s="753">
        <v>0.237</v>
      </c>
      <c r="HK68" s="681">
        <v>89</v>
      </c>
      <c r="HL68" s="685">
        <v>2.53</v>
      </c>
      <c r="HM68" s="747">
        <v>2.9</v>
      </c>
      <c r="HN68" s="646" t="s">
        <v>735</v>
      </c>
      <c r="HO68" s="729" t="s">
        <v>736</v>
      </c>
      <c r="HP68" s="714">
        <v>-0.2</v>
      </c>
      <c r="HQ68" s="753">
        <v>0.93</v>
      </c>
      <c r="HR68" s="753">
        <v>0.952</v>
      </c>
      <c r="HS68" s="753">
        <v>0.986</v>
      </c>
      <c r="HT68" s="753">
        <v>0.996</v>
      </c>
      <c r="HU68" s="753">
        <v>0.999</v>
      </c>
      <c r="HV68" s="753">
        <v>0.999</v>
      </c>
      <c r="HW68" s="753">
        <v>0.999</v>
      </c>
      <c r="HX68" s="753">
        <v>0.999</v>
      </c>
      <c r="HY68" s="753">
        <v>0.999</v>
      </c>
      <c r="HZ68" s="753">
        <v>0.999</v>
      </c>
      <c r="IA68" s="753">
        <v>0.999</v>
      </c>
      <c r="IB68" s="753">
        <v>0.999</v>
      </c>
      <c r="IC68" s="753">
        <v>0.999</v>
      </c>
      <c r="ID68" s="753">
        <v>0.999</v>
      </c>
      <c r="IE68" s="753">
        <v>0.999</v>
      </c>
      <c r="IF68" s="753">
        <v>0.999</v>
      </c>
      <c r="IG68" s="753">
        <v>0.999</v>
      </c>
      <c r="IH68" s="753">
        <v>0.997</v>
      </c>
      <c r="II68" s="753">
        <v>0.995</v>
      </c>
      <c r="IJ68" s="753">
        <v>0.993</v>
      </c>
      <c r="IK68" s="753">
        <v>0.991</v>
      </c>
      <c r="IL68" s="753">
        <v>0.989</v>
      </c>
      <c r="IM68" s="753">
        <v>0.986</v>
      </c>
      <c r="IN68" s="753">
        <v>0.971</v>
      </c>
      <c r="IO68" s="753">
        <v>0.943</v>
      </c>
      <c r="IP68" s="753">
        <v>0.868</v>
      </c>
      <c r="IQ68" s="753">
        <v>0.655</v>
      </c>
      <c r="IR68" s="753">
        <v>0.225</v>
      </c>
      <c r="IS68" s="754"/>
      <c r="IT68" s="754"/>
      <c r="IU68" s="754"/>
      <c r="IV68" s="754"/>
      <c r="IW68" s="754"/>
      <c r="IX68" s="754"/>
      <c r="IY68" s="754"/>
      <c r="IZ68" s="754"/>
      <c r="JA68" s="753">
        <v>0.865</v>
      </c>
      <c r="JB68" s="753">
        <v>0.906</v>
      </c>
      <c r="JC68" s="753">
        <v>0.972</v>
      </c>
      <c r="JD68" s="753">
        <v>0.992</v>
      </c>
      <c r="JE68" s="753">
        <v>0.998</v>
      </c>
      <c r="JF68" s="753">
        <v>0.998</v>
      </c>
      <c r="JG68" s="753">
        <v>0.998</v>
      </c>
      <c r="JH68" s="753">
        <v>0.998</v>
      </c>
      <c r="JI68" s="753">
        <v>0.998</v>
      </c>
      <c r="JJ68" s="753">
        <v>0.998</v>
      </c>
      <c r="JK68" s="753">
        <v>0.998</v>
      </c>
      <c r="JL68" s="753">
        <v>0.998</v>
      </c>
      <c r="JM68" s="753">
        <v>0.998</v>
      </c>
      <c r="JN68" s="753">
        <v>0.998</v>
      </c>
      <c r="JO68" s="753">
        <v>0.998</v>
      </c>
      <c r="JP68" s="753">
        <v>0.998</v>
      </c>
      <c r="JQ68" s="753">
        <v>0.998</v>
      </c>
      <c r="JR68" s="753">
        <v>0.993</v>
      </c>
      <c r="JS68" s="753">
        <v>0.989</v>
      </c>
      <c r="JT68" s="753">
        <v>0.987</v>
      </c>
      <c r="JU68" s="753">
        <v>0.984</v>
      </c>
      <c r="JV68" s="753">
        <v>0.979</v>
      </c>
      <c r="JW68" s="753">
        <v>0.97</v>
      </c>
      <c r="JX68" s="753">
        <v>0.937</v>
      </c>
      <c r="JY68" s="753">
        <v>0.883</v>
      </c>
      <c r="JZ68" s="753">
        <v>0.747</v>
      </c>
      <c r="KA68" s="753">
        <v>0.426</v>
      </c>
      <c r="KB68" s="753">
        <v>0.052</v>
      </c>
      <c r="KC68" s="754"/>
      <c r="KD68" s="754"/>
      <c r="KE68" s="754"/>
      <c r="KF68" s="754"/>
      <c r="KG68" s="754"/>
      <c r="KH68" s="754"/>
      <c r="KI68" s="754"/>
      <c r="KJ68" s="754"/>
      <c r="KK68" s="765" t="s">
        <v>281</v>
      </c>
      <c r="KL68" s="738">
        <v>16</v>
      </c>
      <c r="KM68" s="738">
        <v>46</v>
      </c>
      <c r="KN68" s="646" t="s">
        <v>282</v>
      </c>
      <c r="KO68" s="646" t="s">
        <v>734</v>
      </c>
      <c r="KP68" s="679">
        <v>673322</v>
      </c>
      <c r="KQ68" s="766" t="s">
        <v>737</v>
      </c>
      <c r="KR68" s="750" t="s">
        <v>738</v>
      </c>
      <c r="KS68" s="769" t="s">
        <v>734</v>
      </c>
      <c r="KT68" s="770" t="s">
        <v>739</v>
      </c>
      <c r="KU68" s="766" t="s">
        <v>740</v>
      </c>
      <c r="KV68" s="750">
        <v>673322</v>
      </c>
      <c r="KW68" s="771"/>
      <c r="KX68" s="750"/>
      <c r="KY68" s="769" t="s">
        <v>741</v>
      </c>
      <c r="KZ68" s="770" t="s">
        <v>742</v>
      </c>
    </row>
    <row r="69" s="628" customFormat="1" customHeight="1" spans="1:312">
      <c r="A69" s="682" t="s">
        <v>277</v>
      </c>
      <c r="B69" s="683">
        <v>65</v>
      </c>
      <c r="C69" s="689" t="s">
        <v>743</v>
      </c>
      <c r="D69" s="680">
        <v>717295</v>
      </c>
      <c r="E69" s="685">
        <v>29.5</v>
      </c>
      <c r="F69" s="685">
        <v>29.27</v>
      </c>
      <c r="G69" s="688">
        <v>0.024318</v>
      </c>
      <c r="H69" s="686">
        <v>0.024707</v>
      </c>
      <c r="I69" s="696">
        <v>1.67093</v>
      </c>
      <c r="J69" s="696">
        <v>1.67676</v>
      </c>
      <c r="K69" s="696">
        <v>1.68361</v>
      </c>
      <c r="L69" s="696">
        <v>1.69079</v>
      </c>
      <c r="M69" s="696">
        <v>1.69228</v>
      </c>
      <c r="N69" s="696">
        <v>1.69355</v>
      </c>
      <c r="O69" s="696">
        <v>1.69884</v>
      </c>
      <c r="P69" s="696">
        <v>1.70274</v>
      </c>
      <c r="Q69" s="697">
        <v>1.70647</v>
      </c>
      <c r="R69" s="697">
        <v>1.71032</v>
      </c>
      <c r="S69" s="697">
        <v>1.71142</v>
      </c>
      <c r="T69" s="701">
        <v>1.71245</v>
      </c>
      <c r="U69" s="697">
        <v>1.71715</v>
      </c>
      <c r="V69" s="697">
        <v>1.71736</v>
      </c>
      <c r="W69" s="697">
        <v>1.7231</v>
      </c>
      <c r="X69" s="697">
        <v>1.73464</v>
      </c>
      <c r="Y69" s="697">
        <v>1.73613</v>
      </c>
      <c r="Z69" s="697">
        <v>1.74933</v>
      </c>
      <c r="AA69" s="697">
        <v>1.76249</v>
      </c>
      <c r="AB69" s="697">
        <v>1.78745</v>
      </c>
      <c r="AC69" s="704">
        <v>2.84670798</v>
      </c>
      <c r="AD69" s="705">
        <v>-0.011235076</v>
      </c>
      <c r="AE69" s="705">
        <v>0.032360757</v>
      </c>
      <c r="AF69" s="705">
        <v>0.00162442342</v>
      </c>
      <c r="AG69" s="705">
        <v>-8.05719818e-5</v>
      </c>
      <c r="AH69" s="705">
        <v>1.55748376e-5</v>
      </c>
      <c r="AI69" s="709">
        <v>0.2895</v>
      </c>
      <c r="AJ69" s="709">
        <v>0.236</v>
      </c>
      <c r="AK69" s="709">
        <v>0.6041</v>
      </c>
      <c r="AL69" s="709">
        <v>0.2404</v>
      </c>
      <c r="AM69" s="709">
        <v>0.2323</v>
      </c>
      <c r="AN69" s="709">
        <v>0.5343</v>
      </c>
      <c r="AO69" s="709">
        <v>0.0006</v>
      </c>
      <c r="AP69" s="709">
        <v>0.0095</v>
      </c>
      <c r="AQ69" s="709">
        <v>0.0066</v>
      </c>
      <c r="AR69" s="709">
        <v>0.0009</v>
      </c>
      <c r="AS69" s="714">
        <v>0.4</v>
      </c>
      <c r="AT69" s="714">
        <v>0.5</v>
      </c>
      <c r="AU69" s="714">
        <v>0.6</v>
      </c>
      <c r="AV69" s="714">
        <v>0.6</v>
      </c>
      <c r="AW69" s="714">
        <v>0.6</v>
      </c>
      <c r="AX69" s="714">
        <v>0.6</v>
      </c>
      <c r="AY69" s="714">
        <v>0.8</v>
      </c>
      <c r="AZ69" s="714">
        <v>0.9</v>
      </c>
      <c r="BA69" s="714">
        <v>0.9</v>
      </c>
      <c r="BB69" s="714">
        <v>1.1</v>
      </c>
      <c r="BC69" s="714">
        <v>1.2</v>
      </c>
      <c r="BD69" s="714">
        <v>1</v>
      </c>
      <c r="BE69" s="714">
        <v>1.1</v>
      </c>
      <c r="BF69" s="714">
        <v>1.2</v>
      </c>
      <c r="BG69" s="714">
        <v>1.2</v>
      </c>
      <c r="BH69" s="714">
        <v>1.3</v>
      </c>
      <c r="BI69" s="714">
        <v>1.4</v>
      </c>
      <c r="BJ69" s="714">
        <v>1.4</v>
      </c>
      <c r="BK69" s="714">
        <v>1.6</v>
      </c>
      <c r="BL69" s="714">
        <v>1.7</v>
      </c>
      <c r="BM69" s="714">
        <v>1.8</v>
      </c>
      <c r="BN69" s="714">
        <v>1.9</v>
      </c>
      <c r="BO69" s="714">
        <v>1.5</v>
      </c>
      <c r="BP69" s="714">
        <v>1.4</v>
      </c>
      <c r="BQ69" s="714">
        <v>1.4</v>
      </c>
      <c r="BR69" s="714">
        <v>1.4</v>
      </c>
      <c r="BS69" s="714">
        <v>1.5</v>
      </c>
      <c r="BT69" s="714">
        <v>1.6</v>
      </c>
      <c r="BU69" s="714">
        <v>1.7</v>
      </c>
      <c r="BV69" s="714">
        <v>1.8</v>
      </c>
      <c r="BW69" s="714">
        <v>2</v>
      </c>
      <c r="BX69" s="714">
        <v>2.1</v>
      </c>
      <c r="BY69" s="714">
        <v>2.3</v>
      </c>
      <c r="BZ69" s="714">
        <v>1.5</v>
      </c>
      <c r="CA69" s="714">
        <v>1.4</v>
      </c>
      <c r="CB69" s="714">
        <v>1.5</v>
      </c>
      <c r="CC69" s="714">
        <v>1.5</v>
      </c>
      <c r="CD69" s="714">
        <v>1.6</v>
      </c>
      <c r="CE69" s="714">
        <v>1.7</v>
      </c>
      <c r="CF69" s="714">
        <v>1.7</v>
      </c>
      <c r="CG69" s="714">
        <v>1.9</v>
      </c>
      <c r="CH69" s="714">
        <v>2.1</v>
      </c>
      <c r="CI69" s="714">
        <v>2.2</v>
      </c>
      <c r="CJ69" s="714">
        <v>2.3</v>
      </c>
      <c r="CK69" s="714">
        <v>1.5</v>
      </c>
      <c r="CL69" s="715">
        <v>1.5</v>
      </c>
      <c r="CM69" s="715">
        <v>1.5</v>
      </c>
      <c r="CN69" s="715">
        <v>1.5</v>
      </c>
      <c r="CO69" s="715">
        <v>1.6</v>
      </c>
      <c r="CP69" s="715">
        <v>1.7</v>
      </c>
      <c r="CQ69" s="715">
        <v>1.8</v>
      </c>
      <c r="CR69" s="714">
        <v>1.9</v>
      </c>
      <c r="CS69" s="714">
        <v>2.1</v>
      </c>
      <c r="CT69" s="714">
        <v>2.3</v>
      </c>
      <c r="CU69" s="714">
        <v>2.4</v>
      </c>
      <c r="CV69" s="714">
        <v>1.8</v>
      </c>
      <c r="CW69" s="715">
        <v>1.8</v>
      </c>
      <c r="CX69" s="715">
        <v>1.9</v>
      </c>
      <c r="CY69" s="715">
        <v>1.9</v>
      </c>
      <c r="CZ69" s="715">
        <v>1.9</v>
      </c>
      <c r="DA69" s="715">
        <v>2</v>
      </c>
      <c r="DB69" s="715">
        <v>2.3</v>
      </c>
      <c r="DC69" s="714">
        <v>2.3</v>
      </c>
      <c r="DD69" s="714">
        <v>2.4</v>
      </c>
      <c r="DE69" s="714">
        <v>2.7</v>
      </c>
      <c r="DF69" s="714">
        <v>2.8</v>
      </c>
      <c r="DG69" s="714">
        <v>2.1</v>
      </c>
      <c r="DH69" s="715">
        <v>2</v>
      </c>
      <c r="DI69" s="715">
        <v>2.2</v>
      </c>
      <c r="DJ69" s="715">
        <v>2.2</v>
      </c>
      <c r="DK69" s="715">
        <v>2.4</v>
      </c>
      <c r="DL69" s="715">
        <v>2.6</v>
      </c>
      <c r="DM69" s="715">
        <v>2.6</v>
      </c>
      <c r="DN69" s="714">
        <v>2.8</v>
      </c>
      <c r="DO69" s="714">
        <v>2.9</v>
      </c>
      <c r="DP69" s="714">
        <v>3.1</v>
      </c>
      <c r="DQ69" s="714">
        <v>3.3</v>
      </c>
      <c r="DR69" s="714">
        <v>2.9</v>
      </c>
      <c r="DS69" s="715">
        <v>3.1</v>
      </c>
      <c r="DT69" s="715">
        <v>3.2</v>
      </c>
      <c r="DU69" s="715">
        <v>3.3</v>
      </c>
      <c r="DV69" s="715">
        <v>3.5</v>
      </c>
      <c r="DW69" s="715">
        <v>3.8</v>
      </c>
      <c r="DX69" s="715">
        <v>4</v>
      </c>
      <c r="DY69" s="714">
        <v>4.1</v>
      </c>
      <c r="DZ69" s="714">
        <v>4.1</v>
      </c>
      <c r="EA69" s="714">
        <v>4.2</v>
      </c>
      <c r="EB69" s="714">
        <v>4.3</v>
      </c>
      <c r="EC69" s="714">
        <v>3</v>
      </c>
      <c r="ED69" s="715">
        <v>3.1</v>
      </c>
      <c r="EE69" s="715">
        <v>3.3</v>
      </c>
      <c r="EF69" s="715">
        <v>3.4</v>
      </c>
      <c r="EG69" s="715">
        <v>3.6</v>
      </c>
      <c r="EH69" s="715">
        <v>3.8</v>
      </c>
      <c r="EI69" s="715">
        <v>4</v>
      </c>
      <c r="EJ69" s="714">
        <v>4.1</v>
      </c>
      <c r="EK69" s="714">
        <v>4.2</v>
      </c>
      <c r="EL69" s="714">
        <v>4.3</v>
      </c>
      <c r="EM69" s="714">
        <v>4.4</v>
      </c>
      <c r="EN69" s="714">
        <v>4.1</v>
      </c>
      <c r="EO69" s="715">
        <v>4.3</v>
      </c>
      <c r="EP69" s="715">
        <v>4.5</v>
      </c>
      <c r="EQ69" s="715">
        <v>4.7</v>
      </c>
      <c r="ER69" s="715">
        <v>5</v>
      </c>
      <c r="ES69" s="715">
        <v>5.2</v>
      </c>
      <c r="ET69" s="715">
        <v>5.5</v>
      </c>
      <c r="EU69" s="714">
        <v>5.6</v>
      </c>
      <c r="EV69" s="714">
        <v>5.8</v>
      </c>
      <c r="EW69" s="714">
        <v>6</v>
      </c>
      <c r="EX69" s="714">
        <v>6.1</v>
      </c>
      <c r="EY69" s="714">
        <v>-1.3</v>
      </c>
      <c r="EZ69" s="715">
        <v>-0.8</v>
      </c>
      <c r="FA69" s="715">
        <v>-0.5</v>
      </c>
      <c r="FB69" s="715">
        <v>-0.2</v>
      </c>
      <c r="FC69" s="715">
        <v>0.1</v>
      </c>
      <c r="FD69" s="715">
        <v>0.4</v>
      </c>
      <c r="FE69" s="715">
        <v>0.6</v>
      </c>
      <c r="FF69" s="714">
        <v>0.9</v>
      </c>
      <c r="FG69" s="714">
        <v>1.2</v>
      </c>
      <c r="FH69" s="714">
        <v>1.5</v>
      </c>
      <c r="FI69" s="714">
        <v>1.6</v>
      </c>
      <c r="FJ69" s="723">
        <v>-2.26e-6</v>
      </c>
      <c r="FK69" s="723">
        <v>1.29e-8</v>
      </c>
      <c r="FL69" s="723">
        <v>-2.1e-11</v>
      </c>
      <c r="FM69" s="723">
        <v>7.27e-7</v>
      </c>
      <c r="FN69" s="723">
        <v>5.23e-10</v>
      </c>
      <c r="FO69" s="723">
        <v>0.308</v>
      </c>
      <c r="FP69" s="729">
        <v>1</v>
      </c>
      <c r="FQ69" s="729">
        <v>1</v>
      </c>
      <c r="FR69" s="729">
        <v>1</v>
      </c>
      <c r="FS69" s="729">
        <v>1</v>
      </c>
      <c r="FT69" s="729">
        <v>1</v>
      </c>
      <c r="FU69" s="729">
        <v>1</v>
      </c>
      <c r="FV69" s="681">
        <v>1</v>
      </c>
      <c r="FW69" s="729"/>
      <c r="FX69" s="729"/>
      <c r="FY69" s="729"/>
      <c r="FZ69" s="746">
        <v>601</v>
      </c>
      <c r="GA69" s="746">
        <v>634</v>
      </c>
      <c r="GB69" s="681">
        <v>538</v>
      </c>
      <c r="GC69" s="681">
        <v>572</v>
      </c>
      <c r="GD69" s="747">
        <v>1.14</v>
      </c>
      <c r="GE69" s="729"/>
      <c r="GF69" s="681">
        <v>84</v>
      </c>
      <c r="GG69" s="681">
        <v>107</v>
      </c>
      <c r="GH69" s="681">
        <v>75</v>
      </c>
      <c r="GI69" s="681">
        <v>78</v>
      </c>
      <c r="GJ69" s="681">
        <v>80</v>
      </c>
      <c r="GK69" s="681">
        <v>82</v>
      </c>
      <c r="GL69" s="681">
        <v>83</v>
      </c>
      <c r="GM69" s="681">
        <v>84</v>
      </c>
      <c r="GN69" s="681">
        <v>84</v>
      </c>
      <c r="GO69" s="681">
        <v>85</v>
      </c>
      <c r="GP69" s="681">
        <v>85</v>
      </c>
      <c r="GQ69" s="681">
        <v>86</v>
      </c>
      <c r="GR69" s="681">
        <v>87</v>
      </c>
      <c r="GS69" s="681">
        <v>88</v>
      </c>
      <c r="GT69" s="681">
        <v>89</v>
      </c>
      <c r="GU69" s="681">
        <v>90</v>
      </c>
      <c r="GV69" s="681">
        <v>91</v>
      </c>
      <c r="GW69" s="681">
        <v>92</v>
      </c>
      <c r="GX69" s="681">
        <v>93</v>
      </c>
      <c r="GY69" s="681">
        <v>95</v>
      </c>
      <c r="GZ69" s="681">
        <v>96</v>
      </c>
      <c r="HA69" s="681">
        <v>97</v>
      </c>
      <c r="HB69" s="681">
        <v>98</v>
      </c>
      <c r="HC69" s="681"/>
      <c r="HD69" s="750">
        <v>210</v>
      </c>
      <c r="HE69" s="681"/>
      <c r="HF69" s="681">
        <v>578</v>
      </c>
      <c r="HG69" s="681">
        <v>164</v>
      </c>
      <c r="HH69" s="714">
        <v>88</v>
      </c>
      <c r="HI69" s="714">
        <v>34.5</v>
      </c>
      <c r="HJ69" s="753">
        <v>0.276</v>
      </c>
      <c r="HK69" s="681">
        <v>74</v>
      </c>
      <c r="HL69" s="685">
        <v>2.66</v>
      </c>
      <c r="HM69" s="747">
        <v>3.06</v>
      </c>
      <c r="HN69" s="646" t="s">
        <v>744</v>
      </c>
      <c r="HO69" s="646" t="s">
        <v>745</v>
      </c>
      <c r="HP69" s="715">
        <v>-0.7</v>
      </c>
      <c r="HQ69" s="753">
        <v>0.934</v>
      </c>
      <c r="HR69" s="753">
        <v>0.963</v>
      </c>
      <c r="HS69" s="753">
        <v>0.993</v>
      </c>
      <c r="HT69" s="753">
        <v>0.998</v>
      </c>
      <c r="HU69" s="753">
        <v>0.998</v>
      </c>
      <c r="HV69" s="753">
        <v>0.998</v>
      </c>
      <c r="HW69" s="753">
        <v>0.998</v>
      </c>
      <c r="HX69" s="753">
        <v>0.998</v>
      </c>
      <c r="HY69" s="753">
        <v>0.998</v>
      </c>
      <c r="HZ69" s="753">
        <v>0.998</v>
      </c>
      <c r="IA69" s="753">
        <v>0.998</v>
      </c>
      <c r="IB69" s="753">
        <v>0.998</v>
      </c>
      <c r="IC69" s="753">
        <v>0.998</v>
      </c>
      <c r="ID69" s="753">
        <v>0.998</v>
      </c>
      <c r="IE69" s="753">
        <v>0.998</v>
      </c>
      <c r="IF69" s="753">
        <v>0.998</v>
      </c>
      <c r="IG69" s="753">
        <v>0.998</v>
      </c>
      <c r="IH69" s="753">
        <v>0.998</v>
      </c>
      <c r="II69" s="753">
        <v>0.996</v>
      </c>
      <c r="IJ69" s="753">
        <v>0.994</v>
      </c>
      <c r="IK69" s="753">
        <v>0.992</v>
      </c>
      <c r="IL69" s="753">
        <v>0.99</v>
      </c>
      <c r="IM69" s="753">
        <v>0.981</v>
      </c>
      <c r="IN69" s="753">
        <v>0.954</v>
      </c>
      <c r="IO69" s="753">
        <v>0.911</v>
      </c>
      <c r="IP69" s="753">
        <v>0.801</v>
      </c>
      <c r="IQ69" s="753">
        <v>0.534</v>
      </c>
      <c r="IR69" s="753">
        <v>0.161</v>
      </c>
      <c r="IS69" s="753"/>
      <c r="IT69" s="753"/>
      <c r="IU69" s="753"/>
      <c r="IV69" s="753"/>
      <c r="IW69" s="753"/>
      <c r="IX69" s="753"/>
      <c r="IY69" s="753"/>
      <c r="IZ69" s="753"/>
      <c r="JA69" s="753">
        <v>0.872</v>
      </c>
      <c r="JB69" s="753">
        <v>0.927</v>
      </c>
      <c r="JC69" s="753">
        <v>0.986</v>
      </c>
      <c r="JD69" s="753">
        <v>0.996</v>
      </c>
      <c r="JE69" s="753">
        <v>0.996</v>
      </c>
      <c r="JF69" s="753">
        <v>0.996</v>
      </c>
      <c r="JG69" s="753">
        <v>0.996</v>
      </c>
      <c r="JH69" s="753">
        <v>0.996</v>
      </c>
      <c r="JI69" s="753">
        <v>0.996</v>
      </c>
      <c r="JJ69" s="753">
        <v>0.996</v>
      </c>
      <c r="JK69" s="753">
        <v>0.996</v>
      </c>
      <c r="JL69" s="753">
        <v>0.996</v>
      </c>
      <c r="JM69" s="753">
        <v>0.996</v>
      </c>
      <c r="JN69" s="753">
        <v>0.996</v>
      </c>
      <c r="JO69" s="753">
        <v>0.996</v>
      </c>
      <c r="JP69" s="753">
        <v>0.996</v>
      </c>
      <c r="JQ69" s="753">
        <v>0.996</v>
      </c>
      <c r="JR69" s="753">
        <v>0.996</v>
      </c>
      <c r="JS69" s="753">
        <v>0.992</v>
      </c>
      <c r="JT69" s="753">
        <v>0.989</v>
      </c>
      <c r="JU69" s="753">
        <v>0.985</v>
      </c>
      <c r="JV69" s="753">
        <v>0.978</v>
      </c>
      <c r="JW69" s="753">
        <v>0.963</v>
      </c>
      <c r="JX69" s="753">
        <v>0.91</v>
      </c>
      <c r="JY69" s="753">
        <v>0.829</v>
      </c>
      <c r="JZ69" s="753">
        <v>0.641</v>
      </c>
      <c r="KA69" s="753">
        <v>0.286</v>
      </c>
      <c r="KB69" s="753">
        <v>0.026</v>
      </c>
      <c r="KC69" s="753"/>
      <c r="KD69" s="754"/>
      <c r="KE69" s="754"/>
      <c r="KF69" s="754"/>
      <c r="KG69" s="754"/>
      <c r="KH69" s="754"/>
      <c r="KI69" s="754"/>
      <c r="KJ69" s="754"/>
      <c r="KK69" s="765" t="s">
        <v>281</v>
      </c>
      <c r="KL69" s="738">
        <v>23</v>
      </c>
      <c r="KM69" s="738">
        <v>70</v>
      </c>
      <c r="KN69" s="646" t="s">
        <v>282</v>
      </c>
      <c r="KO69" s="646" t="s">
        <v>743</v>
      </c>
      <c r="KP69" s="680">
        <v>717295</v>
      </c>
      <c r="KQ69" s="766" t="s">
        <v>746</v>
      </c>
      <c r="KR69" s="750" t="s">
        <v>747</v>
      </c>
      <c r="KS69" s="769" t="s">
        <v>743</v>
      </c>
      <c r="KT69" s="770" t="s">
        <v>747</v>
      </c>
      <c r="KU69" s="766" t="s">
        <v>748</v>
      </c>
      <c r="KV69" s="750">
        <v>717295</v>
      </c>
      <c r="KW69" s="771" t="s">
        <v>749</v>
      </c>
      <c r="KX69" s="750" t="s">
        <v>747</v>
      </c>
      <c r="KY69" s="769" t="s">
        <v>750</v>
      </c>
      <c r="KZ69" s="770" t="s">
        <v>751</v>
      </c>
    </row>
    <row r="70" s="628" customFormat="1" customHeight="1" spans="1:312">
      <c r="A70" s="682" t="s">
        <v>374</v>
      </c>
      <c r="B70" s="683">
        <v>66</v>
      </c>
      <c r="C70" s="689" t="s">
        <v>752</v>
      </c>
      <c r="D70" s="680">
        <v>728283</v>
      </c>
      <c r="E70" s="685">
        <v>28.32</v>
      </c>
      <c r="F70" s="685">
        <v>28.1</v>
      </c>
      <c r="G70" s="688">
        <v>0.025716</v>
      </c>
      <c r="H70" s="686">
        <v>0.026133</v>
      </c>
      <c r="I70" s="696"/>
      <c r="J70" s="696"/>
      <c r="K70" s="696"/>
      <c r="L70" s="696">
        <v>1.70032</v>
      </c>
      <c r="M70" s="696">
        <v>1.70187</v>
      </c>
      <c r="N70" s="696">
        <v>1.7032</v>
      </c>
      <c r="O70" s="696">
        <v>1.70873</v>
      </c>
      <c r="P70" s="696">
        <v>1.71283</v>
      </c>
      <c r="Q70" s="697">
        <v>1.71676</v>
      </c>
      <c r="R70" s="697">
        <v>1.72082</v>
      </c>
      <c r="S70" s="697">
        <v>1.72198</v>
      </c>
      <c r="T70" s="701">
        <v>1.72306</v>
      </c>
      <c r="U70" s="697">
        <v>1.72802</v>
      </c>
      <c r="V70" s="697">
        <v>1.72825</v>
      </c>
      <c r="W70" s="697">
        <v>1.73432</v>
      </c>
      <c r="X70" s="697">
        <v>1.74654</v>
      </c>
      <c r="Y70" s="697">
        <v>1.74811</v>
      </c>
      <c r="Z70" s="697">
        <v>1.76215</v>
      </c>
      <c r="AA70" s="697">
        <v>1.77622</v>
      </c>
      <c r="AB70" s="697">
        <v>1.80305</v>
      </c>
      <c r="AC70" s="704">
        <v>2.87790099</v>
      </c>
      <c r="AD70" s="705">
        <v>-0.0114975391</v>
      </c>
      <c r="AE70" s="705">
        <v>0.0340752512</v>
      </c>
      <c r="AF70" s="705">
        <v>0.0018385431</v>
      </c>
      <c r="AG70" s="705">
        <v>-0.000104547399</v>
      </c>
      <c r="AH70" s="705">
        <v>1.87465641e-5</v>
      </c>
      <c r="AI70" s="709">
        <v>0.2889</v>
      </c>
      <c r="AJ70" s="709">
        <v>0.236</v>
      </c>
      <c r="AK70" s="709">
        <v>0.607</v>
      </c>
      <c r="AL70" s="709">
        <v>0.2399</v>
      </c>
      <c r="AM70" s="709">
        <v>0.2323</v>
      </c>
      <c r="AN70" s="709">
        <v>0.5373</v>
      </c>
      <c r="AO70" s="709">
        <v>0.0006</v>
      </c>
      <c r="AP70" s="709">
        <v>0.0105</v>
      </c>
      <c r="AQ70" s="709">
        <v>0.0078</v>
      </c>
      <c r="AR70" s="709">
        <v>0.0018</v>
      </c>
      <c r="AS70" s="714">
        <v>-1.2</v>
      </c>
      <c r="AT70" s="714">
        <v>-1.2</v>
      </c>
      <c r="AU70" s="714">
        <v>-1.1</v>
      </c>
      <c r="AV70" s="714">
        <v>-1.1</v>
      </c>
      <c r="AW70" s="714">
        <v>-1</v>
      </c>
      <c r="AX70" s="714">
        <v>-1</v>
      </c>
      <c r="AY70" s="714">
        <v>-0.9</v>
      </c>
      <c r="AZ70" s="714">
        <v>-0.9</v>
      </c>
      <c r="BA70" s="714">
        <v>-0.8</v>
      </c>
      <c r="BB70" s="714">
        <v>-0.7</v>
      </c>
      <c r="BC70" s="714">
        <v>-0.7</v>
      </c>
      <c r="BD70" s="714">
        <v>-1</v>
      </c>
      <c r="BE70" s="714">
        <v>-0.9</v>
      </c>
      <c r="BF70" s="714">
        <v>-0.7</v>
      </c>
      <c r="BG70" s="714">
        <v>-0.5</v>
      </c>
      <c r="BH70" s="714">
        <v>-0.3</v>
      </c>
      <c r="BI70" s="714">
        <v>-0.3</v>
      </c>
      <c r="BJ70" s="714">
        <v>-0.1</v>
      </c>
      <c r="BK70" s="714">
        <v>-0.1</v>
      </c>
      <c r="BL70" s="714">
        <v>0.1</v>
      </c>
      <c r="BM70" s="714">
        <v>0.3</v>
      </c>
      <c r="BN70" s="714">
        <v>0.4</v>
      </c>
      <c r="BO70" s="714">
        <v>-0.7</v>
      </c>
      <c r="BP70" s="714">
        <v>-0.5</v>
      </c>
      <c r="BQ70" s="714">
        <v>-0.3</v>
      </c>
      <c r="BR70" s="714">
        <v>-0.2</v>
      </c>
      <c r="BS70" s="714">
        <v>0</v>
      </c>
      <c r="BT70" s="714">
        <v>0.2</v>
      </c>
      <c r="BU70" s="714">
        <v>0.3</v>
      </c>
      <c r="BV70" s="714">
        <v>0.5</v>
      </c>
      <c r="BW70" s="714">
        <v>0.7</v>
      </c>
      <c r="BX70" s="714">
        <v>0.8</v>
      </c>
      <c r="BY70" s="714">
        <v>0.9</v>
      </c>
      <c r="BZ70" s="714">
        <v>-0.6</v>
      </c>
      <c r="CA70" s="714">
        <v>-0.4</v>
      </c>
      <c r="CB70" s="714">
        <v>-0.2</v>
      </c>
      <c r="CC70" s="714">
        <v>-0.1</v>
      </c>
      <c r="CD70" s="714">
        <v>0.1</v>
      </c>
      <c r="CE70" s="714">
        <v>0.3</v>
      </c>
      <c r="CF70" s="714">
        <v>0.4</v>
      </c>
      <c r="CG70" s="714">
        <v>0.5</v>
      </c>
      <c r="CH70" s="714">
        <v>0.7</v>
      </c>
      <c r="CI70" s="714">
        <v>0.9</v>
      </c>
      <c r="CJ70" s="714">
        <v>1</v>
      </c>
      <c r="CK70" s="714">
        <v>-0.5</v>
      </c>
      <c r="CL70" s="715">
        <v>-0.4</v>
      </c>
      <c r="CM70" s="715">
        <v>-0.1</v>
      </c>
      <c r="CN70" s="715">
        <v>0.1</v>
      </c>
      <c r="CO70" s="715">
        <v>0.2</v>
      </c>
      <c r="CP70" s="715">
        <v>0.4</v>
      </c>
      <c r="CQ70" s="715">
        <v>0.5</v>
      </c>
      <c r="CR70" s="714">
        <v>0.6</v>
      </c>
      <c r="CS70" s="714">
        <v>0.8</v>
      </c>
      <c r="CT70" s="714">
        <v>0.9</v>
      </c>
      <c r="CU70" s="714">
        <v>1.1</v>
      </c>
      <c r="CV70" s="714">
        <v>-0.3</v>
      </c>
      <c r="CW70" s="715">
        <v>-0.1</v>
      </c>
      <c r="CX70" s="715">
        <v>0.3</v>
      </c>
      <c r="CY70" s="715">
        <v>0.4</v>
      </c>
      <c r="CZ70" s="715">
        <v>0.6</v>
      </c>
      <c r="DA70" s="715">
        <v>0.8</v>
      </c>
      <c r="DB70" s="715">
        <v>1</v>
      </c>
      <c r="DC70" s="714">
        <v>1.2</v>
      </c>
      <c r="DD70" s="714">
        <v>1.3</v>
      </c>
      <c r="DE70" s="714">
        <v>1.7</v>
      </c>
      <c r="DF70" s="714">
        <v>1.8</v>
      </c>
      <c r="DG70" s="714">
        <v>0.4</v>
      </c>
      <c r="DH70" s="715">
        <v>0.6</v>
      </c>
      <c r="DI70" s="715">
        <v>0.9</v>
      </c>
      <c r="DJ70" s="715">
        <v>1.2</v>
      </c>
      <c r="DK70" s="715">
        <v>1.4</v>
      </c>
      <c r="DL70" s="715">
        <v>1.6</v>
      </c>
      <c r="DM70" s="715">
        <v>1.8</v>
      </c>
      <c r="DN70" s="714">
        <v>2</v>
      </c>
      <c r="DO70" s="714">
        <v>2.1</v>
      </c>
      <c r="DP70" s="714">
        <v>2.5</v>
      </c>
      <c r="DQ70" s="714">
        <v>2.6</v>
      </c>
      <c r="DR70" s="714">
        <v>1.3</v>
      </c>
      <c r="DS70" s="715">
        <v>1.5</v>
      </c>
      <c r="DT70" s="715">
        <v>1.6</v>
      </c>
      <c r="DU70" s="715">
        <v>1.7</v>
      </c>
      <c r="DV70" s="715">
        <v>1.8</v>
      </c>
      <c r="DW70" s="715">
        <v>1.9</v>
      </c>
      <c r="DX70" s="715">
        <v>2.3</v>
      </c>
      <c r="DY70" s="714">
        <v>2.6</v>
      </c>
      <c r="DZ70" s="714">
        <v>2.9</v>
      </c>
      <c r="EA70" s="714">
        <v>3.2</v>
      </c>
      <c r="EB70" s="714">
        <v>3.5</v>
      </c>
      <c r="EC70" s="714">
        <v>1.4</v>
      </c>
      <c r="ED70" s="715">
        <v>1.7</v>
      </c>
      <c r="EE70" s="715">
        <v>1.8</v>
      </c>
      <c r="EF70" s="715">
        <v>1.9</v>
      </c>
      <c r="EG70" s="715">
        <v>2</v>
      </c>
      <c r="EH70" s="715">
        <v>2.2</v>
      </c>
      <c r="EI70" s="715">
        <v>2.5</v>
      </c>
      <c r="EJ70" s="714">
        <v>2.8</v>
      </c>
      <c r="EK70" s="714">
        <v>3.1</v>
      </c>
      <c r="EL70" s="714">
        <v>3.4</v>
      </c>
      <c r="EM70" s="714">
        <v>3.6</v>
      </c>
      <c r="EN70" s="714">
        <v>1.9</v>
      </c>
      <c r="EO70" s="715">
        <v>2.4</v>
      </c>
      <c r="EP70" s="715">
        <v>2.7</v>
      </c>
      <c r="EQ70" s="715">
        <v>2.9</v>
      </c>
      <c r="ER70" s="715">
        <v>3.1</v>
      </c>
      <c r="ES70" s="715">
        <v>3.4</v>
      </c>
      <c r="ET70" s="715">
        <v>3.5</v>
      </c>
      <c r="EU70" s="714">
        <v>4</v>
      </c>
      <c r="EV70" s="714">
        <v>4.2</v>
      </c>
      <c r="EW70" s="714">
        <v>4.4</v>
      </c>
      <c r="EX70" s="714">
        <v>4.6</v>
      </c>
      <c r="EY70" s="714">
        <v>-3.3</v>
      </c>
      <c r="EZ70" s="715">
        <v>-2.7</v>
      </c>
      <c r="FA70" s="715">
        <v>-2.1</v>
      </c>
      <c r="FB70" s="715">
        <v>-1.6</v>
      </c>
      <c r="FC70" s="715">
        <v>-1.3</v>
      </c>
      <c r="FD70" s="715">
        <v>-0.9</v>
      </c>
      <c r="FE70" s="715">
        <v>-0.7</v>
      </c>
      <c r="FF70" s="714">
        <v>-0.4</v>
      </c>
      <c r="FG70" s="714">
        <v>-0.1</v>
      </c>
      <c r="FH70" s="714">
        <v>0.1</v>
      </c>
      <c r="FI70" s="714">
        <v>0.3</v>
      </c>
      <c r="FJ70" s="723">
        <v>-6.13e-6</v>
      </c>
      <c r="FK70" s="723">
        <v>1.41e-8</v>
      </c>
      <c r="FL70" s="723">
        <v>-2.55e-11</v>
      </c>
      <c r="FM70" s="723">
        <v>1.37e-6</v>
      </c>
      <c r="FN70" s="723">
        <v>1.29e-9</v>
      </c>
      <c r="FO70" s="723">
        <v>0.157</v>
      </c>
      <c r="FP70" s="729">
        <v>1</v>
      </c>
      <c r="FQ70" s="729">
        <v>1</v>
      </c>
      <c r="FR70" s="729">
        <v>1</v>
      </c>
      <c r="FS70" s="729">
        <v>1</v>
      </c>
      <c r="FT70" s="729">
        <v>1</v>
      </c>
      <c r="FU70" s="729">
        <v>1</v>
      </c>
      <c r="FV70" s="681">
        <v>1</v>
      </c>
      <c r="FW70" s="729"/>
      <c r="FX70" s="729"/>
      <c r="FY70" s="729"/>
      <c r="FZ70" s="746">
        <v>594</v>
      </c>
      <c r="GA70" s="746">
        <v>621</v>
      </c>
      <c r="GB70" s="681">
        <v>530</v>
      </c>
      <c r="GC70" s="681">
        <v>559</v>
      </c>
      <c r="GD70" s="747">
        <v>1.12</v>
      </c>
      <c r="GE70" s="729"/>
      <c r="GF70" s="681">
        <v>86</v>
      </c>
      <c r="GG70" s="681">
        <v>105</v>
      </c>
      <c r="GH70" s="681">
        <v>79</v>
      </c>
      <c r="GI70" s="681">
        <v>82</v>
      </c>
      <c r="GJ70" s="681">
        <v>84</v>
      </c>
      <c r="GK70" s="681">
        <v>84</v>
      </c>
      <c r="GL70" s="681">
        <v>85</v>
      </c>
      <c r="GM70" s="681">
        <v>86</v>
      </c>
      <c r="GN70" s="681">
        <v>87</v>
      </c>
      <c r="GO70" s="681">
        <v>90</v>
      </c>
      <c r="GP70" s="681">
        <v>91</v>
      </c>
      <c r="GQ70" s="681">
        <v>93</v>
      </c>
      <c r="GR70" s="681">
        <v>94</v>
      </c>
      <c r="GS70" s="681">
        <v>94</v>
      </c>
      <c r="GT70" s="681">
        <v>95</v>
      </c>
      <c r="GU70" s="681">
        <v>95</v>
      </c>
      <c r="GV70" s="681">
        <v>97</v>
      </c>
      <c r="GW70" s="681">
        <v>97</v>
      </c>
      <c r="GX70" s="681">
        <v>99</v>
      </c>
      <c r="GY70" s="681">
        <v>100</v>
      </c>
      <c r="GZ70" s="681">
        <v>100</v>
      </c>
      <c r="HA70" s="681">
        <v>101</v>
      </c>
      <c r="HB70" s="681">
        <v>103</v>
      </c>
      <c r="HC70" s="681"/>
      <c r="HD70" s="750">
        <v>232</v>
      </c>
      <c r="HE70" s="681"/>
      <c r="HF70" s="681">
        <v>551</v>
      </c>
      <c r="HG70" s="681">
        <v>210</v>
      </c>
      <c r="HH70" s="714">
        <v>90.7</v>
      </c>
      <c r="HI70" s="714">
        <v>36</v>
      </c>
      <c r="HJ70" s="753">
        <v>0.262</v>
      </c>
      <c r="HK70" s="681">
        <v>73</v>
      </c>
      <c r="HL70" s="685">
        <v>2.65</v>
      </c>
      <c r="HM70" s="747">
        <v>3.05</v>
      </c>
      <c r="HN70" s="646" t="s">
        <v>753</v>
      </c>
      <c r="HO70" s="646" t="s">
        <v>754</v>
      </c>
      <c r="HP70" s="715">
        <v>-0.3</v>
      </c>
      <c r="HQ70" s="753">
        <v>0.922</v>
      </c>
      <c r="HR70" s="753">
        <v>0.951</v>
      </c>
      <c r="HS70" s="753">
        <v>0.982</v>
      </c>
      <c r="HT70" s="753">
        <v>0.99</v>
      </c>
      <c r="HU70" s="753">
        <v>0.996</v>
      </c>
      <c r="HV70" s="753">
        <v>0.997</v>
      </c>
      <c r="HW70" s="753">
        <v>0.999</v>
      </c>
      <c r="HX70" s="753">
        <v>0.999</v>
      </c>
      <c r="HY70" s="753">
        <v>0.999</v>
      </c>
      <c r="HZ70" s="753">
        <v>0.999</v>
      </c>
      <c r="IA70" s="753">
        <v>0.999</v>
      </c>
      <c r="IB70" s="753">
        <v>0.999</v>
      </c>
      <c r="IC70" s="753">
        <v>0.999</v>
      </c>
      <c r="ID70" s="753">
        <v>0.999</v>
      </c>
      <c r="IE70" s="753">
        <v>0.998</v>
      </c>
      <c r="IF70" s="753">
        <v>0.998</v>
      </c>
      <c r="IG70" s="753">
        <v>0.997</v>
      </c>
      <c r="IH70" s="753">
        <v>0.996</v>
      </c>
      <c r="II70" s="753">
        <v>0.994</v>
      </c>
      <c r="IJ70" s="753">
        <v>0.992</v>
      </c>
      <c r="IK70" s="753">
        <v>0.989</v>
      </c>
      <c r="IL70" s="753">
        <v>0.984</v>
      </c>
      <c r="IM70" s="753">
        <v>0.974</v>
      </c>
      <c r="IN70" s="753">
        <v>0.94</v>
      </c>
      <c r="IO70" s="753">
        <v>0.887</v>
      </c>
      <c r="IP70" s="753">
        <v>0.762</v>
      </c>
      <c r="IQ70" s="753">
        <v>0.477</v>
      </c>
      <c r="IR70" s="753">
        <v>0.068</v>
      </c>
      <c r="IS70" s="753"/>
      <c r="IT70" s="753"/>
      <c r="IU70" s="753"/>
      <c r="IV70" s="753"/>
      <c r="IW70" s="753"/>
      <c r="IX70" s="753"/>
      <c r="IY70" s="753"/>
      <c r="IZ70" s="753"/>
      <c r="JA70" s="753">
        <v>0.851</v>
      </c>
      <c r="JB70" s="753">
        <v>0.904</v>
      </c>
      <c r="JC70" s="753">
        <v>0.965</v>
      </c>
      <c r="JD70" s="753">
        <v>0.98</v>
      </c>
      <c r="JE70" s="753">
        <v>0.992</v>
      </c>
      <c r="JF70" s="753">
        <v>0.994</v>
      </c>
      <c r="JG70" s="753">
        <v>0.997</v>
      </c>
      <c r="JH70" s="753">
        <v>0.997</v>
      </c>
      <c r="JI70" s="753">
        <v>0.997</v>
      </c>
      <c r="JJ70" s="753">
        <v>0.997</v>
      </c>
      <c r="JK70" s="753">
        <v>0.997</v>
      </c>
      <c r="JL70" s="753">
        <v>0.997</v>
      </c>
      <c r="JM70" s="753">
        <v>0.997</v>
      </c>
      <c r="JN70" s="753">
        <v>0.997</v>
      </c>
      <c r="JO70" s="753">
        <v>0.997</v>
      </c>
      <c r="JP70" s="753">
        <v>0.996</v>
      </c>
      <c r="JQ70" s="753">
        <v>0.994</v>
      </c>
      <c r="JR70" s="753">
        <v>0.992</v>
      </c>
      <c r="JS70" s="753">
        <v>0.987</v>
      </c>
      <c r="JT70" s="753">
        <v>0.983</v>
      </c>
      <c r="JU70" s="753">
        <v>0.979</v>
      </c>
      <c r="JV70" s="753">
        <v>0.97</v>
      </c>
      <c r="JW70" s="753">
        <v>0.95</v>
      </c>
      <c r="JX70" s="753">
        <v>0.884</v>
      </c>
      <c r="JY70" s="753">
        <v>0.788</v>
      </c>
      <c r="JZ70" s="753">
        <v>0.582</v>
      </c>
      <c r="KA70" s="753">
        <v>0.228</v>
      </c>
      <c r="KB70" s="753">
        <v>0.01</v>
      </c>
      <c r="KC70" s="753"/>
      <c r="KD70" s="754"/>
      <c r="KE70" s="754"/>
      <c r="KF70" s="754"/>
      <c r="KG70" s="754"/>
      <c r="KH70" s="754"/>
      <c r="KI70" s="754"/>
      <c r="KJ70" s="754"/>
      <c r="KK70" s="765" t="s">
        <v>281</v>
      </c>
      <c r="KL70" s="738">
        <v>25</v>
      </c>
      <c r="KM70" s="738">
        <v>76</v>
      </c>
      <c r="KN70" s="646" t="s">
        <v>282</v>
      </c>
      <c r="KO70" s="646" t="s">
        <v>752</v>
      </c>
      <c r="KP70" s="680">
        <v>728283</v>
      </c>
      <c r="KQ70" s="766" t="s">
        <v>755</v>
      </c>
      <c r="KR70" s="750" t="s">
        <v>756</v>
      </c>
      <c r="KS70" s="769" t="s">
        <v>752</v>
      </c>
      <c r="KT70" s="770" t="s">
        <v>757</v>
      </c>
      <c r="KU70" s="766" t="s">
        <v>758</v>
      </c>
      <c r="KV70" s="750">
        <v>728283</v>
      </c>
      <c r="KW70" s="771"/>
      <c r="KX70" s="750"/>
      <c r="KY70" s="769" t="s">
        <v>759</v>
      </c>
      <c r="KZ70" s="770" t="s">
        <v>756</v>
      </c>
    </row>
    <row r="71" s="628" customFormat="1" customHeight="1" spans="1:312">
      <c r="A71" s="682" t="s">
        <v>277</v>
      </c>
      <c r="B71" s="683">
        <v>67</v>
      </c>
      <c r="C71" s="684" t="s">
        <v>760</v>
      </c>
      <c r="D71" s="679">
        <v>728283</v>
      </c>
      <c r="E71" s="685">
        <v>28.32</v>
      </c>
      <c r="F71" s="685">
        <v>28.1</v>
      </c>
      <c r="G71" s="688">
        <v>0.025716</v>
      </c>
      <c r="H71" s="686">
        <v>0.026133</v>
      </c>
      <c r="I71" s="696"/>
      <c r="J71" s="696"/>
      <c r="K71" s="696"/>
      <c r="L71" s="696">
        <v>1.70032</v>
      </c>
      <c r="M71" s="696">
        <v>1.70187</v>
      </c>
      <c r="N71" s="696">
        <v>1.7032</v>
      </c>
      <c r="O71" s="696">
        <v>1.70873</v>
      </c>
      <c r="P71" s="696">
        <v>1.71283</v>
      </c>
      <c r="Q71" s="697">
        <v>1.71676</v>
      </c>
      <c r="R71" s="697">
        <v>1.72082</v>
      </c>
      <c r="S71" s="697">
        <v>1.72198</v>
      </c>
      <c r="T71" s="701">
        <v>1.72306</v>
      </c>
      <c r="U71" s="697">
        <v>1.72802</v>
      </c>
      <c r="V71" s="697">
        <v>1.72825</v>
      </c>
      <c r="W71" s="697">
        <v>1.73432</v>
      </c>
      <c r="X71" s="697">
        <v>1.74654</v>
      </c>
      <c r="Y71" s="697">
        <v>1.74811</v>
      </c>
      <c r="Z71" s="697">
        <v>1.76215</v>
      </c>
      <c r="AA71" s="697">
        <v>1.77622</v>
      </c>
      <c r="AB71" s="698">
        <v>1.80305</v>
      </c>
      <c r="AC71" s="704">
        <v>2.87790099</v>
      </c>
      <c r="AD71" s="705">
        <v>-0.0114975391</v>
      </c>
      <c r="AE71" s="705">
        <v>0.0340752512</v>
      </c>
      <c r="AF71" s="705">
        <v>0.0018385431</v>
      </c>
      <c r="AG71" s="705">
        <v>-0.000104547399</v>
      </c>
      <c r="AH71" s="705">
        <v>1.87465641e-5</v>
      </c>
      <c r="AI71" s="709">
        <v>0.2889</v>
      </c>
      <c r="AJ71" s="709">
        <v>0.236</v>
      </c>
      <c r="AK71" s="709">
        <v>0.607</v>
      </c>
      <c r="AL71" s="709">
        <v>0.2399</v>
      </c>
      <c r="AM71" s="709">
        <v>0.2323</v>
      </c>
      <c r="AN71" s="709">
        <v>0.5373</v>
      </c>
      <c r="AO71" s="709">
        <v>0.0006</v>
      </c>
      <c r="AP71" s="709">
        <v>0.0105</v>
      </c>
      <c r="AQ71" s="709">
        <v>0.0078</v>
      </c>
      <c r="AR71" s="709">
        <v>0.0018</v>
      </c>
      <c r="AS71" s="714">
        <v>-1.2</v>
      </c>
      <c r="AT71" s="714">
        <v>-1.2</v>
      </c>
      <c r="AU71" s="714">
        <v>-1.1</v>
      </c>
      <c r="AV71" s="714">
        <v>-1.1</v>
      </c>
      <c r="AW71" s="714">
        <v>-1</v>
      </c>
      <c r="AX71" s="714">
        <v>-1</v>
      </c>
      <c r="AY71" s="714">
        <v>-0.9</v>
      </c>
      <c r="AZ71" s="714">
        <v>-0.9</v>
      </c>
      <c r="BA71" s="714">
        <v>-0.8</v>
      </c>
      <c r="BB71" s="714">
        <v>-0.7</v>
      </c>
      <c r="BC71" s="714">
        <v>-0.7</v>
      </c>
      <c r="BD71" s="714">
        <v>-1</v>
      </c>
      <c r="BE71" s="714">
        <v>-0.9</v>
      </c>
      <c r="BF71" s="714">
        <v>-0.7</v>
      </c>
      <c r="BG71" s="714">
        <v>-0.5</v>
      </c>
      <c r="BH71" s="714">
        <v>-0.3</v>
      </c>
      <c r="BI71" s="714">
        <v>-0.3</v>
      </c>
      <c r="BJ71" s="714">
        <v>-0.1</v>
      </c>
      <c r="BK71" s="714">
        <v>-0.1</v>
      </c>
      <c r="BL71" s="714">
        <v>0.1</v>
      </c>
      <c r="BM71" s="714">
        <v>0.3</v>
      </c>
      <c r="BN71" s="714">
        <v>0.4</v>
      </c>
      <c r="BO71" s="714">
        <v>-0.7</v>
      </c>
      <c r="BP71" s="714">
        <v>-0.5</v>
      </c>
      <c r="BQ71" s="714">
        <v>-0.3</v>
      </c>
      <c r="BR71" s="714">
        <v>-0.2</v>
      </c>
      <c r="BS71" s="714">
        <v>0</v>
      </c>
      <c r="BT71" s="714">
        <v>0.2</v>
      </c>
      <c r="BU71" s="714">
        <v>0.3</v>
      </c>
      <c r="BV71" s="714">
        <v>0.5</v>
      </c>
      <c r="BW71" s="714">
        <v>0.7</v>
      </c>
      <c r="BX71" s="714">
        <v>0.8</v>
      </c>
      <c r="BY71" s="714">
        <v>0.9</v>
      </c>
      <c r="BZ71" s="714">
        <v>-0.6</v>
      </c>
      <c r="CA71" s="714">
        <v>-0.4</v>
      </c>
      <c r="CB71" s="714">
        <v>-0.2</v>
      </c>
      <c r="CC71" s="714">
        <v>-0.1</v>
      </c>
      <c r="CD71" s="714">
        <v>0.1</v>
      </c>
      <c r="CE71" s="714">
        <v>0.3</v>
      </c>
      <c r="CF71" s="714">
        <v>0.4</v>
      </c>
      <c r="CG71" s="714">
        <v>0.5</v>
      </c>
      <c r="CH71" s="714">
        <v>0.7</v>
      </c>
      <c r="CI71" s="714">
        <v>0.9</v>
      </c>
      <c r="CJ71" s="714">
        <v>1</v>
      </c>
      <c r="CK71" s="714">
        <v>-0.5</v>
      </c>
      <c r="CL71" s="715">
        <v>-0.4</v>
      </c>
      <c r="CM71" s="715">
        <v>-0.1</v>
      </c>
      <c r="CN71" s="715">
        <v>0.1</v>
      </c>
      <c r="CO71" s="715">
        <v>0.2</v>
      </c>
      <c r="CP71" s="715">
        <v>0.4</v>
      </c>
      <c r="CQ71" s="715">
        <v>0.5</v>
      </c>
      <c r="CR71" s="714">
        <v>0.6</v>
      </c>
      <c r="CS71" s="714">
        <v>0.8</v>
      </c>
      <c r="CT71" s="714">
        <v>0.9</v>
      </c>
      <c r="CU71" s="714">
        <v>1.1</v>
      </c>
      <c r="CV71" s="714">
        <v>-0.3</v>
      </c>
      <c r="CW71" s="715">
        <v>-0.1</v>
      </c>
      <c r="CX71" s="715">
        <v>0.3</v>
      </c>
      <c r="CY71" s="715">
        <v>0.4</v>
      </c>
      <c r="CZ71" s="715">
        <v>0.6</v>
      </c>
      <c r="DA71" s="715">
        <v>0.8</v>
      </c>
      <c r="DB71" s="715">
        <v>1</v>
      </c>
      <c r="DC71" s="714">
        <v>1.2</v>
      </c>
      <c r="DD71" s="714">
        <v>1.3</v>
      </c>
      <c r="DE71" s="714">
        <v>1.7</v>
      </c>
      <c r="DF71" s="714">
        <v>1.8</v>
      </c>
      <c r="DG71" s="714">
        <v>0.4</v>
      </c>
      <c r="DH71" s="715">
        <v>0.6</v>
      </c>
      <c r="DI71" s="715">
        <v>0.9</v>
      </c>
      <c r="DJ71" s="715">
        <v>1.2</v>
      </c>
      <c r="DK71" s="715">
        <v>1.4</v>
      </c>
      <c r="DL71" s="715">
        <v>1.6</v>
      </c>
      <c r="DM71" s="715">
        <v>1.8</v>
      </c>
      <c r="DN71" s="714">
        <v>2</v>
      </c>
      <c r="DO71" s="714">
        <v>2.1</v>
      </c>
      <c r="DP71" s="714">
        <v>2.5</v>
      </c>
      <c r="DQ71" s="714">
        <v>2.6</v>
      </c>
      <c r="DR71" s="714">
        <v>1.3</v>
      </c>
      <c r="DS71" s="715">
        <v>1.5</v>
      </c>
      <c r="DT71" s="715">
        <v>1.6</v>
      </c>
      <c r="DU71" s="715">
        <v>1.7</v>
      </c>
      <c r="DV71" s="715">
        <v>1.8</v>
      </c>
      <c r="DW71" s="715">
        <v>1.9</v>
      </c>
      <c r="DX71" s="715">
        <v>2.3</v>
      </c>
      <c r="DY71" s="714">
        <v>2.6</v>
      </c>
      <c r="DZ71" s="714">
        <v>2.9</v>
      </c>
      <c r="EA71" s="714">
        <v>3.2</v>
      </c>
      <c r="EB71" s="714">
        <v>3.5</v>
      </c>
      <c r="EC71" s="714">
        <v>1.4</v>
      </c>
      <c r="ED71" s="715">
        <v>1.7</v>
      </c>
      <c r="EE71" s="715">
        <v>1.8</v>
      </c>
      <c r="EF71" s="715">
        <v>1.9</v>
      </c>
      <c r="EG71" s="715">
        <v>2</v>
      </c>
      <c r="EH71" s="715">
        <v>2.2</v>
      </c>
      <c r="EI71" s="715">
        <v>2.5</v>
      </c>
      <c r="EJ71" s="714">
        <v>2.8</v>
      </c>
      <c r="EK71" s="714">
        <v>3.1</v>
      </c>
      <c r="EL71" s="714">
        <v>3.4</v>
      </c>
      <c r="EM71" s="714">
        <v>3.6</v>
      </c>
      <c r="EN71" s="714">
        <v>1.9</v>
      </c>
      <c r="EO71" s="715">
        <v>2.4</v>
      </c>
      <c r="EP71" s="715">
        <v>2.7</v>
      </c>
      <c r="EQ71" s="715">
        <v>2.9</v>
      </c>
      <c r="ER71" s="715">
        <v>3.1</v>
      </c>
      <c r="ES71" s="715">
        <v>3.4</v>
      </c>
      <c r="ET71" s="715">
        <v>3.5</v>
      </c>
      <c r="EU71" s="714">
        <v>4</v>
      </c>
      <c r="EV71" s="714">
        <v>4.2</v>
      </c>
      <c r="EW71" s="714">
        <v>4.4</v>
      </c>
      <c r="EX71" s="714">
        <v>4.6</v>
      </c>
      <c r="EY71" s="714">
        <v>-3.3</v>
      </c>
      <c r="EZ71" s="715">
        <v>-2.7</v>
      </c>
      <c r="FA71" s="715">
        <v>-2.1</v>
      </c>
      <c r="FB71" s="715">
        <v>-1.6</v>
      </c>
      <c r="FC71" s="715">
        <v>-1.3</v>
      </c>
      <c r="FD71" s="715">
        <v>-0.9</v>
      </c>
      <c r="FE71" s="715">
        <v>-0.7</v>
      </c>
      <c r="FF71" s="714">
        <v>-0.4</v>
      </c>
      <c r="FG71" s="714">
        <v>-0.1</v>
      </c>
      <c r="FH71" s="714">
        <v>0.1</v>
      </c>
      <c r="FI71" s="714">
        <v>0.3</v>
      </c>
      <c r="FJ71" s="723">
        <v>-6.13e-6</v>
      </c>
      <c r="FK71" s="723">
        <v>1.41e-8</v>
      </c>
      <c r="FL71" s="723">
        <v>-2.55e-11</v>
      </c>
      <c r="FM71" s="723">
        <v>1.37e-6</v>
      </c>
      <c r="FN71" s="723">
        <v>1.29e-9</v>
      </c>
      <c r="FO71" s="723">
        <v>0.157</v>
      </c>
      <c r="FP71" s="729">
        <v>1</v>
      </c>
      <c r="FQ71" s="729">
        <v>1</v>
      </c>
      <c r="FR71" s="729">
        <v>1</v>
      </c>
      <c r="FS71" s="729">
        <v>1</v>
      </c>
      <c r="FT71" s="729">
        <v>1</v>
      </c>
      <c r="FU71" s="729">
        <v>1</v>
      </c>
      <c r="FV71" s="681">
        <v>1</v>
      </c>
      <c r="FW71" s="729"/>
      <c r="FX71" s="729"/>
      <c r="FY71" s="729"/>
      <c r="FZ71" s="746">
        <v>594</v>
      </c>
      <c r="GA71" s="746">
        <v>621</v>
      </c>
      <c r="GB71" s="681">
        <v>530</v>
      </c>
      <c r="GC71" s="681">
        <v>559</v>
      </c>
      <c r="GD71" s="747">
        <v>1.12</v>
      </c>
      <c r="GE71" s="729"/>
      <c r="GF71" s="681">
        <v>86</v>
      </c>
      <c r="GG71" s="681">
        <v>105</v>
      </c>
      <c r="GH71" s="681">
        <v>79</v>
      </c>
      <c r="GI71" s="681">
        <v>82</v>
      </c>
      <c r="GJ71" s="681">
        <v>84</v>
      </c>
      <c r="GK71" s="681">
        <v>84</v>
      </c>
      <c r="GL71" s="681">
        <v>85</v>
      </c>
      <c r="GM71" s="681">
        <v>86</v>
      </c>
      <c r="GN71" s="681">
        <v>87</v>
      </c>
      <c r="GO71" s="681">
        <v>90</v>
      </c>
      <c r="GP71" s="681">
        <v>91</v>
      </c>
      <c r="GQ71" s="681">
        <v>93</v>
      </c>
      <c r="GR71" s="681">
        <v>94</v>
      </c>
      <c r="GS71" s="681">
        <v>94</v>
      </c>
      <c r="GT71" s="681">
        <v>95</v>
      </c>
      <c r="GU71" s="681">
        <v>95</v>
      </c>
      <c r="GV71" s="681">
        <v>97</v>
      </c>
      <c r="GW71" s="681">
        <v>97</v>
      </c>
      <c r="GX71" s="681">
        <v>99</v>
      </c>
      <c r="GY71" s="681">
        <v>100</v>
      </c>
      <c r="GZ71" s="681">
        <v>100</v>
      </c>
      <c r="HA71" s="681">
        <v>101</v>
      </c>
      <c r="HB71" s="681">
        <v>103</v>
      </c>
      <c r="HC71" s="681"/>
      <c r="HD71" s="750">
        <v>232</v>
      </c>
      <c r="HE71" s="681"/>
      <c r="HF71" s="681">
        <v>551</v>
      </c>
      <c r="HG71" s="681">
        <v>210</v>
      </c>
      <c r="HH71" s="714">
        <v>90.7</v>
      </c>
      <c r="HI71" s="714">
        <v>36</v>
      </c>
      <c r="HJ71" s="753">
        <v>0.262</v>
      </c>
      <c r="HK71" s="681">
        <v>73</v>
      </c>
      <c r="HL71" s="685">
        <v>2.65</v>
      </c>
      <c r="HM71" s="747">
        <v>3.05</v>
      </c>
      <c r="HN71" s="646" t="s">
        <v>753</v>
      </c>
      <c r="HO71" s="729" t="s">
        <v>761</v>
      </c>
      <c r="HP71" s="714">
        <v>-0.3</v>
      </c>
      <c r="HQ71" s="753">
        <v>0.902</v>
      </c>
      <c r="HR71" s="753">
        <v>0.938</v>
      </c>
      <c r="HS71" s="753">
        <v>0.97</v>
      </c>
      <c r="HT71" s="753">
        <v>0.982</v>
      </c>
      <c r="HU71" s="753">
        <v>0.994</v>
      </c>
      <c r="HV71" s="753">
        <v>0.996</v>
      </c>
      <c r="HW71" s="753">
        <v>0.999</v>
      </c>
      <c r="HX71" s="753">
        <v>0.999</v>
      </c>
      <c r="HY71" s="753">
        <v>0.999</v>
      </c>
      <c r="HZ71" s="753">
        <v>0.999</v>
      </c>
      <c r="IA71" s="753">
        <v>0.999</v>
      </c>
      <c r="IB71" s="753">
        <v>0.999</v>
      </c>
      <c r="IC71" s="753">
        <v>0.999</v>
      </c>
      <c r="ID71" s="753">
        <v>0.999</v>
      </c>
      <c r="IE71" s="753">
        <v>0.998</v>
      </c>
      <c r="IF71" s="753">
        <v>0.998</v>
      </c>
      <c r="IG71" s="753">
        <v>0.998</v>
      </c>
      <c r="IH71" s="753">
        <v>0.997</v>
      </c>
      <c r="II71" s="753">
        <v>0.995</v>
      </c>
      <c r="IJ71" s="753">
        <v>0.993</v>
      </c>
      <c r="IK71" s="753">
        <v>0.991</v>
      </c>
      <c r="IL71" s="753">
        <v>0.987</v>
      </c>
      <c r="IM71" s="753">
        <v>0.978</v>
      </c>
      <c r="IN71" s="753">
        <v>0.949</v>
      </c>
      <c r="IO71" s="753">
        <v>0.898</v>
      </c>
      <c r="IP71" s="753">
        <v>0.775</v>
      </c>
      <c r="IQ71" s="753">
        <v>0.493</v>
      </c>
      <c r="IR71" s="753">
        <v>0.136</v>
      </c>
      <c r="IS71" s="753"/>
      <c r="IT71" s="753"/>
      <c r="IU71" s="753"/>
      <c r="IV71" s="753"/>
      <c r="IW71" s="753"/>
      <c r="IX71" s="753"/>
      <c r="IY71" s="753"/>
      <c r="IZ71" s="753"/>
      <c r="JA71" s="753">
        <v>0.814</v>
      </c>
      <c r="JB71" s="753">
        <v>0.88</v>
      </c>
      <c r="JC71" s="753">
        <v>0.94</v>
      </c>
      <c r="JD71" s="753">
        <v>0.964</v>
      </c>
      <c r="JE71" s="753">
        <v>0.987</v>
      </c>
      <c r="JF71" s="753">
        <v>0.992</v>
      </c>
      <c r="JG71" s="753">
        <v>0.998</v>
      </c>
      <c r="JH71" s="753">
        <v>0.998</v>
      </c>
      <c r="JI71" s="753">
        <v>0.998</v>
      </c>
      <c r="JJ71" s="753">
        <v>0.998</v>
      </c>
      <c r="JK71" s="753">
        <v>0.998</v>
      </c>
      <c r="JL71" s="753">
        <v>0.998</v>
      </c>
      <c r="JM71" s="753">
        <v>0.998</v>
      </c>
      <c r="JN71" s="753">
        <v>0.998</v>
      </c>
      <c r="JO71" s="753">
        <v>0.997</v>
      </c>
      <c r="JP71" s="753">
        <v>0.996</v>
      </c>
      <c r="JQ71" s="753">
        <v>0.996</v>
      </c>
      <c r="JR71" s="753">
        <v>0.994</v>
      </c>
      <c r="JS71" s="753">
        <v>0.989</v>
      </c>
      <c r="JT71" s="753">
        <v>0.986</v>
      </c>
      <c r="JU71" s="753">
        <v>0.981</v>
      </c>
      <c r="JV71" s="753">
        <v>0.974</v>
      </c>
      <c r="JW71" s="753">
        <v>0.957</v>
      </c>
      <c r="JX71" s="753">
        <v>0.9</v>
      </c>
      <c r="JY71" s="753">
        <v>0.806</v>
      </c>
      <c r="JZ71" s="753">
        <v>0.601</v>
      </c>
      <c r="KA71" s="753">
        <v>0.243</v>
      </c>
      <c r="KB71" s="753">
        <v>0.019</v>
      </c>
      <c r="KC71" s="754"/>
      <c r="KD71" s="754"/>
      <c r="KE71" s="754"/>
      <c r="KF71" s="754"/>
      <c r="KG71" s="754"/>
      <c r="KH71" s="754"/>
      <c r="KI71" s="754"/>
      <c r="KJ71" s="754"/>
      <c r="KK71" s="646" t="s">
        <v>281</v>
      </c>
      <c r="KL71" s="738">
        <v>25</v>
      </c>
      <c r="KM71" s="738">
        <v>76</v>
      </c>
      <c r="KN71" s="646" t="s">
        <v>282</v>
      </c>
      <c r="KO71" s="646" t="s">
        <v>760</v>
      </c>
      <c r="KP71" s="679">
        <v>728283</v>
      </c>
      <c r="KQ71" s="766"/>
      <c r="KR71" s="750"/>
      <c r="KS71" s="769" t="s">
        <v>760</v>
      </c>
      <c r="KT71" s="770" t="s">
        <v>757</v>
      </c>
      <c r="KU71" s="766"/>
      <c r="KV71" s="750"/>
      <c r="KW71" s="771"/>
      <c r="KX71" s="750"/>
      <c r="KY71" s="769"/>
      <c r="KZ71" s="770"/>
    </row>
    <row r="72" s="628" customFormat="1" customHeight="1" spans="1:312">
      <c r="A72" s="682" t="s">
        <v>374</v>
      </c>
      <c r="B72" s="683">
        <v>68</v>
      </c>
      <c r="C72" s="689" t="s">
        <v>762</v>
      </c>
      <c r="D72" s="680">
        <v>740283</v>
      </c>
      <c r="E72" s="685">
        <v>28.3</v>
      </c>
      <c r="F72" s="685">
        <v>28.07</v>
      </c>
      <c r="G72" s="688">
        <v>0.026152</v>
      </c>
      <c r="H72" s="686">
        <v>0.026584</v>
      </c>
      <c r="I72" s="696">
        <v>1.69091</v>
      </c>
      <c r="J72" s="696">
        <v>1.69701</v>
      </c>
      <c r="K72" s="696">
        <v>1.70416</v>
      </c>
      <c r="L72" s="696">
        <v>1.71169</v>
      </c>
      <c r="M72" s="696">
        <v>1.71325</v>
      </c>
      <c r="N72" s="696">
        <v>1.71459</v>
      </c>
      <c r="O72" s="696">
        <v>1.7202</v>
      </c>
      <c r="P72" s="696">
        <v>1.72435</v>
      </c>
      <c r="Q72" s="697">
        <v>1.72833</v>
      </c>
      <c r="R72" s="697">
        <v>1.73245</v>
      </c>
      <c r="S72" s="697">
        <v>1.73363</v>
      </c>
      <c r="T72" s="701">
        <v>1.73474</v>
      </c>
      <c r="U72" s="697">
        <v>1.73977</v>
      </c>
      <c r="V72" s="697">
        <v>1.74</v>
      </c>
      <c r="W72" s="697">
        <v>1.74617</v>
      </c>
      <c r="X72" s="697">
        <v>1.75861</v>
      </c>
      <c r="Y72" s="697">
        <v>1.76021</v>
      </c>
      <c r="Z72" s="697">
        <v>1.7745</v>
      </c>
      <c r="AA72" s="697">
        <v>1.78876</v>
      </c>
      <c r="AB72" s="697">
        <v>1.81588</v>
      </c>
      <c r="AC72" s="704">
        <v>2.91687382</v>
      </c>
      <c r="AD72" s="705">
        <v>-0.011852779</v>
      </c>
      <c r="AE72" s="705">
        <v>0.0342689145</v>
      </c>
      <c r="AF72" s="705">
        <v>0.00202963652</v>
      </c>
      <c r="AG72" s="705">
        <v>-0.000114580838</v>
      </c>
      <c r="AH72" s="705">
        <v>1.85928308e-5</v>
      </c>
      <c r="AI72" s="709">
        <v>0.2887</v>
      </c>
      <c r="AJ72" s="709">
        <v>0.2359</v>
      </c>
      <c r="AK72" s="709">
        <v>0.6076</v>
      </c>
      <c r="AL72" s="709">
        <v>0.2396</v>
      </c>
      <c r="AM72" s="709">
        <v>0.2321</v>
      </c>
      <c r="AN72" s="709">
        <v>0.5375</v>
      </c>
      <c r="AO72" s="709">
        <v>0.0011</v>
      </c>
      <c r="AP72" s="709">
        <v>0.011</v>
      </c>
      <c r="AQ72" s="709">
        <v>0.0057</v>
      </c>
      <c r="AR72" s="709">
        <v>0.0001</v>
      </c>
      <c r="AS72" s="714">
        <v>-0.8</v>
      </c>
      <c r="AT72" s="714">
        <v>-0.6</v>
      </c>
      <c r="AU72" s="714">
        <v>-0.2</v>
      </c>
      <c r="AV72" s="714">
        <v>0</v>
      </c>
      <c r="AW72" s="714">
        <v>0</v>
      </c>
      <c r="AX72" s="714">
        <v>0.2</v>
      </c>
      <c r="AY72" s="714">
        <v>0.3</v>
      </c>
      <c r="AZ72" s="714">
        <v>0.4</v>
      </c>
      <c r="BA72" s="714">
        <v>0.5</v>
      </c>
      <c r="BB72" s="714">
        <v>0.8</v>
      </c>
      <c r="BC72" s="714">
        <v>1</v>
      </c>
      <c r="BD72" s="714">
        <v>-0.5</v>
      </c>
      <c r="BE72" s="714">
        <v>-0.3</v>
      </c>
      <c r="BF72" s="714">
        <v>0</v>
      </c>
      <c r="BG72" s="714">
        <v>0.2</v>
      </c>
      <c r="BH72" s="714">
        <v>0.3</v>
      </c>
      <c r="BI72" s="714">
        <v>0.5</v>
      </c>
      <c r="BJ72" s="714">
        <v>0.8</v>
      </c>
      <c r="BK72" s="714">
        <v>1</v>
      </c>
      <c r="BL72" s="714">
        <v>1.2</v>
      </c>
      <c r="BM72" s="714">
        <v>1.4</v>
      </c>
      <c r="BN72" s="714">
        <v>1.5</v>
      </c>
      <c r="BO72" s="714">
        <v>-0.3</v>
      </c>
      <c r="BP72" s="714">
        <v>-0.2</v>
      </c>
      <c r="BQ72" s="714">
        <v>0.1</v>
      </c>
      <c r="BR72" s="714">
        <v>0.3</v>
      </c>
      <c r="BS72" s="714">
        <v>0.6</v>
      </c>
      <c r="BT72" s="714">
        <v>0.9</v>
      </c>
      <c r="BU72" s="714">
        <v>1.3</v>
      </c>
      <c r="BV72" s="714">
        <v>1.6</v>
      </c>
      <c r="BW72" s="714">
        <v>1.9</v>
      </c>
      <c r="BX72" s="714">
        <v>2.2</v>
      </c>
      <c r="BY72" s="714">
        <v>2.3</v>
      </c>
      <c r="BZ72" s="714">
        <v>-0.3</v>
      </c>
      <c r="CA72" s="714">
        <v>-0.2</v>
      </c>
      <c r="CB72" s="714">
        <v>0.1</v>
      </c>
      <c r="CC72" s="714">
        <v>0.3</v>
      </c>
      <c r="CD72" s="714">
        <v>0.7</v>
      </c>
      <c r="CE72" s="714">
        <v>1</v>
      </c>
      <c r="CF72" s="714">
        <v>1.4</v>
      </c>
      <c r="CG72" s="714">
        <v>1.7</v>
      </c>
      <c r="CH72" s="714">
        <v>2.1</v>
      </c>
      <c r="CI72" s="714">
        <v>2.4</v>
      </c>
      <c r="CJ72" s="714">
        <v>2.5</v>
      </c>
      <c r="CK72" s="714">
        <v>-0.2</v>
      </c>
      <c r="CL72" s="715">
        <v>-0.1</v>
      </c>
      <c r="CM72" s="715">
        <v>0.1</v>
      </c>
      <c r="CN72" s="715">
        <v>0.3</v>
      </c>
      <c r="CO72" s="715">
        <v>0.8</v>
      </c>
      <c r="CP72" s="715">
        <v>1.1</v>
      </c>
      <c r="CQ72" s="715">
        <v>1.5</v>
      </c>
      <c r="CR72" s="714">
        <v>1.9</v>
      </c>
      <c r="CS72" s="714">
        <v>2.2</v>
      </c>
      <c r="CT72" s="714">
        <v>2.5</v>
      </c>
      <c r="CU72" s="714">
        <v>2.6</v>
      </c>
      <c r="CV72" s="714">
        <v>0.1</v>
      </c>
      <c r="CW72" s="715">
        <v>0.2</v>
      </c>
      <c r="CX72" s="715">
        <v>0.6</v>
      </c>
      <c r="CY72" s="715">
        <v>0.8</v>
      </c>
      <c r="CZ72" s="715">
        <v>1.1</v>
      </c>
      <c r="DA72" s="715">
        <v>1.4</v>
      </c>
      <c r="DB72" s="715">
        <v>1.8</v>
      </c>
      <c r="DC72" s="714">
        <v>2.1</v>
      </c>
      <c r="DD72" s="714">
        <v>2.2</v>
      </c>
      <c r="DE72" s="714">
        <v>2.6</v>
      </c>
      <c r="DF72" s="714">
        <v>2.8</v>
      </c>
      <c r="DG72" s="714">
        <v>1</v>
      </c>
      <c r="DH72" s="715">
        <v>1.2</v>
      </c>
      <c r="DI72" s="715">
        <v>1.4</v>
      </c>
      <c r="DJ72" s="715">
        <v>1.9</v>
      </c>
      <c r="DK72" s="715">
        <v>1.9</v>
      </c>
      <c r="DL72" s="715">
        <v>2.1</v>
      </c>
      <c r="DM72" s="715">
        <v>2.5</v>
      </c>
      <c r="DN72" s="714">
        <v>2.8</v>
      </c>
      <c r="DO72" s="714">
        <v>3.1</v>
      </c>
      <c r="DP72" s="714">
        <v>3.3</v>
      </c>
      <c r="DQ72" s="714">
        <v>3.5</v>
      </c>
      <c r="DR72" s="714">
        <v>1.7</v>
      </c>
      <c r="DS72" s="715">
        <v>1.8</v>
      </c>
      <c r="DT72" s="715">
        <v>2.2</v>
      </c>
      <c r="DU72" s="715">
        <v>2.5</v>
      </c>
      <c r="DV72" s="715">
        <v>2.6</v>
      </c>
      <c r="DW72" s="715">
        <v>2.9</v>
      </c>
      <c r="DX72" s="715">
        <v>3.3</v>
      </c>
      <c r="DY72" s="714">
        <v>3.8</v>
      </c>
      <c r="DZ72" s="714">
        <v>4.2</v>
      </c>
      <c r="EA72" s="714">
        <v>4.4</v>
      </c>
      <c r="EB72" s="714">
        <v>4.7</v>
      </c>
      <c r="EC72" s="714">
        <v>1.8</v>
      </c>
      <c r="ED72" s="715">
        <v>2</v>
      </c>
      <c r="EE72" s="715">
        <v>2.3</v>
      </c>
      <c r="EF72" s="715">
        <v>2.6</v>
      </c>
      <c r="EG72" s="715">
        <v>2.7</v>
      </c>
      <c r="EH72" s="715">
        <v>3</v>
      </c>
      <c r="EI72" s="715">
        <v>3.4</v>
      </c>
      <c r="EJ72" s="714">
        <v>3.9</v>
      </c>
      <c r="EK72" s="714">
        <v>4.3</v>
      </c>
      <c r="EL72" s="714">
        <v>4.5</v>
      </c>
      <c r="EM72" s="714">
        <v>4.8</v>
      </c>
      <c r="EN72" s="714">
        <v>3.2</v>
      </c>
      <c r="EO72" s="715">
        <v>3.4</v>
      </c>
      <c r="EP72" s="715">
        <v>3.7</v>
      </c>
      <c r="EQ72" s="715">
        <v>3.9</v>
      </c>
      <c r="ER72" s="715">
        <v>4.4</v>
      </c>
      <c r="ES72" s="715">
        <v>4.7</v>
      </c>
      <c r="ET72" s="715">
        <v>5.2</v>
      </c>
      <c r="EU72" s="714">
        <v>5.7</v>
      </c>
      <c r="EV72" s="714">
        <v>6.1</v>
      </c>
      <c r="EW72" s="714">
        <v>6.4</v>
      </c>
      <c r="EX72" s="714">
        <v>6.7</v>
      </c>
      <c r="EY72" s="714">
        <v>-3</v>
      </c>
      <c r="EZ72" s="715">
        <v>-2.4</v>
      </c>
      <c r="FA72" s="715">
        <v>-1.9</v>
      </c>
      <c r="FB72" s="715">
        <v>-1.4</v>
      </c>
      <c r="FC72" s="715">
        <v>-0.7</v>
      </c>
      <c r="FD72" s="715">
        <v>-0.2</v>
      </c>
      <c r="FE72" s="715">
        <v>0.3</v>
      </c>
      <c r="FF72" s="714">
        <v>0.8</v>
      </c>
      <c r="FG72" s="714">
        <v>1.3</v>
      </c>
      <c r="FH72" s="714">
        <v>1.6</v>
      </c>
      <c r="FI72" s="714">
        <v>1.8</v>
      </c>
      <c r="FJ72" s="723">
        <v>-4e-6</v>
      </c>
      <c r="FK72" s="723">
        <v>1.95e-8</v>
      </c>
      <c r="FL72" s="723">
        <v>-2.24e-11</v>
      </c>
      <c r="FM72" s="723">
        <v>7.71e-7</v>
      </c>
      <c r="FN72" s="723">
        <v>5.88e-10</v>
      </c>
      <c r="FO72" s="723">
        <v>0.31</v>
      </c>
      <c r="FP72" s="729">
        <v>1</v>
      </c>
      <c r="FQ72" s="729">
        <v>1</v>
      </c>
      <c r="FR72" s="729">
        <v>1</v>
      </c>
      <c r="FS72" s="729">
        <v>1</v>
      </c>
      <c r="FT72" s="729">
        <v>1</v>
      </c>
      <c r="FU72" s="729">
        <v>1</v>
      </c>
      <c r="FV72" s="681">
        <v>1</v>
      </c>
      <c r="FW72" s="729"/>
      <c r="FX72" s="729"/>
      <c r="FY72" s="729"/>
      <c r="FZ72" s="746">
        <v>604</v>
      </c>
      <c r="GA72" s="746">
        <v>647</v>
      </c>
      <c r="GB72" s="681">
        <v>543</v>
      </c>
      <c r="GC72" s="681">
        <v>574</v>
      </c>
      <c r="GD72" s="747">
        <v>1.15</v>
      </c>
      <c r="GE72" s="729"/>
      <c r="GF72" s="681">
        <v>86</v>
      </c>
      <c r="GG72" s="681">
        <v>107</v>
      </c>
      <c r="GH72" s="681">
        <v>76</v>
      </c>
      <c r="GI72" s="681">
        <v>78</v>
      </c>
      <c r="GJ72" s="681">
        <v>80</v>
      </c>
      <c r="GK72" s="681">
        <v>82</v>
      </c>
      <c r="GL72" s="681">
        <v>83</v>
      </c>
      <c r="GM72" s="681">
        <v>84</v>
      </c>
      <c r="GN72" s="681">
        <v>84</v>
      </c>
      <c r="GO72" s="681">
        <v>85</v>
      </c>
      <c r="GP72" s="681">
        <v>86</v>
      </c>
      <c r="GQ72" s="681">
        <v>86</v>
      </c>
      <c r="GR72" s="681">
        <v>87</v>
      </c>
      <c r="GS72" s="681">
        <v>87</v>
      </c>
      <c r="GT72" s="681">
        <v>88</v>
      </c>
      <c r="GU72" s="681">
        <v>89</v>
      </c>
      <c r="GV72" s="681">
        <v>90</v>
      </c>
      <c r="GW72" s="681">
        <v>91</v>
      </c>
      <c r="GX72" s="681">
        <v>93</v>
      </c>
      <c r="GY72" s="681">
        <v>94</v>
      </c>
      <c r="GZ72" s="681">
        <v>95</v>
      </c>
      <c r="HA72" s="681">
        <v>97</v>
      </c>
      <c r="HB72" s="681">
        <v>98</v>
      </c>
      <c r="HC72" s="681"/>
      <c r="HD72" s="738">
        <v>233</v>
      </c>
      <c r="HE72" s="681"/>
      <c r="HF72" s="681">
        <v>580</v>
      </c>
      <c r="HG72" s="681">
        <v>162</v>
      </c>
      <c r="HH72" s="714">
        <v>91.2</v>
      </c>
      <c r="HI72" s="714">
        <v>35.6</v>
      </c>
      <c r="HJ72" s="753">
        <v>0.283</v>
      </c>
      <c r="HK72" s="681">
        <v>62</v>
      </c>
      <c r="HL72" s="685">
        <v>2.58</v>
      </c>
      <c r="HM72" s="747">
        <v>3.09</v>
      </c>
      <c r="HN72" s="646" t="s">
        <v>763</v>
      </c>
      <c r="HO72" s="729" t="s">
        <v>764</v>
      </c>
      <c r="HP72" s="714">
        <v>0</v>
      </c>
      <c r="HQ72" s="754">
        <v>0.937</v>
      </c>
      <c r="HR72" s="754">
        <v>0.962</v>
      </c>
      <c r="HS72" s="754">
        <v>0.991</v>
      </c>
      <c r="HT72" s="754">
        <v>0.997</v>
      </c>
      <c r="HU72" s="754">
        <v>0.997</v>
      </c>
      <c r="HV72" s="754">
        <v>0.997</v>
      </c>
      <c r="HW72" s="754">
        <v>0.997</v>
      </c>
      <c r="HX72" s="754">
        <v>0.997</v>
      </c>
      <c r="HY72" s="754">
        <v>0.997</v>
      </c>
      <c r="HZ72" s="754">
        <v>0.997</v>
      </c>
      <c r="IA72" s="754">
        <v>0.997</v>
      </c>
      <c r="IB72" s="754">
        <v>0.997</v>
      </c>
      <c r="IC72" s="754">
        <v>0.997</v>
      </c>
      <c r="ID72" s="754">
        <v>0.997</v>
      </c>
      <c r="IE72" s="754">
        <v>0.997</v>
      </c>
      <c r="IF72" s="754">
        <v>0.997</v>
      </c>
      <c r="IG72" s="754">
        <v>0.997</v>
      </c>
      <c r="IH72" s="754">
        <v>0.995</v>
      </c>
      <c r="II72" s="754">
        <v>0.992</v>
      </c>
      <c r="IJ72" s="754">
        <v>0.99</v>
      </c>
      <c r="IK72" s="754">
        <v>0.984</v>
      </c>
      <c r="IL72" s="754">
        <v>0.98</v>
      </c>
      <c r="IM72" s="754">
        <v>0.971</v>
      </c>
      <c r="IN72" s="754">
        <v>0.935</v>
      </c>
      <c r="IO72" s="754">
        <v>0.892</v>
      </c>
      <c r="IP72" s="754">
        <v>0.776</v>
      </c>
      <c r="IQ72" s="754">
        <v>0.491</v>
      </c>
      <c r="IR72" s="754">
        <v>0.109</v>
      </c>
      <c r="IS72" s="753"/>
      <c r="IT72" s="753"/>
      <c r="IU72" s="753"/>
      <c r="IV72" s="753"/>
      <c r="IW72" s="753"/>
      <c r="IX72" s="753"/>
      <c r="IY72" s="753"/>
      <c r="IZ72" s="753"/>
      <c r="JA72" s="754">
        <v>0.878</v>
      </c>
      <c r="JB72" s="754">
        <v>0.925</v>
      </c>
      <c r="JC72" s="754">
        <v>0.982</v>
      </c>
      <c r="JD72" s="754">
        <v>0.994</v>
      </c>
      <c r="JE72" s="754">
        <v>0.994</v>
      </c>
      <c r="JF72" s="754">
        <v>0.994</v>
      </c>
      <c r="JG72" s="754">
        <v>0.994</v>
      </c>
      <c r="JH72" s="754">
        <v>0.994</v>
      </c>
      <c r="JI72" s="754">
        <v>0.994</v>
      </c>
      <c r="JJ72" s="754">
        <v>0.994</v>
      </c>
      <c r="JK72" s="754">
        <v>0.994</v>
      </c>
      <c r="JL72" s="754">
        <v>0.994</v>
      </c>
      <c r="JM72" s="754">
        <v>0.994</v>
      </c>
      <c r="JN72" s="754">
        <v>0.994</v>
      </c>
      <c r="JO72" s="754">
        <v>0.994</v>
      </c>
      <c r="JP72" s="754">
        <v>0.994</v>
      </c>
      <c r="JQ72" s="754">
        <v>0.994</v>
      </c>
      <c r="JR72" s="754">
        <v>0.992</v>
      </c>
      <c r="JS72" s="754">
        <v>0.987</v>
      </c>
      <c r="JT72" s="754">
        <v>0.985</v>
      </c>
      <c r="JU72" s="754">
        <v>0.973</v>
      </c>
      <c r="JV72" s="754">
        <v>0.966</v>
      </c>
      <c r="JW72" s="754">
        <v>0.949</v>
      </c>
      <c r="JX72" s="754">
        <v>0.875</v>
      </c>
      <c r="JY72" s="754">
        <v>0.8</v>
      </c>
      <c r="JZ72" s="754">
        <v>0.603</v>
      </c>
      <c r="KA72" s="754">
        <v>0.236</v>
      </c>
      <c r="KB72" s="754">
        <v>0.013</v>
      </c>
      <c r="KC72" s="753"/>
      <c r="KD72" s="754"/>
      <c r="KE72" s="754"/>
      <c r="KF72" s="754"/>
      <c r="KG72" s="754"/>
      <c r="KH72" s="754"/>
      <c r="KI72" s="754"/>
      <c r="KJ72" s="754"/>
      <c r="KK72" s="765" t="s">
        <v>281</v>
      </c>
      <c r="KL72" s="738">
        <v>40</v>
      </c>
      <c r="KM72" s="738">
        <v>124</v>
      </c>
      <c r="KN72" s="646" t="s">
        <v>282</v>
      </c>
      <c r="KO72" s="646" t="s">
        <v>762</v>
      </c>
      <c r="KP72" s="680">
        <v>740283</v>
      </c>
      <c r="KQ72" s="766" t="s">
        <v>765</v>
      </c>
      <c r="KR72" s="750" t="s">
        <v>766</v>
      </c>
      <c r="KS72" s="769" t="s">
        <v>762</v>
      </c>
      <c r="KT72" s="770" t="s">
        <v>766</v>
      </c>
      <c r="KU72" s="766" t="s">
        <v>767</v>
      </c>
      <c r="KV72" s="750">
        <v>741278</v>
      </c>
      <c r="KW72" s="771"/>
      <c r="KX72" s="750"/>
      <c r="KY72" s="769"/>
      <c r="KZ72" s="770"/>
    </row>
    <row r="73" s="628" customFormat="1" customHeight="1" spans="1:312">
      <c r="A73" s="682" t="s">
        <v>277</v>
      </c>
      <c r="B73" s="683">
        <v>69</v>
      </c>
      <c r="C73" s="689" t="s">
        <v>768</v>
      </c>
      <c r="D73" s="680">
        <v>740283</v>
      </c>
      <c r="E73" s="685">
        <v>28.3</v>
      </c>
      <c r="F73" s="685">
        <v>28.07</v>
      </c>
      <c r="G73" s="688">
        <v>0.026152</v>
      </c>
      <c r="H73" s="686">
        <v>0.026584</v>
      </c>
      <c r="I73" s="696">
        <v>1.69091</v>
      </c>
      <c r="J73" s="696">
        <v>1.69701</v>
      </c>
      <c r="K73" s="696">
        <v>1.70416</v>
      </c>
      <c r="L73" s="696">
        <v>1.71169</v>
      </c>
      <c r="M73" s="696">
        <v>1.71325</v>
      </c>
      <c r="N73" s="696">
        <v>1.71459</v>
      </c>
      <c r="O73" s="696">
        <v>1.7202</v>
      </c>
      <c r="P73" s="696">
        <v>1.72435</v>
      </c>
      <c r="Q73" s="697">
        <v>1.72833</v>
      </c>
      <c r="R73" s="697">
        <v>1.73245</v>
      </c>
      <c r="S73" s="697">
        <v>1.73363</v>
      </c>
      <c r="T73" s="701">
        <v>1.73474</v>
      </c>
      <c r="U73" s="697">
        <v>1.73977</v>
      </c>
      <c r="V73" s="697">
        <v>1.74</v>
      </c>
      <c r="W73" s="697">
        <v>1.74617</v>
      </c>
      <c r="X73" s="697">
        <v>1.75861</v>
      </c>
      <c r="Y73" s="697">
        <v>1.76021</v>
      </c>
      <c r="Z73" s="697">
        <v>1.7745</v>
      </c>
      <c r="AA73" s="697">
        <v>1.78876</v>
      </c>
      <c r="AB73" s="697">
        <v>1.81588</v>
      </c>
      <c r="AC73" s="704">
        <v>2.91687382</v>
      </c>
      <c r="AD73" s="705">
        <v>-0.011852779</v>
      </c>
      <c r="AE73" s="705">
        <v>0.0342689145</v>
      </c>
      <c r="AF73" s="705">
        <v>0.00202963652</v>
      </c>
      <c r="AG73" s="705">
        <v>-0.000114580838</v>
      </c>
      <c r="AH73" s="705">
        <v>1.85928308e-5</v>
      </c>
      <c r="AI73" s="709">
        <v>0.2887</v>
      </c>
      <c r="AJ73" s="709">
        <v>0.2359</v>
      </c>
      <c r="AK73" s="709">
        <v>0.6076</v>
      </c>
      <c r="AL73" s="709">
        <v>0.2396</v>
      </c>
      <c r="AM73" s="709">
        <v>0.2321</v>
      </c>
      <c r="AN73" s="709">
        <v>0.5375</v>
      </c>
      <c r="AO73" s="709">
        <v>0.0011</v>
      </c>
      <c r="AP73" s="709">
        <v>0.011</v>
      </c>
      <c r="AQ73" s="709">
        <v>0.0057</v>
      </c>
      <c r="AR73" s="709">
        <v>0.0001</v>
      </c>
      <c r="AS73" s="714">
        <v>-0.8</v>
      </c>
      <c r="AT73" s="714">
        <v>-0.6</v>
      </c>
      <c r="AU73" s="714">
        <v>-0.2</v>
      </c>
      <c r="AV73" s="714">
        <v>0</v>
      </c>
      <c r="AW73" s="714">
        <v>0</v>
      </c>
      <c r="AX73" s="714">
        <v>0.2</v>
      </c>
      <c r="AY73" s="714">
        <v>0.3</v>
      </c>
      <c r="AZ73" s="714">
        <v>0.4</v>
      </c>
      <c r="BA73" s="714">
        <v>0.5</v>
      </c>
      <c r="BB73" s="714">
        <v>0.8</v>
      </c>
      <c r="BC73" s="714">
        <v>1</v>
      </c>
      <c r="BD73" s="714">
        <v>-0.5</v>
      </c>
      <c r="BE73" s="714">
        <v>-0.3</v>
      </c>
      <c r="BF73" s="714">
        <v>0</v>
      </c>
      <c r="BG73" s="714">
        <v>0.2</v>
      </c>
      <c r="BH73" s="714">
        <v>0.3</v>
      </c>
      <c r="BI73" s="714">
        <v>0.5</v>
      </c>
      <c r="BJ73" s="714">
        <v>0.8</v>
      </c>
      <c r="BK73" s="714">
        <v>1</v>
      </c>
      <c r="BL73" s="714">
        <v>1.2</v>
      </c>
      <c r="BM73" s="714">
        <v>1.4</v>
      </c>
      <c r="BN73" s="714">
        <v>1.5</v>
      </c>
      <c r="BO73" s="714">
        <v>-0.3</v>
      </c>
      <c r="BP73" s="714">
        <v>-0.2</v>
      </c>
      <c r="BQ73" s="714">
        <v>0.1</v>
      </c>
      <c r="BR73" s="714">
        <v>0.3</v>
      </c>
      <c r="BS73" s="714">
        <v>0.6</v>
      </c>
      <c r="BT73" s="714">
        <v>0.9</v>
      </c>
      <c r="BU73" s="714">
        <v>1.3</v>
      </c>
      <c r="BV73" s="714">
        <v>1.6</v>
      </c>
      <c r="BW73" s="714">
        <v>1.9</v>
      </c>
      <c r="BX73" s="714">
        <v>2.2</v>
      </c>
      <c r="BY73" s="714">
        <v>2.3</v>
      </c>
      <c r="BZ73" s="714">
        <v>-0.3</v>
      </c>
      <c r="CA73" s="714">
        <v>-0.2</v>
      </c>
      <c r="CB73" s="714">
        <v>0.1</v>
      </c>
      <c r="CC73" s="714">
        <v>0.3</v>
      </c>
      <c r="CD73" s="714">
        <v>0.7</v>
      </c>
      <c r="CE73" s="714">
        <v>1</v>
      </c>
      <c r="CF73" s="714">
        <v>1.4</v>
      </c>
      <c r="CG73" s="714">
        <v>1.7</v>
      </c>
      <c r="CH73" s="714">
        <v>2.1</v>
      </c>
      <c r="CI73" s="714">
        <v>2.4</v>
      </c>
      <c r="CJ73" s="714">
        <v>2.5</v>
      </c>
      <c r="CK73" s="714">
        <v>-0.2</v>
      </c>
      <c r="CL73" s="715">
        <v>-0.1</v>
      </c>
      <c r="CM73" s="715">
        <v>0.1</v>
      </c>
      <c r="CN73" s="715">
        <v>0.3</v>
      </c>
      <c r="CO73" s="715">
        <v>0.8</v>
      </c>
      <c r="CP73" s="715">
        <v>1.1</v>
      </c>
      <c r="CQ73" s="715">
        <v>1.5</v>
      </c>
      <c r="CR73" s="714">
        <v>1.9</v>
      </c>
      <c r="CS73" s="714">
        <v>2.2</v>
      </c>
      <c r="CT73" s="714">
        <v>2.5</v>
      </c>
      <c r="CU73" s="714">
        <v>2.6</v>
      </c>
      <c r="CV73" s="714">
        <v>0.1</v>
      </c>
      <c r="CW73" s="715">
        <v>0.2</v>
      </c>
      <c r="CX73" s="715">
        <v>0.6</v>
      </c>
      <c r="CY73" s="715">
        <v>0.8</v>
      </c>
      <c r="CZ73" s="715">
        <v>1.1</v>
      </c>
      <c r="DA73" s="715">
        <v>1.4</v>
      </c>
      <c r="DB73" s="715">
        <v>1.8</v>
      </c>
      <c r="DC73" s="714">
        <v>2.1</v>
      </c>
      <c r="DD73" s="714">
        <v>2.2</v>
      </c>
      <c r="DE73" s="714">
        <v>2.6</v>
      </c>
      <c r="DF73" s="714">
        <v>2.8</v>
      </c>
      <c r="DG73" s="714">
        <v>1</v>
      </c>
      <c r="DH73" s="715">
        <v>1.2</v>
      </c>
      <c r="DI73" s="715">
        <v>1.4</v>
      </c>
      <c r="DJ73" s="715">
        <v>1.9</v>
      </c>
      <c r="DK73" s="715">
        <v>1.9</v>
      </c>
      <c r="DL73" s="715">
        <v>2.1</v>
      </c>
      <c r="DM73" s="715">
        <v>2.5</v>
      </c>
      <c r="DN73" s="714">
        <v>2.8</v>
      </c>
      <c r="DO73" s="714">
        <v>3.1</v>
      </c>
      <c r="DP73" s="714">
        <v>3.3</v>
      </c>
      <c r="DQ73" s="714">
        <v>3.5</v>
      </c>
      <c r="DR73" s="714">
        <v>1.7</v>
      </c>
      <c r="DS73" s="715">
        <v>1.8</v>
      </c>
      <c r="DT73" s="715">
        <v>2.2</v>
      </c>
      <c r="DU73" s="715">
        <v>2.5</v>
      </c>
      <c r="DV73" s="715">
        <v>2.6</v>
      </c>
      <c r="DW73" s="715">
        <v>2.9</v>
      </c>
      <c r="DX73" s="715">
        <v>3.3</v>
      </c>
      <c r="DY73" s="714">
        <v>3.8</v>
      </c>
      <c r="DZ73" s="714">
        <v>4.2</v>
      </c>
      <c r="EA73" s="714">
        <v>4.4</v>
      </c>
      <c r="EB73" s="714">
        <v>4.7</v>
      </c>
      <c r="EC73" s="714">
        <v>1.8</v>
      </c>
      <c r="ED73" s="715">
        <v>2</v>
      </c>
      <c r="EE73" s="715">
        <v>2.3</v>
      </c>
      <c r="EF73" s="715">
        <v>2.6</v>
      </c>
      <c r="EG73" s="715">
        <v>2.7</v>
      </c>
      <c r="EH73" s="715">
        <v>3</v>
      </c>
      <c r="EI73" s="715">
        <v>3.4</v>
      </c>
      <c r="EJ73" s="714">
        <v>3.9</v>
      </c>
      <c r="EK73" s="714">
        <v>4.3</v>
      </c>
      <c r="EL73" s="714">
        <v>4.5</v>
      </c>
      <c r="EM73" s="714">
        <v>4.8</v>
      </c>
      <c r="EN73" s="714">
        <v>3.2</v>
      </c>
      <c r="EO73" s="715">
        <v>3.4</v>
      </c>
      <c r="EP73" s="715">
        <v>3.7</v>
      </c>
      <c r="EQ73" s="715">
        <v>3.9</v>
      </c>
      <c r="ER73" s="715">
        <v>4.4</v>
      </c>
      <c r="ES73" s="715">
        <v>4.7</v>
      </c>
      <c r="ET73" s="715">
        <v>5.2</v>
      </c>
      <c r="EU73" s="714">
        <v>5.7</v>
      </c>
      <c r="EV73" s="714">
        <v>6.1</v>
      </c>
      <c r="EW73" s="714">
        <v>6.4</v>
      </c>
      <c r="EX73" s="714">
        <v>6.7</v>
      </c>
      <c r="EY73" s="714">
        <v>-3</v>
      </c>
      <c r="EZ73" s="715">
        <v>-2.4</v>
      </c>
      <c r="FA73" s="715">
        <v>-1.9</v>
      </c>
      <c r="FB73" s="715">
        <v>-1.4</v>
      </c>
      <c r="FC73" s="715">
        <v>-0.7</v>
      </c>
      <c r="FD73" s="715">
        <v>-0.2</v>
      </c>
      <c r="FE73" s="715">
        <v>0.3</v>
      </c>
      <c r="FF73" s="714">
        <v>0.8</v>
      </c>
      <c r="FG73" s="714">
        <v>1.3</v>
      </c>
      <c r="FH73" s="714">
        <v>1.6</v>
      </c>
      <c r="FI73" s="714">
        <v>1.8</v>
      </c>
      <c r="FJ73" s="723">
        <v>-4e-6</v>
      </c>
      <c r="FK73" s="723">
        <v>1.95e-8</v>
      </c>
      <c r="FL73" s="723">
        <v>-2.24e-11</v>
      </c>
      <c r="FM73" s="723">
        <v>7.71e-7</v>
      </c>
      <c r="FN73" s="723">
        <v>5.88e-10</v>
      </c>
      <c r="FO73" s="723">
        <v>0.31</v>
      </c>
      <c r="FP73" s="729">
        <v>1</v>
      </c>
      <c r="FQ73" s="729">
        <v>1</v>
      </c>
      <c r="FR73" s="729">
        <v>1</v>
      </c>
      <c r="FS73" s="729">
        <v>1</v>
      </c>
      <c r="FT73" s="729">
        <v>1</v>
      </c>
      <c r="FU73" s="729">
        <v>1</v>
      </c>
      <c r="FV73" s="681">
        <v>1</v>
      </c>
      <c r="FW73" s="729"/>
      <c r="FX73" s="729"/>
      <c r="FY73" s="729"/>
      <c r="FZ73" s="746">
        <v>604</v>
      </c>
      <c r="GA73" s="746">
        <v>647</v>
      </c>
      <c r="GB73" s="681">
        <v>543</v>
      </c>
      <c r="GC73" s="681">
        <v>574</v>
      </c>
      <c r="GD73" s="747">
        <v>1.15</v>
      </c>
      <c r="GE73" s="729"/>
      <c r="GF73" s="681">
        <v>86</v>
      </c>
      <c r="GG73" s="681">
        <v>107</v>
      </c>
      <c r="GH73" s="681">
        <v>76</v>
      </c>
      <c r="GI73" s="681">
        <v>78</v>
      </c>
      <c r="GJ73" s="681">
        <v>80</v>
      </c>
      <c r="GK73" s="681">
        <v>82</v>
      </c>
      <c r="GL73" s="681">
        <v>83</v>
      </c>
      <c r="GM73" s="681">
        <v>84</v>
      </c>
      <c r="GN73" s="681">
        <v>84</v>
      </c>
      <c r="GO73" s="681">
        <v>85</v>
      </c>
      <c r="GP73" s="681">
        <v>86</v>
      </c>
      <c r="GQ73" s="681">
        <v>86</v>
      </c>
      <c r="GR73" s="681">
        <v>87</v>
      </c>
      <c r="GS73" s="681">
        <v>87</v>
      </c>
      <c r="GT73" s="681">
        <v>88</v>
      </c>
      <c r="GU73" s="681">
        <v>89</v>
      </c>
      <c r="GV73" s="681">
        <v>90</v>
      </c>
      <c r="GW73" s="681">
        <v>91</v>
      </c>
      <c r="GX73" s="681">
        <v>93</v>
      </c>
      <c r="GY73" s="681">
        <v>94</v>
      </c>
      <c r="GZ73" s="681">
        <v>95</v>
      </c>
      <c r="HA73" s="681">
        <v>97</v>
      </c>
      <c r="HB73" s="681">
        <v>98</v>
      </c>
      <c r="HC73" s="681"/>
      <c r="HD73" s="738">
        <v>233</v>
      </c>
      <c r="HE73" s="681"/>
      <c r="HF73" s="681">
        <v>580</v>
      </c>
      <c r="HG73" s="681">
        <v>162</v>
      </c>
      <c r="HH73" s="714">
        <v>91.2</v>
      </c>
      <c r="HI73" s="714">
        <v>35.6</v>
      </c>
      <c r="HJ73" s="753">
        <v>0.283</v>
      </c>
      <c r="HK73" s="681">
        <v>62</v>
      </c>
      <c r="HL73" s="685">
        <v>2.58</v>
      </c>
      <c r="HM73" s="747">
        <v>3.09</v>
      </c>
      <c r="HN73" s="646" t="s">
        <v>753</v>
      </c>
      <c r="HO73" s="729" t="s">
        <v>769</v>
      </c>
      <c r="HP73" s="714">
        <v>0</v>
      </c>
      <c r="HQ73" s="754">
        <v>0.937</v>
      </c>
      <c r="HR73" s="754">
        <v>0.962</v>
      </c>
      <c r="HS73" s="754">
        <v>0.991</v>
      </c>
      <c r="HT73" s="754">
        <v>0.997</v>
      </c>
      <c r="HU73" s="754">
        <v>0.997</v>
      </c>
      <c r="HV73" s="754">
        <v>0.997</v>
      </c>
      <c r="HW73" s="754">
        <v>0.997</v>
      </c>
      <c r="HX73" s="754">
        <v>0.997</v>
      </c>
      <c r="HY73" s="754">
        <v>0.997</v>
      </c>
      <c r="HZ73" s="754">
        <v>0.997</v>
      </c>
      <c r="IA73" s="754">
        <v>0.997</v>
      </c>
      <c r="IB73" s="754">
        <v>0.997</v>
      </c>
      <c r="IC73" s="754">
        <v>0.997</v>
      </c>
      <c r="ID73" s="754">
        <v>0.997</v>
      </c>
      <c r="IE73" s="754">
        <v>0.997</v>
      </c>
      <c r="IF73" s="754">
        <v>0.997</v>
      </c>
      <c r="IG73" s="754">
        <v>0.997</v>
      </c>
      <c r="IH73" s="754">
        <v>0.995</v>
      </c>
      <c r="II73" s="754">
        <v>0.992</v>
      </c>
      <c r="IJ73" s="754">
        <v>0.99</v>
      </c>
      <c r="IK73" s="754">
        <v>0.988</v>
      </c>
      <c r="IL73" s="754">
        <v>0.985</v>
      </c>
      <c r="IM73" s="754">
        <v>0.978</v>
      </c>
      <c r="IN73" s="754">
        <v>0.952</v>
      </c>
      <c r="IO73" s="754">
        <v>0.912</v>
      </c>
      <c r="IP73" s="754">
        <v>0.807</v>
      </c>
      <c r="IQ73" s="754">
        <v>0.535</v>
      </c>
      <c r="IR73" s="754">
        <v>0.113</v>
      </c>
      <c r="IS73" s="753"/>
      <c r="IT73" s="753"/>
      <c r="IU73" s="753"/>
      <c r="IV73" s="753"/>
      <c r="IW73" s="753"/>
      <c r="IX73" s="753"/>
      <c r="IY73" s="753"/>
      <c r="IZ73" s="753"/>
      <c r="JA73" s="754">
        <v>0.878</v>
      </c>
      <c r="JB73" s="754">
        <v>0.925</v>
      </c>
      <c r="JC73" s="754">
        <v>0.982</v>
      </c>
      <c r="JD73" s="754">
        <v>0.994</v>
      </c>
      <c r="JE73" s="754">
        <v>0.994</v>
      </c>
      <c r="JF73" s="754">
        <v>0.994</v>
      </c>
      <c r="JG73" s="754">
        <v>0.994</v>
      </c>
      <c r="JH73" s="754">
        <v>0.994</v>
      </c>
      <c r="JI73" s="754">
        <v>0.994</v>
      </c>
      <c r="JJ73" s="754">
        <v>0.994</v>
      </c>
      <c r="JK73" s="754">
        <v>0.994</v>
      </c>
      <c r="JL73" s="754">
        <v>0.994</v>
      </c>
      <c r="JM73" s="754">
        <v>0.994</v>
      </c>
      <c r="JN73" s="754">
        <v>0.994</v>
      </c>
      <c r="JO73" s="754">
        <v>0.994</v>
      </c>
      <c r="JP73" s="754">
        <v>0.994</v>
      </c>
      <c r="JQ73" s="754">
        <v>0.994</v>
      </c>
      <c r="JR73" s="754">
        <v>0.992</v>
      </c>
      <c r="JS73" s="754">
        <v>0.988</v>
      </c>
      <c r="JT73" s="754">
        <v>0.985</v>
      </c>
      <c r="JU73" s="754">
        <v>0.981</v>
      </c>
      <c r="JV73" s="754">
        <v>0.973</v>
      </c>
      <c r="JW73" s="754">
        <v>0.957</v>
      </c>
      <c r="JX73" s="754">
        <v>0.907</v>
      </c>
      <c r="JY73" s="754">
        <v>0.834</v>
      </c>
      <c r="JZ73" s="754">
        <v>0.657</v>
      </c>
      <c r="KA73" s="754">
        <v>0.292</v>
      </c>
      <c r="KB73" s="754">
        <v>0.016</v>
      </c>
      <c r="KC73" s="753"/>
      <c r="KD73" s="754"/>
      <c r="KE73" s="754"/>
      <c r="KF73" s="754"/>
      <c r="KG73" s="754"/>
      <c r="KH73" s="754"/>
      <c r="KI73" s="754"/>
      <c r="KJ73" s="754"/>
      <c r="KK73" s="765" t="s">
        <v>281</v>
      </c>
      <c r="KL73" s="738">
        <v>43</v>
      </c>
      <c r="KM73" s="738">
        <v>133</v>
      </c>
      <c r="KN73" s="646" t="s">
        <v>282</v>
      </c>
      <c r="KO73" s="646" t="s">
        <v>768</v>
      </c>
      <c r="KP73" s="680">
        <v>740283</v>
      </c>
      <c r="KQ73" s="766"/>
      <c r="KR73" s="750"/>
      <c r="KS73" s="769"/>
      <c r="KT73" s="770"/>
      <c r="KU73" s="766"/>
      <c r="KV73" s="750"/>
      <c r="KW73" s="771"/>
      <c r="KX73" s="750"/>
      <c r="KY73" s="769"/>
      <c r="KZ73" s="770"/>
    </row>
    <row r="74" s="628" customFormat="1" customHeight="1" spans="1:312">
      <c r="A74" s="682" t="s">
        <v>374</v>
      </c>
      <c r="B74" s="683">
        <v>70</v>
      </c>
      <c r="C74" s="689" t="s">
        <v>770</v>
      </c>
      <c r="D74" s="680">
        <v>755275</v>
      </c>
      <c r="E74" s="685">
        <v>27.53</v>
      </c>
      <c r="F74" s="685">
        <v>27.31</v>
      </c>
      <c r="G74" s="688">
        <v>0.027432</v>
      </c>
      <c r="H74" s="686">
        <v>0.027888</v>
      </c>
      <c r="I74" s="696">
        <v>1.70459</v>
      </c>
      <c r="J74" s="696">
        <v>1.71072</v>
      </c>
      <c r="K74" s="696">
        <v>1.71794</v>
      </c>
      <c r="L74" s="696">
        <v>1.72566</v>
      </c>
      <c r="M74" s="696">
        <v>1.72728</v>
      </c>
      <c r="N74" s="696">
        <v>1.72867</v>
      </c>
      <c r="O74" s="696">
        <v>1.7345</v>
      </c>
      <c r="P74" s="696">
        <v>1.73882</v>
      </c>
      <c r="Q74" s="697">
        <v>1.74299</v>
      </c>
      <c r="R74" s="697">
        <v>1.74729</v>
      </c>
      <c r="S74" s="697">
        <v>1.74852</v>
      </c>
      <c r="T74" s="701">
        <v>1.74968</v>
      </c>
      <c r="U74" s="697">
        <v>1.75496</v>
      </c>
      <c r="V74" s="697">
        <v>1.7552</v>
      </c>
      <c r="W74" s="697">
        <v>1.76167</v>
      </c>
      <c r="X74" s="697">
        <v>1.77472</v>
      </c>
      <c r="Y74" s="697">
        <v>1.77641</v>
      </c>
      <c r="Z74" s="697">
        <v>1.79141</v>
      </c>
      <c r="AA74" s="697">
        <v>1.80646</v>
      </c>
      <c r="AB74" s="697">
        <v>1.83529</v>
      </c>
      <c r="AC74" s="704">
        <v>2.96351629</v>
      </c>
      <c r="AD74" s="705">
        <v>-0.0119513676</v>
      </c>
      <c r="AE74" s="705">
        <v>0.0359998931</v>
      </c>
      <c r="AF74" s="705">
        <v>0.00229903731</v>
      </c>
      <c r="AG74" s="705">
        <v>-0.000158881885</v>
      </c>
      <c r="AH74" s="705">
        <v>2.32603789e-5</v>
      </c>
      <c r="AI74" s="709">
        <v>0.2883</v>
      </c>
      <c r="AJ74" s="709">
        <v>0.2359</v>
      </c>
      <c r="AK74" s="709">
        <v>0.6084</v>
      </c>
      <c r="AL74" s="709">
        <v>0.2395</v>
      </c>
      <c r="AM74" s="709">
        <v>0.232</v>
      </c>
      <c r="AN74" s="709">
        <v>0.5379</v>
      </c>
      <c r="AO74" s="709">
        <v>0.0007</v>
      </c>
      <c r="AP74" s="709">
        <v>0.0105</v>
      </c>
      <c r="AQ74" s="709">
        <v>0.0053</v>
      </c>
      <c r="AR74" s="709">
        <v>-0.0002</v>
      </c>
      <c r="AS74" s="714">
        <v>0.1</v>
      </c>
      <c r="AT74" s="714">
        <v>0</v>
      </c>
      <c r="AU74" s="714">
        <v>0</v>
      </c>
      <c r="AV74" s="714">
        <v>0</v>
      </c>
      <c r="AW74" s="714">
        <v>0.2</v>
      </c>
      <c r="AX74" s="714">
        <v>0.2</v>
      </c>
      <c r="AY74" s="714">
        <v>0.3</v>
      </c>
      <c r="AZ74" s="714">
        <v>0.3</v>
      </c>
      <c r="BA74" s="714">
        <v>0.5</v>
      </c>
      <c r="BB74" s="714">
        <v>0.7</v>
      </c>
      <c r="BC74" s="714">
        <v>0.9</v>
      </c>
      <c r="BD74" s="714">
        <v>0.6</v>
      </c>
      <c r="BE74" s="714">
        <v>0.6</v>
      </c>
      <c r="BF74" s="714">
        <v>0.7</v>
      </c>
      <c r="BG74" s="714">
        <v>0.7</v>
      </c>
      <c r="BH74" s="714">
        <v>0.8</v>
      </c>
      <c r="BI74" s="714">
        <v>0.9</v>
      </c>
      <c r="BJ74" s="714">
        <v>1.1</v>
      </c>
      <c r="BK74" s="714">
        <v>1.1</v>
      </c>
      <c r="BL74" s="714">
        <v>1.3</v>
      </c>
      <c r="BM74" s="714">
        <v>1.5</v>
      </c>
      <c r="BN74" s="714">
        <v>1.7</v>
      </c>
      <c r="BO74" s="714">
        <v>0.9</v>
      </c>
      <c r="BP74" s="714">
        <v>0.9</v>
      </c>
      <c r="BQ74" s="714">
        <v>1</v>
      </c>
      <c r="BR74" s="714">
        <v>1.1</v>
      </c>
      <c r="BS74" s="714">
        <v>1.2</v>
      </c>
      <c r="BT74" s="714">
        <v>1.3</v>
      </c>
      <c r="BU74" s="714">
        <v>1.5</v>
      </c>
      <c r="BV74" s="714">
        <v>1.6</v>
      </c>
      <c r="BW74" s="714">
        <v>1.7</v>
      </c>
      <c r="BX74" s="714">
        <v>2</v>
      </c>
      <c r="BY74" s="714">
        <v>2.1</v>
      </c>
      <c r="BZ74" s="714">
        <v>0.9</v>
      </c>
      <c r="CA74" s="714">
        <v>0.9</v>
      </c>
      <c r="CB74" s="714">
        <v>1</v>
      </c>
      <c r="CC74" s="714">
        <v>1.1</v>
      </c>
      <c r="CD74" s="714">
        <v>1.2</v>
      </c>
      <c r="CE74" s="714">
        <v>1.3</v>
      </c>
      <c r="CF74" s="714">
        <v>1.5</v>
      </c>
      <c r="CG74" s="714">
        <v>1.7</v>
      </c>
      <c r="CH74" s="714">
        <v>1.9</v>
      </c>
      <c r="CI74" s="714">
        <v>2.1</v>
      </c>
      <c r="CJ74" s="714">
        <v>2.2</v>
      </c>
      <c r="CK74" s="714">
        <v>1</v>
      </c>
      <c r="CL74" s="715">
        <v>1</v>
      </c>
      <c r="CM74" s="715">
        <v>1</v>
      </c>
      <c r="CN74" s="715">
        <v>1.1</v>
      </c>
      <c r="CO74" s="715">
        <v>1.2</v>
      </c>
      <c r="CP74" s="715">
        <v>1.4</v>
      </c>
      <c r="CQ74" s="715">
        <v>1.6</v>
      </c>
      <c r="CR74" s="714">
        <v>1.8</v>
      </c>
      <c r="CS74" s="714">
        <v>2</v>
      </c>
      <c r="CT74" s="714">
        <v>2.1</v>
      </c>
      <c r="CU74" s="714">
        <v>2.2</v>
      </c>
      <c r="CV74" s="714">
        <v>1.4</v>
      </c>
      <c r="CW74" s="715">
        <v>1.4</v>
      </c>
      <c r="CX74" s="715">
        <v>1.6</v>
      </c>
      <c r="CY74" s="715">
        <v>1.7</v>
      </c>
      <c r="CZ74" s="715">
        <v>1.8</v>
      </c>
      <c r="DA74" s="715">
        <v>1.8</v>
      </c>
      <c r="DB74" s="715">
        <v>2</v>
      </c>
      <c r="DC74" s="714">
        <v>2.2</v>
      </c>
      <c r="DD74" s="714">
        <v>2.4</v>
      </c>
      <c r="DE74" s="714">
        <v>2.7</v>
      </c>
      <c r="DF74" s="714">
        <v>2.8</v>
      </c>
      <c r="DG74" s="714">
        <v>1.9</v>
      </c>
      <c r="DH74" s="715">
        <v>1.9</v>
      </c>
      <c r="DI74" s="715">
        <v>2</v>
      </c>
      <c r="DJ74" s="715">
        <v>2.2</v>
      </c>
      <c r="DK74" s="715">
        <v>2.2</v>
      </c>
      <c r="DL74" s="715">
        <v>2.4</v>
      </c>
      <c r="DM74" s="715">
        <v>2.6</v>
      </c>
      <c r="DN74" s="714">
        <v>3</v>
      </c>
      <c r="DO74" s="714">
        <v>3.1</v>
      </c>
      <c r="DP74" s="714">
        <v>3.3</v>
      </c>
      <c r="DQ74" s="714">
        <v>3.5</v>
      </c>
      <c r="DR74" s="714">
        <v>2.8</v>
      </c>
      <c r="DS74" s="715">
        <v>2.9</v>
      </c>
      <c r="DT74" s="715">
        <v>3.1</v>
      </c>
      <c r="DU74" s="715">
        <v>3.3</v>
      </c>
      <c r="DV74" s="715">
        <v>3.4</v>
      </c>
      <c r="DW74" s="715">
        <v>3.6</v>
      </c>
      <c r="DX74" s="715">
        <v>3.9</v>
      </c>
      <c r="DY74" s="714">
        <v>4.3</v>
      </c>
      <c r="DZ74" s="714">
        <v>4.5</v>
      </c>
      <c r="EA74" s="714">
        <v>4.7</v>
      </c>
      <c r="EB74" s="714">
        <v>4.9</v>
      </c>
      <c r="EC74" s="714">
        <v>2.9</v>
      </c>
      <c r="ED74" s="715">
        <v>2.9</v>
      </c>
      <c r="EE74" s="715">
        <v>3.2</v>
      </c>
      <c r="EF74" s="715">
        <v>3.3</v>
      </c>
      <c r="EG74" s="715">
        <v>3.5</v>
      </c>
      <c r="EH74" s="715">
        <v>3.7</v>
      </c>
      <c r="EI74" s="715">
        <v>4</v>
      </c>
      <c r="EJ74" s="714">
        <v>4.3</v>
      </c>
      <c r="EK74" s="714">
        <v>4.6</v>
      </c>
      <c r="EL74" s="714">
        <v>4.8</v>
      </c>
      <c r="EM74" s="714">
        <v>5</v>
      </c>
      <c r="EN74" s="714">
        <v>4.3</v>
      </c>
      <c r="EO74" s="715">
        <v>4.4</v>
      </c>
      <c r="EP74" s="715">
        <v>4.7</v>
      </c>
      <c r="EQ74" s="715">
        <v>4.8</v>
      </c>
      <c r="ER74" s="715">
        <v>5.1</v>
      </c>
      <c r="ES74" s="715">
        <v>5.3</v>
      </c>
      <c r="ET74" s="715">
        <v>5.7</v>
      </c>
      <c r="EU74" s="714">
        <v>5.9</v>
      </c>
      <c r="EV74" s="714">
        <v>6.3</v>
      </c>
      <c r="EW74" s="714">
        <v>6.5</v>
      </c>
      <c r="EX74" s="714">
        <v>6.8</v>
      </c>
      <c r="EY74" s="714">
        <v>-1.8</v>
      </c>
      <c r="EZ74" s="715">
        <v>-1.4</v>
      </c>
      <c r="FA74" s="715">
        <v>-1</v>
      </c>
      <c r="FB74" s="715">
        <v>-0.6</v>
      </c>
      <c r="FC74" s="715">
        <v>-0.3</v>
      </c>
      <c r="FD74" s="715">
        <v>0.1</v>
      </c>
      <c r="FE74" s="715">
        <v>0.4</v>
      </c>
      <c r="FF74" s="714">
        <v>0.7</v>
      </c>
      <c r="FG74" s="714">
        <v>1</v>
      </c>
      <c r="FH74" s="714">
        <v>1.2</v>
      </c>
      <c r="FI74" s="714">
        <v>1.4</v>
      </c>
      <c r="FJ74" s="723">
        <v>-3.39e-6</v>
      </c>
      <c r="FK74" s="723">
        <v>1.26e-8</v>
      </c>
      <c r="FL74" s="723">
        <v>-1.4e-11</v>
      </c>
      <c r="FM74" s="723">
        <v>8.9e-7</v>
      </c>
      <c r="FN74" s="723">
        <v>8.03e-10</v>
      </c>
      <c r="FO74" s="723">
        <v>0.296</v>
      </c>
      <c r="FP74" s="729">
        <v>1</v>
      </c>
      <c r="FQ74" s="729">
        <v>1</v>
      </c>
      <c r="FR74" s="729">
        <v>1</v>
      </c>
      <c r="FS74" s="729">
        <v>1</v>
      </c>
      <c r="FT74" s="729">
        <v>1</v>
      </c>
      <c r="FU74" s="729">
        <v>1</v>
      </c>
      <c r="FV74" s="681">
        <v>1</v>
      </c>
      <c r="FW74" s="729"/>
      <c r="FX74" s="729"/>
      <c r="FY74" s="729"/>
      <c r="FZ74" s="746">
        <v>604</v>
      </c>
      <c r="GA74" s="746">
        <v>635</v>
      </c>
      <c r="GB74" s="681">
        <v>536</v>
      </c>
      <c r="GC74" s="681">
        <v>575</v>
      </c>
      <c r="GD74" s="747">
        <v>1.13</v>
      </c>
      <c r="GE74" s="729"/>
      <c r="GF74" s="681">
        <v>88</v>
      </c>
      <c r="GG74" s="681">
        <v>109</v>
      </c>
      <c r="GH74" s="681">
        <v>81</v>
      </c>
      <c r="GI74" s="681">
        <v>84</v>
      </c>
      <c r="GJ74" s="681">
        <v>86</v>
      </c>
      <c r="GK74" s="681">
        <v>88</v>
      </c>
      <c r="GL74" s="681">
        <v>90</v>
      </c>
      <c r="GM74" s="681">
        <v>91</v>
      </c>
      <c r="GN74" s="681">
        <v>92</v>
      </c>
      <c r="GO74" s="681">
        <v>93</v>
      </c>
      <c r="GP74" s="681">
        <v>94</v>
      </c>
      <c r="GQ74" s="681">
        <v>95</v>
      </c>
      <c r="GR74" s="681">
        <v>96</v>
      </c>
      <c r="GS74" s="681">
        <v>97</v>
      </c>
      <c r="GT74" s="681">
        <v>98</v>
      </c>
      <c r="GU74" s="681">
        <v>98</v>
      </c>
      <c r="GV74" s="681">
        <v>99</v>
      </c>
      <c r="GW74" s="681">
        <v>100</v>
      </c>
      <c r="GX74" s="681">
        <v>100</v>
      </c>
      <c r="GY74" s="681">
        <v>101</v>
      </c>
      <c r="GZ74" s="681">
        <v>102</v>
      </c>
      <c r="HA74" s="681">
        <v>104</v>
      </c>
      <c r="HB74" s="681">
        <v>104</v>
      </c>
      <c r="HC74" s="681"/>
      <c r="HD74" s="750">
        <v>240</v>
      </c>
      <c r="HE74" s="681"/>
      <c r="HF74" s="681">
        <v>525</v>
      </c>
      <c r="HG74" s="681">
        <v>170</v>
      </c>
      <c r="HH74" s="714">
        <v>92</v>
      </c>
      <c r="HI74" s="714">
        <v>35.6</v>
      </c>
      <c r="HJ74" s="753">
        <v>0.29</v>
      </c>
      <c r="HK74" s="681">
        <v>81</v>
      </c>
      <c r="HL74" s="685">
        <v>2.54</v>
      </c>
      <c r="HM74" s="747">
        <v>3.15</v>
      </c>
      <c r="HN74" s="729" t="s">
        <v>753</v>
      </c>
      <c r="HO74" s="729" t="s">
        <v>771</v>
      </c>
      <c r="HP74" s="714">
        <v>-0.6</v>
      </c>
      <c r="HQ74" s="753">
        <v>0.935</v>
      </c>
      <c r="HR74" s="753">
        <v>0.968</v>
      </c>
      <c r="HS74" s="753">
        <v>0.992</v>
      </c>
      <c r="HT74" s="753">
        <v>0.997</v>
      </c>
      <c r="HU74" s="753">
        <v>0.997</v>
      </c>
      <c r="HV74" s="753">
        <v>0.997</v>
      </c>
      <c r="HW74" s="753">
        <v>0.997</v>
      </c>
      <c r="HX74" s="753">
        <v>0.997</v>
      </c>
      <c r="HY74" s="753">
        <v>0.997</v>
      </c>
      <c r="HZ74" s="753">
        <v>0.997</v>
      </c>
      <c r="IA74" s="753">
        <v>0.997</v>
      </c>
      <c r="IB74" s="753">
        <v>0.997</v>
      </c>
      <c r="IC74" s="753">
        <v>0.997</v>
      </c>
      <c r="ID74" s="753">
        <v>0.997</v>
      </c>
      <c r="IE74" s="753">
        <v>0.997</v>
      </c>
      <c r="IF74" s="753">
        <v>0.997</v>
      </c>
      <c r="IG74" s="753">
        <v>0.995</v>
      </c>
      <c r="IH74" s="753">
        <v>0.996</v>
      </c>
      <c r="II74" s="753">
        <v>0.994</v>
      </c>
      <c r="IJ74" s="753">
        <v>0.99</v>
      </c>
      <c r="IK74" s="753">
        <v>0.988</v>
      </c>
      <c r="IL74" s="753">
        <v>0.983</v>
      </c>
      <c r="IM74" s="753">
        <v>0.975</v>
      </c>
      <c r="IN74" s="753">
        <v>0.941</v>
      </c>
      <c r="IO74" s="753">
        <v>0.897</v>
      </c>
      <c r="IP74" s="753">
        <v>0.774</v>
      </c>
      <c r="IQ74" s="753">
        <v>0.463</v>
      </c>
      <c r="IR74" s="753"/>
      <c r="IS74" s="753"/>
      <c r="IT74" s="753"/>
      <c r="IU74" s="753"/>
      <c r="IV74" s="753"/>
      <c r="IW74" s="753"/>
      <c r="IX74" s="753"/>
      <c r="IY74" s="753"/>
      <c r="IZ74" s="753"/>
      <c r="JA74" s="754">
        <v>0.876</v>
      </c>
      <c r="JB74" s="754">
        <v>0.937</v>
      </c>
      <c r="JC74" s="754">
        <v>0.984</v>
      </c>
      <c r="JD74" s="754">
        <v>0.994</v>
      </c>
      <c r="JE74" s="754">
        <v>0.994</v>
      </c>
      <c r="JF74" s="754">
        <v>0.994</v>
      </c>
      <c r="JG74" s="754">
        <v>0.994</v>
      </c>
      <c r="JH74" s="754">
        <v>0.994</v>
      </c>
      <c r="JI74" s="754">
        <v>0.994</v>
      </c>
      <c r="JJ74" s="754">
        <v>0.994</v>
      </c>
      <c r="JK74" s="754">
        <v>0.994</v>
      </c>
      <c r="JL74" s="754">
        <v>0.994</v>
      </c>
      <c r="JM74" s="754">
        <v>0.994</v>
      </c>
      <c r="JN74" s="754">
        <v>0.994</v>
      </c>
      <c r="JO74" s="754">
        <v>0.994</v>
      </c>
      <c r="JP74" s="754">
        <v>0.994</v>
      </c>
      <c r="JQ74" s="754">
        <v>0.991</v>
      </c>
      <c r="JR74" s="754">
        <v>0.992</v>
      </c>
      <c r="JS74" s="754">
        <v>0.988</v>
      </c>
      <c r="JT74" s="754">
        <v>0.984</v>
      </c>
      <c r="JU74" s="754">
        <v>0.978</v>
      </c>
      <c r="JV74" s="754">
        <v>0.966</v>
      </c>
      <c r="JW74" s="754">
        <v>0.95</v>
      </c>
      <c r="JX74" s="754">
        <v>0.884</v>
      </c>
      <c r="JY74" s="754">
        <v>0.802</v>
      </c>
      <c r="JZ74" s="754">
        <v>0.603</v>
      </c>
      <c r="KA74" s="754">
        <v>0.213</v>
      </c>
      <c r="KB74" s="754"/>
      <c r="KC74" s="754"/>
      <c r="KD74" s="754"/>
      <c r="KE74" s="754"/>
      <c r="KF74" s="754"/>
      <c r="KG74" s="754"/>
      <c r="KH74" s="754"/>
      <c r="KI74" s="754"/>
      <c r="KJ74" s="754"/>
      <c r="KK74" s="765" t="s">
        <v>281</v>
      </c>
      <c r="KL74" s="738">
        <v>43</v>
      </c>
      <c r="KM74" s="738">
        <v>135</v>
      </c>
      <c r="KN74" s="646" t="s">
        <v>282</v>
      </c>
      <c r="KO74" s="646" t="s">
        <v>770</v>
      </c>
      <c r="KP74" s="680">
        <v>755275</v>
      </c>
      <c r="KQ74" s="766" t="s">
        <v>772</v>
      </c>
      <c r="KR74" s="750" t="s">
        <v>773</v>
      </c>
      <c r="KS74" s="769" t="s">
        <v>770</v>
      </c>
      <c r="KT74" s="770" t="s">
        <v>773</v>
      </c>
      <c r="KU74" s="766" t="s">
        <v>774</v>
      </c>
      <c r="KV74" s="750">
        <v>755275</v>
      </c>
      <c r="KW74" s="771" t="s">
        <v>775</v>
      </c>
      <c r="KX74" s="750" t="s">
        <v>773</v>
      </c>
      <c r="KY74" s="769" t="s">
        <v>776</v>
      </c>
      <c r="KZ74" s="770" t="s">
        <v>777</v>
      </c>
    </row>
    <row r="75" s="628" customFormat="1" customHeight="1" spans="1:312">
      <c r="A75" s="682" t="s">
        <v>277</v>
      </c>
      <c r="B75" s="683">
        <v>71</v>
      </c>
      <c r="C75" s="689" t="s">
        <v>778</v>
      </c>
      <c r="D75" s="680">
        <v>755275</v>
      </c>
      <c r="E75" s="685">
        <v>27.53</v>
      </c>
      <c r="F75" s="685">
        <v>27.31</v>
      </c>
      <c r="G75" s="688">
        <v>0.027432</v>
      </c>
      <c r="H75" s="686">
        <v>0.027888</v>
      </c>
      <c r="I75" s="696">
        <v>1.70459</v>
      </c>
      <c r="J75" s="696">
        <v>1.71072</v>
      </c>
      <c r="K75" s="696">
        <v>1.71794</v>
      </c>
      <c r="L75" s="696">
        <v>1.72566</v>
      </c>
      <c r="M75" s="696">
        <v>1.72728</v>
      </c>
      <c r="N75" s="696">
        <v>1.72867</v>
      </c>
      <c r="O75" s="696">
        <v>1.7345</v>
      </c>
      <c r="P75" s="696">
        <v>1.73882</v>
      </c>
      <c r="Q75" s="697">
        <v>1.74299</v>
      </c>
      <c r="R75" s="697">
        <v>1.74729</v>
      </c>
      <c r="S75" s="697">
        <v>1.74852</v>
      </c>
      <c r="T75" s="701">
        <v>1.74968</v>
      </c>
      <c r="U75" s="697">
        <v>1.75496</v>
      </c>
      <c r="V75" s="697">
        <v>1.7552</v>
      </c>
      <c r="W75" s="697">
        <v>1.76167</v>
      </c>
      <c r="X75" s="697">
        <v>1.77472</v>
      </c>
      <c r="Y75" s="697">
        <v>1.77641</v>
      </c>
      <c r="Z75" s="697">
        <v>1.79141</v>
      </c>
      <c r="AA75" s="697">
        <v>1.80646</v>
      </c>
      <c r="AB75" s="697">
        <v>1.83529</v>
      </c>
      <c r="AC75" s="704">
        <v>2.96351629</v>
      </c>
      <c r="AD75" s="705">
        <v>-0.0119513676</v>
      </c>
      <c r="AE75" s="705">
        <v>0.0359998931</v>
      </c>
      <c r="AF75" s="705">
        <v>0.00229903731</v>
      </c>
      <c r="AG75" s="705">
        <v>-0.000158881885</v>
      </c>
      <c r="AH75" s="705">
        <v>2.32603789e-5</v>
      </c>
      <c r="AI75" s="709">
        <v>0.2883</v>
      </c>
      <c r="AJ75" s="709">
        <v>0.2359</v>
      </c>
      <c r="AK75" s="709">
        <v>0.6084</v>
      </c>
      <c r="AL75" s="709">
        <v>0.2395</v>
      </c>
      <c r="AM75" s="709">
        <v>0.232</v>
      </c>
      <c r="AN75" s="709">
        <v>0.5379</v>
      </c>
      <c r="AO75" s="709">
        <v>0.0007</v>
      </c>
      <c r="AP75" s="709">
        <v>0.0105</v>
      </c>
      <c r="AQ75" s="709">
        <v>0.0053</v>
      </c>
      <c r="AR75" s="709">
        <v>-0.0002</v>
      </c>
      <c r="AS75" s="714">
        <v>0.1</v>
      </c>
      <c r="AT75" s="714">
        <v>0</v>
      </c>
      <c r="AU75" s="714">
        <v>0</v>
      </c>
      <c r="AV75" s="714">
        <v>0</v>
      </c>
      <c r="AW75" s="714">
        <v>0.2</v>
      </c>
      <c r="AX75" s="714">
        <v>0.2</v>
      </c>
      <c r="AY75" s="714">
        <v>0.3</v>
      </c>
      <c r="AZ75" s="714">
        <v>0.3</v>
      </c>
      <c r="BA75" s="714">
        <v>0.5</v>
      </c>
      <c r="BB75" s="714">
        <v>0.7</v>
      </c>
      <c r="BC75" s="714">
        <v>0.9</v>
      </c>
      <c r="BD75" s="714">
        <v>0.6</v>
      </c>
      <c r="BE75" s="714">
        <v>0.6</v>
      </c>
      <c r="BF75" s="714">
        <v>0.7</v>
      </c>
      <c r="BG75" s="714">
        <v>0.7</v>
      </c>
      <c r="BH75" s="714">
        <v>0.8</v>
      </c>
      <c r="BI75" s="714">
        <v>0.9</v>
      </c>
      <c r="BJ75" s="714">
        <v>1.1</v>
      </c>
      <c r="BK75" s="714">
        <v>1.1</v>
      </c>
      <c r="BL75" s="714">
        <v>1.3</v>
      </c>
      <c r="BM75" s="714">
        <v>1.5</v>
      </c>
      <c r="BN75" s="714">
        <v>1.7</v>
      </c>
      <c r="BO75" s="714">
        <v>0.9</v>
      </c>
      <c r="BP75" s="714">
        <v>0.9</v>
      </c>
      <c r="BQ75" s="714">
        <v>1</v>
      </c>
      <c r="BR75" s="714">
        <v>1.1</v>
      </c>
      <c r="BS75" s="714">
        <v>1.2</v>
      </c>
      <c r="BT75" s="714">
        <v>1.3</v>
      </c>
      <c r="BU75" s="714">
        <v>1.5</v>
      </c>
      <c r="BV75" s="714">
        <v>1.6</v>
      </c>
      <c r="BW75" s="714">
        <v>1.7</v>
      </c>
      <c r="BX75" s="714">
        <v>2</v>
      </c>
      <c r="BY75" s="714">
        <v>2.1</v>
      </c>
      <c r="BZ75" s="714">
        <v>0.9</v>
      </c>
      <c r="CA75" s="714">
        <v>0.9</v>
      </c>
      <c r="CB75" s="714">
        <v>1</v>
      </c>
      <c r="CC75" s="714">
        <v>1.1</v>
      </c>
      <c r="CD75" s="714">
        <v>1.2</v>
      </c>
      <c r="CE75" s="714">
        <v>1.3</v>
      </c>
      <c r="CF75" s="714">
        <v>1.5</v>
      </c>
      <c r="CG75" s="714">
        <v>1.7</v>
      </c>
      <c r="CH75" s="714">
        <v>1.9</v>
      </c>
      <c r="CI75" s="714">
        <v>2.1</v>
      </c>
      <c r="CJ75" s="714">
        <v>2.2</v>
      </c>
      <c r="CK75" s="714">
        <v>1</v>
      </c>
      <c r="CL75" s="715">
        <v>1</v>
      </c>
      <c r="CM75" s="715">
        <v>1</v>
      </c>
      <c r="CN75" s="715">
        <v>1.1</v>
      </c>
      <c r="CO75" s="715">
        <v>1.2</v>
      </c>
      <c r="CP75" s="715">
        <v>1.4</v>
      </c>
      <c r="CQ75" s="715">
        <v>1.6</v>
      </c>
      <c r="CR75" s="714">
        <v>1.8</v>
      </c>
      <c r="CS75" s="714">
        <v>2</v>
      </c>
      <c r="CT75" s="714">
        <v>2.1</v>
      </c>
      <c r="CU75" s="714">
        <v>2.2</v>
      </c>
      <c r="CV75" s="714">
        <v>1.4</v>
      </c>
      <c r="CW75" s="715">
        <v>1.4</v>
      </c>
      <c r="CX75" s="715">
        <v>1.6</v>
      </c>
      <c r="CY75" s="715">
        <v>1.7</v>
      </c>
      <c r="CZ75" s="715">
        <v>1.8</v>
      </c>
      <c r="DA75" s="715">
        <v>1.8</v>
      </c>
      <c r="DB75" s="715">
        <v>2</v>
      </c>
      <c r="DC75" s="714">
        <v>2.2</v>
      </c>
      <c r="DD75" s="714">
        <v>2.4</v>
      </c>
      <c r="DE75" s="714">
        <v>2.7</v>
      </c>
      <c r="DF75" s="714">
        <v>2.8</v>
      </c>
      <c r="DG75" s="714">
        <v>1.9</v>
      </c>
      <c r="DH75" s="715">
        <v>1.9</v>
      </c>
      <c r="DI75" s="715">
        <v>2</v>
      </c>
      <c r="DJ75" s="715">
        <v>2.2</v>
      </c>
      <c r="DK75" s="715">
        <v>2.2</v>
      </c>
      <c r="DL75" s="715">
        <v>2.4</v>
      </c>
      <c r="DM75" s="715">
        <v>2.6</v>
      </c>
      <c r="DN75" s="714">
        <v>3</v>
      </c>
      <c r="DO75" s="714">
        <v>3.1</v>
      </c>
      <c r="DP75" s="714">
        <v>3.3</v>
      </c>
      <c r="DQ75" s="714">
        <v>3.5</v>
      </c>
      <c r="DR75" s="714">
        <v>2.8</v>
      </c>
      <c r="DS75" s="715">
        <v>2.9</v>
      </c>
      <c r="DT75" s="715">
        <v>3.1</v>
      </c>
      <c r="DU75" s="715">
        <v>3.3</v>
      </c>
      <c r="DV75" s="715">
        <v>3.4</v>
      </c>
      <c r="DW75" s="715">
        <v>3.6</v>
      </c>
      <c r="DX75" s="715">
        <v>3.9</v>
      </c>
      <c r="DY75" s="714">
        <v>4.3</v>
      </c>
      <c r="DZ75" s="714">
        <v>4.5</v>
      </c>
      <c r="EA75" s="714">
        <v>4.7</v>
      </c>
      <c r="EB75" s="714">
        <v>4.9</v>
      </c>
      <c r="EC75" s="714">
        <v>2.9</v>
      </c>
      <c r="ED75" s="715">
        <v>2.9</v>
      </c>
      <c r="EE75" s="715">
        <v>3.2</v>
      </c>
      <c r="EF75" s="715">
        <v>3.3</v>
      </c>
      <c r="EG75" s="715">
        <v>3.5</v>
      </c>
      <c r="EH75" s="715">
        <v>3.7</v>
      </c>
      <c r="EI75" s="715">
        <v>4</v>
      </c>
      <c r="EJ75" s="714">
        <v>4.3</v>
      </c>
      <c r="EK75" s="714">
        <v>4.6</v>
      </c>
      <c r="EL75" s="714">
        <v>4.8</v>
      </c>
      <c r="EM75" s="714">
        <v>5</v>
      </c>
      <c r="EN75" s="714">
        <v>4.3</v>
      </c>
      <c r="EO75" s="715">
        <v>4.4</v>
      </c>
      <c r="EP75" s="715">
        <v>4.7</v>
      </c>
      <c r="EQ75" s="715">
        <v>4.8</v>
      </c>
      <c r="ER75" s="715">
        <v>5.1</v>
      </c>
      <c r="ES75" s="715">
        <v>5.3</v>
      </c>
      <c r="ET75" s="715">
        <v>5.7</v>
      </c>
      <c r="EU75" s="714">
        <v>5.9</v>
      </c>
      <c r="EV75" s="714">
        <v>6.3</v>
      </c>
      <c r="EW75" s="714">
        <v>6.5</v>
      </c>
      <c r="EX75" s="714">
        <v>6.8</v>
      </c>
      <c r="EY75" s="714">
        <v>-1.8</v>
      </c>
      <c r="EZ75" s="715">
        <v>-1.4</v>
      </c>
      <c r="FA75" s="715">
        <v>-1</v>
      </c>
      <c r="FB75" s="715">
        <v>-0.6</v>
      </c>
      <c r="FC75" s="715">
        <v>-0.3</v>
      </c>
      <c r="FD75" s="715">
        <v>0.1</v>
      </c>
      <c r="FE75" s="715">
        <v>0.4</v>
      </c>
      <c r="FF75" s="714">
        <v>0.7</v>
      </c>
      <c r="FG75" s="714">
        <v>1</v>
      </c>
      <c r="FH75" s="714">
        <v>1.2</v>
      </c>
      <c r="FI75" s="714">
        <v>1.4</v>
      </c>
      <c r="FJ75" s="723">
        <v>-3.39e-6</v>
      </c>
      <c r="FK75" s="723">
        <v>1.26e-8</v>
      </c>
      <c r="FL75" s="723">
        <v>-1.4e-11</v>
      </c>
      <c r="FM75" s="723">
        <v>8.9e-7</v>
      </c>
      <c r="FN75" s="723">
        <v>8.03e-10</v>
      </c>
      <c r="FO75" s="723">
        <v>0.296</v>
      </c>
      <c r="FP75" s="729">
        <v>1</v>
      </c>
      <c r="FQ75" s="729">
        <v>1</v>
      </c>
      <c r="FR75" s="729">
        <v>1</v>
      </c>
      <c r="FS75" s="729">
        <v>1</v>
      </c>
      <c r="FT75" s="729">
        <v>1</v>
      </c>
      <c r="FU75" s="729">
        <v>1</v>
      </c>
      <c r="FV75" s="681">
        <v>1</v>
      </c>
      <c r="FW75" s="729"/>
      <c r="FX75" s="729"/>
      <c r="FY75" s="729"/>
      <c r="FZ75" s="746">
        <v>604</v>
      </c>
      <c r="GA75" s="746">
        <v>635</v>
      </c>
      <c r="GB75" s="681">
        <v>536</v>
      </c>
      <c r="GC75" s="681">
        <v>575</v>
      </c>
      <c r="GD75" s="747">
        <v>1.13</v>
      </c>
      <c r="GE75" s="729"/>
      <c r="GF75" s="681">
        <v>88</v>
      </c>
      <c r="GG75" s="681">
        <v>109</v>
      </c>
      <c r="GH75" s="681">
        <v>81</v>
      </c>
      <c r="GI75" s="681">
        <v>84</v>
      </c>
      <c r="GJ75" s="681">
        <v>86</v>
      </c>
      <c r="GK75" s="681">
        <v>88</v>
      </c>
      <c r="GL75" s="681">
        <v>90</v>
      </c>
      <c r="GM75" s="681">
        <v>91</v>
      </c>
      <c r="GN75" s="681">
        <v>92</v>
      </c>
      <c r="GO75" s="681">
        <v>93</v>
      </c>
      <c r="GP75" s="681">
        <v>94</v>
      </c>
      <c r="GQ75" s="681">
        <v>95</v>
      </c>
      <c r="GR75" s="681">
        <v>96</v>
      </c>
      <c r="GS75" s="681">
        <v>97</v>
      </c>
      <c r="GT75" s="681">
        <v>98</v>
      </c>
      <c r="GU75" s="681">
        <v>98</v>
      </c>
      <c r="GV75" s="681">
        <v>99</v>
      </c>
      <c r="GW75" s="681">
        <v>100</v>
      </c>
      <c r="GX75" s="681">
        <v>100</v>
      </c>
      <c r="GY75" s="681">
        <v>101</v>
      </c>
      <c r="GZ75" s="681">
        <v>102</v>
      </c>
      <c r="HA75" s="681">
        <v>104</v>
      </c>
      <c r="HB75" s="681">
        <v>104</v>
      </c>
      <c r="HC75" s="681"/>
      <c r="HD75" s="750">
        <v>240</v>
      </c>
      <c r="HE75" s="681"/>
      <c r="HF75" s="681">
        <v>525</v>
      </c>
      <c r="HG75" s="681">
        <v>170</v>
      </c>
      <c r="HH75" s="714">
        <v>92</v>
      </c>
      <c r="HI75" s="714">
        <v>35.6</v>
      </c>
      <c r="HJ75" s="753">
        <v>0.29</v>
      </c>
      <c r="HK75" s="681">
        <v>81</v>
      </c>
      <c r="HL75" s="685">
        <v>2.54</v>
      </c>
      <c r="HM75" s="747">
        <v>3.15</v>
      </c>
      <c r="HN75" s="729" t="s">
        <v>753</v>
      </c>
      <c r="HO75" s="729" t="s">
        <v>779</v>
      </c>
      <c r="HP75" s="714">
        <v>-0.6</v>
      </c>
      <c r="HQ75" s="753">
        <v>0.937</v>
      </c>
      <c r="HR75" s="753">
        <v>0.969</v>
      </c>
      <c r="HS75" s="753">
        <v>0.992</v>
      </c>
      <c r="HT75" s="753">
        <v>0.997</v>
      </c>
      <c r="HU75" s="753">
        <v>0.997</v>
      </c>
      <c r="HV75" s="753">
        <v>0.997</v>
      </c>
      <c r="HW75" s="753">
        <v>0.997</v>
      </c>
      <c r="HX75" s="753">
        <v>0.997</v>
      </c>
      <c r="HY75" s="753">
        <v>0.997</v>
      </c>
      <c r="HZ75" s="753">
        <v>0.997</v>
      </c>
      <c r="IA75" s="753">
        <v>0.997</v>
      </c>
      <c r="IB75" s="753">
        <v>0.997</v>
      </c>
      <c r="IC75" s="753">
        <v>0.997</v>
      </c>
      <c r="ID75" s="753">
        <v>0.997</v>
      </c>
      <c r="IE75" s="753">
        <v>0.997</v>
      </c>
      <c r="IF75" s="753">
        <v>0.997</v>
      </c>
      <c r="IG75" s="753">
        <v>0.997</v>
      </c>
      <c r="IH75" s="753">
        <v>0.996</v>
      </c>
      <c r="II75" s="753">
        <v>0.994</v>
      </c>
      <c r="IJ75" s="753">
        <v>0.992</v>
      </c>
      <c r="IK75" s="753">
        <v>0.989</v>
      </c>
      <c r="IL75" s="753">
        <v>0.985</v>
      </c>
      <c r="IM75" s="753">
        <v>0.977</v>
      </c>
      <c r="IN75" s="753">
        <v>0.95</v>
      </c>
      <c r="IO75" s="753">
        <v>0.911</v>
      </c>
      <c r="IP75" s="753">
        <v>0.799</v>
      </c>
      <c r="IQ75" s="753">
        <v>0.512</v>
      </c>
      <c r="IR75" s="753">
        <v>0.094</v>
      </c>
      <c r="IS75" s="753"/>
      <c r="IT75" s="753"/>
      <c r="IU75" s="753"/>
      <c r="IV75" s="753"/>
      <c r="IW75" s="753"/>
      <c r="IX75" s="753"/>
      <c r="IY75" s="753"/>
      <c r="IZ75" s="753"/>
      <c r="JA75" s="754">
        <v>0.88</v>
      </c>
      <c r="JB75" s="754">
        <v>0.939</v>
      </c>
      <c r="JC75" s="754">
        <v>0.984</v>
      </c>
      <c r="JD75" s="754">
        <v>0.994</v>
      </c>
      <c r="JE75" s="754">
        <v>0.994</v>
      </c>
      <c r="JF75" s="754">
        <v>0.994</v>
      </c>
      <c r="JG75" s="754">
        <v>0.994</v>
      </c>
      <c r="JH75" s="754">
        <v>0.994</v>
      </c>
      <c r="JI75" s="754">
        <v>0.994</v>
      </c>
      <c r="JJ75" s="754">
        <v>0.994</v>
      </c>
      <c r="JK75" s="754">
        <v>0.994</v>
      </c>
      <c r="JL75" s="754">
        <v>0.994</v>
      </c>
      <c r="JM75" s="754">
        <v>0.994</v>
      </c>
      <c r="JN75" s="754">
        <v>0.994</v>
      </c>
      <c r="JO75" s="754">
        <v>0.994</v>
      </c>
      <c r="JP75" s="754">
        <v>0.994</v>
      </c>
      <c r="JQ75" s="754">
        <v>0.994</v>
      </c>
      <c r="JR75" s="754">
        <v>0.993</v>
      </c>
      <c r="JS75" s="754">
        <v>0.988</v>
      </c>
      <c r="JT75" s="754">
        <v>0.986</v>
      </c>
      <c r="JU75" s="754">
        <v>0.98</v>
      </c>
      <c r="JV75" s="754">
        <v>0.975</v>
      </c>
      <c r="JW75" s="754">
        <v>0.958</v>
      </c>
      <c r="JX75" s="754">
        <v>0.909</v>
      </c>
      <c r="JY75" s="754">
        <v>0.835</v>
      </c>
      <c r="JZ75" s="754">
        <v>0.646</v>
      </c>
      <c r="KA75" s="754">
        <v>0.263</v>
      </c>
      <c r="KB75" s="754">
        <v>0.014</v>
      </c>
      <c r="KC75" s="754"/>
      <c r="KD75" s="754"/>
      <c r="KE75" s="754"/>
      <c r="KF75" s="754"/>
      <c r="KG75" s="754"/>
      <c r="KH75" s="754"/>
      <c r="KI75" s="754"/>
      <c r="KJ75" s="754"/>
      <c r="KK75" s="765" t="s">
        <v>281</v>
      </c>
      <c r="KL75" s="738">
        <v>45</v>
      </c>
      <c r="KM75" s="738">
        <v>142</v>
      </c>
      <c r="KN75" s="646" t="s">
        <v>282</v>
      </c>
      <c r="KO75" s="646" t="s">
        <v>778</v>
      </c>
      <c r="KP75" s="680">
        <v>755275</v>
      </c>
      <c r="KQ75" s="766"/>
      <c r="KR75" s="750"/>
      <c r="KS75" s="769"/>
      <c r="KT75" s="770"/>
      <c r="KU75" s="766"/>
      <c r="KV75" s="750"/>
      <c r="KW75" s="771"/>
      <c r="KX75" s="750"/>
      <c r="KY75" s="769"/>
      <c r="KZ75" s="770"/>
    </row>
    <row r="76" s="628" customFormat="1" customHeight="1" spans="1:312">
      <c r="A76" s="682" t="s">
        <v>374</v>
      </c>
      <c r="B76" s="683">
        <v>72</v>
      </c>
      <c r="C76" s="689" t="s">
        <v>780</v>
      </c>
      <c r="D76" s="680">
        <v>805255</v>
      </c>
      <c r="E76" s="685">
        <v>25.46</v>
      </c>
      <c r="F76" s="685">
        <v>25.25</v>
      </c>
      <c r="G76" s="688">
        <v>0.03163</v>
      </c>
      <c r="H76" s="686">
        <v>0.03218</v>
      </c>
      <c r="I76" s="696">
        <v>1.74928</v>
      </c>
      <c r="J76" s="696">
        <v>1.7556</v>
      </c>
      <c r="K76" s="696">
        <v>1.76321</v>
      </c>
      <c r="L76" s="696">
        <v>1.77158</v>
      </c>
      <c r="M76" s="696">
        <v>1.77339</v>
      </c>
      <c r="N76" s="696">
        <v>1.77494</v>
      </c>
      <c r="O76" s="696">
        <v>1.7815</v>
      </c>
      <c r="P76" s="697">
        <v>1.78642</v>
      </c>
      <c r="Q76" s="697">
        <v>1.79118</v>
      </c>
      <c r="R76" s="697">
        <v>1.79611</v>
      </c>
      <c r="S76" s="697">
        <v>1.79752</v>
      </c>
      <c r="T76" s="701">
        <v>1.79883</v>
      </c>
      <c r="U76" s="697">
        <v>1.80491</v>
      </c>
      <c r="V76" s="697">
        <v>1.80518</v>
      </c>
      <c r="W76" s="697">
        <v>1.81263</v>
      </c>
      <c r="X76" s="697">
        <v>1.82774</v>
      </c>
      <c r="Y76" s="697">
        <v>1.8297</v>
      </c>
      <c r="Z76" s="697">
        <v>1.84721</v>
      </c>
      <c r="AA76" s="697">
        <v>1.8648</v>
      </c>
      <c r="AB76" s="696">
        <v>1.89846</v>
      </c>
      <c r="AC76" s="704">
        <v>3.11898504</v>
      </c>
      <c r="AD76" s="704">
        <v>-0.0124052596</v>
      </c>
      <c r="AE76" s="704">
        <v>0.0432862244</v>
      </c>
      <c r="AF76" s="704">
        <v>0.00226049835</v>
      </c>
      <c r="AG76" s="704">
        <v>-7.69462999e-5</v>
      </c>
      <c r="AH76" s="704">
        <v>2.11453139e-5</v>
      </c>
      <c r="AI76" s="709">
        <v>0.2868</v>
      </c>
      <c r="AJ76" s="709">
        <v>0.2355</v>
      </c>
      <c r="AK76" s="709">
        <v>0.6156</v>
      </c>
      <c r="AL76" s="709">
        <v>0.238</v>
      </c>
      <c r="AM76" s="709">
        <v>0.2315</v>
      </c>
      <c r="AN76" s="709">
        <v>0.5441</v>
      </c>
      <c r="AO76" s="709">
        <v>0.0016</v>
      </c>
      <c r="AP76" s="709">
        <v>0.0142</v>
      </c>
      <c r="AQ76" s="709">
        <v>0.0058</v>
      </c>
      <c r="AR76" s="709">
        <v>0.0004</v>
      </c>
      <c r="AS76" s="714">
        <v>-0.8</v>
      </c>
      <c r="AT76" s="715">
        <v>-0.8</v>
      </c>
      <c r="AU76" s="715">
        <v>-0.8</v>
      </c>
      <c r="AV76" s="715">
        <v>-0.8</v>
      </c>
      <c r="AW76" s="715">
        <v>-0.8</v>
      </c>
      <c r="AX76" s="715">
        <v>-0.7</v>
      </c>
      <c r="AY76" s="715">
        <v>-0.7</v>
      </c>
      <c r="AZ76" s="715">
        <v>-0.6</v>
      </c>
      <c r="BA76" s="715">
        <v>-0.4</v>
      </c>
      <c r="BB76" s="715">
        <v>-0.3</v>
      </c>
      <c r="BC76" s="715">
        <v>-0.2</v>
      </c>
      <c r="BD76" s="715">
        <v>-0.2</v>
      </c>
      <c r="BE76" s="715">
        <v>-0.1</v>
      </c>
      <c r="BF76" s="715">
        <v>-0.1</v>
      </c>
      <c r="BG76" s="715">
        <v>-0.1</v>
      </c>
      <c r="BH76" s="715">
        <v>-0.1</v>
      </c>
      <c r="BI76" s="715">
        <v>0.1</v>
      </c>
      <c r="BJ76" s="715">
        <v>0.1</v>
      </c>
      <c r="BK76" s="715">
        <v>0.2</v>
      </c>
      <c r="BL76" s="715">
        <v>0.3</v>
      </c>
      <c r="BM76" s="715">
        <v>0.4</v>
      </c>
      <c r="BN76" s="715">
        <v>0.5</v>
      </c>
      <c r="BO76" s="715">
        <v>0.2</v>
      </c>
      <c r="BP76" s="715">
        <v>0.3</v>
      </c>
      <c r="BQ76" s="715">
        <v>0.3</v>
      </c>
      <c r="BR76" s="715">
        <v>0.3</v>
      </c>
      <c r="BS76" s="715">
        <v>0.4</v>
      </c>
      <c r="BT76" s="715">
        <v>0.5</v>
      </c>
      <c r="BU76" s="715">
        <v>0.7</v>
      </c>
      <c r="BV76" s="715">
        <v>0.9</v>
      </c>
      <c r="BW76" s="715">
        <v>1</v>
      </c>
      <c r="BX76" s="715">
        <v>1.1</v>
      </c>
      <c r="BY76" s="715">
        <v>1.2</v>
      </c>
      <c r="BZ76" s="715">
        <v>0.3</v>
      </c>
      <c r="CA76" s="715">
        <v>0.4</v>
      </c>
      <c r="CB76" s="715">
        <v>0.4</v>
      </c>
      <c r="CC76" s="715">
        <v>0.4</v>
      </c>
      <c r="CD76" s="715">
        <v>0.5</v>
      </c>
      <c r="CE76" s="715">
        <v>0.6</v>
      </c>
      <c r="CF76" s="715">
        <v>0.8</v>
      </c>
      <c r="CG76" s="715">
        <v>1</v>
      </c>
      <c r="CH76" s="715">
        <v>1.1</v>
      </c>
      <c r="CI76" s="715">
        <v>1.2</v>
      </c>
      <c r="CJ76" s="715">
        <v>1.3</v>
      </c>
      <c r="CK76" s="715">
        <v>0.4</v>
      </c>
      <c r="CL76" s="715">
        <v>0.4</v>
      </c>
      <c r="CM76" s="715">
        <v>0.5</v>
      </c>
      <c r="CN76" s="715">
        <v>0.5</v>
      </c>
      <c r="CO76" s="715">
        <v>0.6</v>
      </c>
      <c r="CP76" s="715">
        <v>0.7</v>
      </c>
      <c r="CQ76" s="715">
        <v>0.9</v>
      </c>
      <c r="CR76" s="715">
        <v>1.1</v>
      </c>
      <c r="CS76" s="715">
        <v>1.2</v>
      </c>
      <c r="CT76" s="715">
        <v>1.3</v>
      </c>
      <c r="CU76" s="715">
        <v>1.4</v>
      </c>
      <c r="CV76" s="715">
        <v>0.6</v>
      </c>
      <c r="CW76" s="715">
        <v>0.7</v>
      </c>
      <c r="CX76" s="715">
        <v>0.8</v>
      </c>
      <c r="CY76" s="715">
        <v>0.9</v>
      </c>
      <c r="CZ76" s="715">
        <v>1</v>
      </c>
      <c r="DA76" s="715">
        <v>1.1</v>
      </c>
      <c r="DB76" s="715">
        <v>1.3</v>
      </c>
      <c r="DC76" s="715">
        <v>1.5</v>
      </c>
      <c r="DD76" s="715">
        <v>1.7</v>
      </c>
      <c r="DE76" s="715">
        <v>1.8</v>
      </c>
      <c r="DF76" s="715">
        <v>2</v>
      </c>
      <c r="DG76" s="715">
        <v>1.2</v>
      </c>
      <c r="DH76" s="715">
        <v>1.3</v>
      </c>
      <c r="DI76" s="715">
        <v>1.4</v>
      </c>
      <c r="DJ76" s="715">
        <v>1.5</v>
      </c>
      <c r="DK76" s="715">
        <v>1.6</v>
      </c>
      <c r="DL76" s="715">
        <v>1.8</v>
      </c>
      <c r="DM76" s="715">
        <v>2</v>
      </c>
      <c r="DN76" s="715">
        <v>2.1</v>
      </c>
      <c r="DO76" s="715">
        <v>2.3</v>
      </c>
      <c r="DP76" s="715">
        <v>2.4</v>
      </c>
      <c r="DQ76" s="715">
        <v>2.6</v>
      </c>
      <c r="DR76" s="715">
        <v>2.4</v>
      </c>
      <c r="DS76" s="715">
        <v>2.5</v>
      </c>
      <c r="DT76" s="715">
        <v>2.6</v>
      </c>
      <c r="DU76" s="715">
        <v>2.9</v>
      </c>
      <c r="DV76" s="715">
        <v>3</v>
      </c>
      <c r="DW76" s="715">
        <v>3.3</v>
      </c>
      <c r="DX76" s="715">
        <v>3.6</v>
      </c>
      <c r="DY76" s="715">
        <v>3.8</v>
      </c>
      <c r="DZ76" s="715">
        <v>4</v>
      </c>
      <c r="EA76" s="715">
        <v>4.2</v>
      </c>
      <c r="EB76" s="715">
        <v>4.5</v>
      </c>
      <c r="EC76" s="715">
        <v>2.5</v>
      </c>
      <c r="ED76" s="715">
        <v>2.6</v>
      </c>
      <c r="EE76" s="715">
        <v>2.7</v>
      </c>
      <c r="EF76" s="715">
        <v>3</v>
      </c>
      <c r="EG76" s="715">
        <v>3.1</v>
      </c>
      <c r="EH76" s="715">
        <v>3.4</v>
      </c>
      <c r="EI76" s="715">
        <v>3.7</v>
      </c>
      <c r="EJ76" s="715">
        <v>3.9</v>
      </c>
      <c r="EK76" s="715">
        <v>4.1</v>
      </c>
      <c r="EL76" s="715">
        <v>4.3</v>
      </c>
      <c r="EM76" s="715">
        <v>4.6</v>
      </c>
      <c r="EN76" s="715">
        <v>3.7</v>
      </c>
      <c r="EO76" s="715">
        <v>4</v>
      </c>
      <c r="EP76" s="715">
        <v>4.3</v>
      </c>
      <c r="EQ76" s="715">
        <v>4.7</v>
      </c>
      <c r="ER76" s="715">
        <v>5</v>
      </c>
      <c r="ES76" s="715">
        <v>5.3</v>
      </c>
      <c r="ET76" s="715">
        <v>5.7</v>
      </c>
      <c r="EU76" s="715">
        <v>5.9</v>
      </c>
      <c r="EV76" s="715">
        <v>6.1</v>
      </c>
      <c r="EW76" s="715">
        <v>6.4</v>
      </c>
      <c r="EX76" s="715">
        <v>6.7</v>
      </c>
      <c r="EY76" s="715">
        <v>-2.5</v>
      </c>
      <c r="EZ76" s="715">
        <v>-2</v>
      </c>
      <c r="FA76" s="715">
        <v>-1.6</v>
      </c>
      <c r="FB76" s="715">
        <v>-1.3</v>
      </c>
      <c r="FC76" s="715">
        <v>-1</v>
      </c>
      <c r="FD76" s="715">
        <v>-0.7</v>
      </c>
      <c r="FE76" s="715">
        <v>-0.3</v>
      </c>
      <c r="FF76" s="715">
        <v>0</v>
      </c>
      <c r="FG76" s="715">
        <v>0.2</v>
      </c>
      <c r="FH76" s="715">
        <v>0.4</v>
      </c>
      <c r="FI76" s="715">
        <v>0.6</v>
      </c>
      <c r="FJ76" s="723">
        <v>-4.83e-6</v>
      </c>
      <c r="FK76" s="723">
        <v>1.06e-8</v>
      </c>
      <c r="FL76" s="723">
        <v>-1.8e-11</v>
      </c>
      <c r="FM76" s="723">
        <v>9.79e-7</v>
      </c>
      <c r="FN76" s="723">
        <v>1.08e-9</v>
      </c>
      <c r="FO76" s="723">
        <v>0.295</v>
      </c>
      <c r="FP76" s="729">
        <v>1</v>
      </c>
      <c r="FQ76" s="729">
        <v>1</v>
      </c>
      <c r="FR76" s="729">
        <v>1</v>
      </c>
      <c r="FS76" s="729">
        <v>1</v>
      </c>
      <c r="FT76" s="729">
        <v>1</v>
      </c>
      <c r="FU76" s="729">
        <v>1</v>
      </c>
      <c r="FV76" s="681">
        <v>1</v>
      </c>
      <c r="FW76" s="729"/>
      <c r="FX76" s="729"/>
      <c r="FY76" s="729"/>
      <c r="FZ76" s="746">
        <v>606</v>
      </c>
      <c r="GA76" s="746">
        <v>636</v>
      </c>
      <c r="GB76" s="681">
        <v>565</v>
      </c>
      <c r="GC76" s="681">
        <v>581</v>
      </c>
      <c r="GD76" s="747">
        <v>0.99</v>
      </c>
      <c r="GE76" s="729"/>
      <c r="GF76" s="681">
        <v>88</v>
      </c>
      <c r="GG76" s="681">
        <v>109</v>
      </c>
      <c r="GH76" s="681">
        <v>80</v>
      </c>
      <c r="GI76" s="681">
        <v>82</v>
      </c>
      <c r="GJ76" s="681">
        <v>85</v>
      </c>
      <c r="GK76" s="681">
        <v>87</v>
      </c>
      <c r="GL76" s="681">
        <v>89</v>
      </c>
      <c r="GM76" s="681">
        <v>90</v>
      </c>
      <c r="GN76" s="681">
        <v>91</v>
      </c>
      <c r="GO76" s="681">
        <v>92</v>
      </c>
      <c r="GP76" s="681">
        <v>92</v>
      </c>
      <c r="GQ76" s="681">
        <v>93</v>
      </c>
      <c r="GR76" s="681">
        <v>93</v>
      </c>
      <c r="GS76" s="681">
        <v>94</v>
      </c>
      <c r="GT76" s="681">
        <v>95</v>
      </c>
      <c r="GU76" s="681">
        <v>95</v>
      </c>
      <c r="GV76" s="681">
        <v>97</v>
      </c>
      <c r="GW76" s="681">
        <v>98</v>
      </c>
      <c r="GX76" s="681">
        <v>99</v>
      </c>
      <c r="GY76" s="681">
        <v>100</v>
      </c>
      <c r="GZ76" s="681">
        <v>102</v>
      </c>
      <c r="HA76" s="681">
        <v>102</v>
      </c>
      <c r="HB76" s="681">
        <v>103</v>
      </c>
      <c r="HC76" s="681"/>
      <c r="HD76" s="750">
        <v>245</v>
      </c>
      <c r="HE76" s="681"/>
      <c r="HF76" s="681">
        <v>523</v>
      </c>
      <c r="HG76" s="681">
        <v>186</v>
      </c>
      <c r="HH76" s="714">
        <v>93.6</v>
      </c>
      <c r="HI76" s="714">
        <v>36.1</v>
      </c>
      <c r="HJ76" s="753">
        <v>0.296</v>
      </c>
      <c r="HK76" s="681">
        <v>77</v>
      </c>
      <c r="HL76" s="685">
        <v>2.67</v>
      </c>
      <c r="HM76" s="747">
        <v>3.38</v>
      </c>
      <c r="HN76" s="729" t="s">
        <v>781</v>
      </c>
      <c r="HO76" s="729" t="s">
        <v>782</v>
      </c>
      <c r="HP76" s="714">
        <v>-0.6</v>
      </c>
      <c r="HQ76" s="754">
        <v>0.927</v>
      </c>
      <c r="HR76" s="754">
        <v>0.96</v>
      </c>
      <c r="HS76" s="754">
        <v>0.979</v>
      </c>
      <c r="HT76" s="754">
        <v>0.987</v>
      </c>
      <c r="HU76" s="754">
        <v>0.998</v>
      </c>
      <c r="HV76" s="754">
        <v>0.998</v>
      </c>
      <c r="HW76" s="754">
        <v>0.998</v>
      </c>
      <c r="HX76" s="754">
        <v>0.998</v>
      </c>
      <c r="HY76" s="754">
        <v>0.998</v>
      </c>
      <c r="HZ76" s="754">
        <v>0.998</v>
      </c>
      <c r="IA76" s="754">
        <v>0.998</v>
      </c>
      <c r="IB76" s="754">
        <v>0.998</v>
      </c>
      <c r="IC76" s="754">
        <v>0.998</v>
      </c>
      <c r="ID76" s="754">
        <v>0.998</v>
      </c>
      <c r="IE76" s="754">
        <v>0.998</v>
      </c>
      <c r="IF76" s="754">
        <v>0.998</v>
      </c>
      <c r="IG76" s="754">
        <v>0.998</v>
      </c>
      <c r="IH76" s="754">
        <v>0.997</v>
      </c>
      <c r="II76" s="754">
        <v>0.994</v>
      </c>
      <c r="IJ76" s="754">
        <v>0.992</v>
      </c>
      <c r="IK76" s="754">
        <v>0.989</v>
      </c>
      <c r="IL76" s="754">
        <v>0.984</v>
      </c>
      <c r="IM76" s="754">
        <v>0.974</v>
      </c>
      <c r="IN76" s="754">
        <v>0.946</v>
      </c>
      <c r="IO76" s="754">
        <v>0.906</v>
      </c>
      <c r="IP76" s="754">
        <v>0.799</v>
      </c>
      <c r="IQ76" s="754">
        <v>0.527</v>
      </c>
      <c r="IR76" s="754">
        <v>0.148</v>
      </c>
      <c r="IS76" s="754"/>
      <c r="IT76" s="754"/>
      <c r="IU76" s="754"/>
      <c r="IV76" s="754"/>
      <c r="IW76" s="754"/>
      <c r="IX76" s="754"/>
      <c r="IY76" s="754"/>
      <c r="IZ76" s="754"/>
      <c r="JA76" s="754">
        <v>0.863</v>
      </c>
      <c r="JB76" s="754">
        <v>0.92</v>
      </c>
      <c r="JC76" s="754">
        <v>0.956</v>
      </c>
      <c r="JD76" s="754">
        <v>0.976</v>
      </c>
      <c r="JE76" s="754">
        <v>0.996</v>
      </c>
      <c r="JF76" s="754">
        <v>0.996</v>
      </c>
      <c r="JG76" s="754">
        <v>0.996</v>
      </c>
      <c r="JH76" s="754">
        <v>0.996</v>
      </c>
      <c r="JI76" s="754">
        <v>0.996</v>
      </c>
      <c r="JJ76" s="754">
        <v>0.996</v>
      </c>
      <c r="JK76" s="754">
        <v>0.996</v>
      </c>
      <c r="JL76" s="754">
        <v>0.996</v>
      </c>
      <c r="JM76" s="754">
        <v>0.997</v>
      </c>
      <c r="JN76" s="754">
        <v>0.997</v>
      </c>
      <c r="JO76" s="754">
        <v>0.997</v>
      </c>
      <c r="JP76" s="754">
        <v>0.996</v>
      </c>
      <c r="JQ76" s="754">
        <v>0.997</v>
      </c>
      <c r="JR76" s="754">
        <v>0.995</v>
      </c>
      <c r="JS76" s="754">
        <v>0.988</v>
      </c>
      <c r="JT76" s="754">
        <v>0.984</v>
      </c>
      <c r="JU76" s="754">
        <v>0.979</v>
      </c>
      <c r="JV76" s="754">
        <v>0.969</v>
      </c>
      <c r="JW76" s="754">
        <v>0.948</v>
      </c>
      <c r="JX76" s="754">
        <v>0.894</v>
      </c>
      <c r="JY76" s="754">
        <v>0.821</v>
      </c>
      <c r="JZ76" s="754">
        <v>0.638</v>
      </c>
      <c r="KA76" s="754">
        <v>0.278</v>
      </c>
      <c r="KB76" s="754">
        <v>0.022</v>
      </c>
      <c r="KC76" s="753"/>
      <c r="KD76" s="753"/>
      <c r="KE76" s="753"/>
      <c r="KF76" s="753"/>
      <c r="KG76" s="753"/>
      <c r="KH76" s="753"/>
      <c r="KI76" s="753"/>
      <c r="KJ76" s="753"/>
      <c r="KK76" s="765" t="s">
        <v>281</v>
      </c>
      <c r="KL76" s="738">
        <v>43</v>
      </c>
      <c r="KM76" s="738">
        <v>145</v>
      </c>
      <c r="KN76" s="646" t="s">
        <v>282</v>
      </c>
      <c r="KO76" s="646" t="s">
        <v>780</v>
      </c>
      <c r="KP76" s="680">
        <v>805255</v>
      </c>
      <c r="KQ76" s="766" t="s">
        <v>783</v>
      </c>
      <c r="KR76" s="750" t="s">
        <v>784</v>
      </c>
      <c r="KS76" s="769" t="s">
        <v>785</v>
      </c>
      <c r="KT76" s="770" t="s">
        <v>786</v>
      </c>
      <c r="KU76" s="766" t="s">
        <v>787</v>
      </c>
      <c r="KV76" s="750">
        <v>805255</v>
      </c>
      <c r="KW76" s="771" t="s">
        <v>788</v>
      </c>
      <c r="KX76" s="750" t="s">
        <v>784</v>
      </c>
      <c r="KY76" s="769" t="s">
        <v>789</v>
      </c>
      <c r="KZ76" s="770" t="s">
        <v>784</v>
      </c>
    </row>
    <row r="77" s="628" customFormat="1" customHeight="1" spans="1:312">
      <c r="A77" s="682" t="s">
        <v>277</v>
      </c>
      <c r="B77" s="683">
        <v>73</v>
      </c>
      <c r="C77" s="689" t="s">
        <v>790</v>
      </c>
      <c r="D77" s="680">
        <v>805255</v>
      </c>
      <c r="E77" s="685">
        <v>25.46</v>
      </c>
      <c r="F77" s="685">
        <v>25.25</v>
      </c>
      <c r="G77" s="688">
        <v>0.03163</v>
      </c>
      <c r="H77" s="686">
        <v>0.03218</v>
      </c>
      <c r="I77" s="696">
        <v>1.74928</v>
      </c>
      <c r="J77" s="696">
        <v>1.7556</v>
      </c>
      <c r="K77" s="696">
        <v>1.76321</v>
      </c>
      <c r="L77" s="696">
        <v>1.77158</v>
      </c>
      <c r="M77" s="696">
        <v>1.77339</v>
      </c>
      <c r="N77" s="696">
        <v>1.77494</v>
      </c>
      <c r="O77" s="696">
        <v>1.7815</v>
      </c>
      <c r="P77" s="697">
        <v>1.78642</v>
      </c>
      <c r="Q77" s="697">
        <v>1.79118</v>
      </c>
      <c r="R77" s="697">
        <v>1.79611</v>
      </c>
      <c r="S77" s="697">
        <v>1.79752</v>
      </c>
      <c r="T77" s="701">
        <v>1.79883</v>
      </c>
      <c r="U77" s="697">
        <v>1.80491</v>
      </c>
      <c r="V77" s="697">
        <v>1.80518</v>
      </c>
      <c r="W77" s="697">
        <v>1.81263</v>
      </c>
      <c r="X77" s="697">
        <v>1.82774</v>
      </c>
      <c r="Y77" s="697">
        <v>1.8297</v>
      </c>
      <c r="Z77" s="697">
        <v>1.84721</v>
      </c>
      <c r="AA77" s="697">
        <v>1.8648</v>
      </c>
      <c r="AB77" s="696">
        <v>1.89846</v>
      </c>
      <c r="AC77" s="704">
        <v>3.11898504</v>
      </c>
      <c r="AD77" s="704">
        <v>-0.0124052596</v>
      </c>
      <c r="AE77" s="704">
        <v>0.0432862244</v>
      </c>
      <c r="AF77" s="704">
        <v>0.00226049835</v>
      </c>
      <c r="AG77" s="704">
        <v>-7.69462999e-5</v>
      </c>
      <c r="AH77" s="704">
        <v>2.11453139e-5</v>
      </c>
      <c r="AI77" s="709">
        <v>0.2868</v>
      </c>
      <c r="AJ77" s="709">
        <v>0.2355</v>
      </c>
      <c r="AK77" s="709">
        <v>0.6156</v>
      </c>
      <c r="AL77" s="709">
        <v>0.238</v>
      </c>
      <c r="AM77" s="709">
        <v>0.2315</v>
      </c>
      <c r="AN77" s="709">
        <v>0.5441</v>
      </c>
      <c r="AO77" s="709">
        <v>0.0016</v>
      </c>
      <c r="AP77" s="709">
        <v>0.0142</v>
      </c>
      <c r="AQ77" s="709">
        <v>0.0058</v>
      </c>
      <c r="AR77" s="709">
        <v>0.0004</v>
      </c>
      <c r="AS77" s="714">
        <v>-0.8</v>
      </c>
      <c r="AT77" s="715">
        <v>-0.8</v>
      </c>
      <c r="AU77" s="715">
        <v>-0.8</v>
      </c>
      <c r="AV77" s="715">
        <v>-0.8</v>
      </c>
      <c r="AW77" s="715">
        <v>-0.8</v>
      </c>
      <c r="AX77" s="715">
        <v>-0.7</v>
      </c>
      <c r="AY77" s="715">
        <v>-0.7</v>
      </c>
      <c r="AZ77" s="715">
        <v>-0.6</v>
      </c>
      <c r="BA77" s="715">
        <v>-0.4</v>
      </c>
      <c r="BB77" s="715">
        <v>-0.3</v>
      </c>
      <c r="BC77" s="715">
        <v>-0.2</v>
      </c>
      <c r="BD77" s="715">
        <v>-0.2</v>
      </c>
      <c r="BE77" s="715">
        <v>-0.1</v>
      </c>
      <c r="BF77" s="715">
        <v>-0.1</v>
      </c>
      <c r="BG77" s="715">
        <v>-0.1</v>
      </c>
      <c r="BH77" s="715">
        <v>-0.1</v>
      </c>
      <c r="BI77" s="715">
        <v>0.1</v>
      </c>
      <c r="BJ77" s="715">
        <v>0.1</v>
      </c>
      <c r="BK77" s="715">
        <v>0.2</v>
      </c>
      <c r="BL77" s="715">
        <v>0.3</v>
      </c>
      <c r="BM77" s="715">
        <v>0.4</v>
      </c>
      <c r="BN77" s="715">
        <v>0.5</v>
      </c>
      <c r="BO77" s="715">
        <v>0.2</v>
      </c>
      <c r="BP77" s="715">
        <v>0.3</v>
      </c>
      <c r="BQ77" s="715">
        <v>0.3</v>
      </c>
      <c r="BR77" s="715">
        <v>0.3</v>
      </c>
      <c r="BS77" s="715">
        <v>0.4</v>
      </c>
      <c r="BT77" s="715">
        <v>0.5</v>
      </c>
      <c r="BU77" s="715">
        <v>0.7</v>
      </c>
      <c r="BV77" s="715">
        <v>0.9</v>
      </c>
      <c r="BW77" s="715">
        <v>1</v>
      </c>
      <c r="BX77" s="715">
        <v>1.1</v>
      </c>
      <c r="BY77" s="715">
        <v>1.2</v>
      </c>
      <c r="BZ77" s="715">
        <v>0.3</v>
      </c>
      <c r="CA77" s="715">
        <v>0.4</v>
      </c>
      <c r="CB77" s="715">
        <v>0.4</v>
      </c>
      <c r="CC77" s="715">
        <v>0.4</v>
      </c>
      <c r="CD77" s="715">
        <v>0.5</v>
      </c>
      <c r="CE77" s="715">
        <v>0.6</v>
      </c>
      <c r="CF77" s="715">
        <v>0.8</v>
      </c>
      <c r="CG77" s="715">
        <v>1</v>
      </c>
      <c r="CH77" s="715">
        <v>1.1</v>
      </c>
      <c r="CI77" s="715">
        <v>1.2</v>
      </c>
      <c r="CJ77" s="715">
        <v>1.3</v>
      </c>
      <c r="CK77" s="715">
        <v>0.4</v>
      </c>
      <c r="CL77" s="715">
        <v>0.4</v>
      </c>
      <c r="CM77" s="715">
        <v>0.5</v>
      </c>
      <c r="CN77" s="715">
        <v>0.5</v>
      </c>
      <c r="CO77" s="715">
        <v>0.6</v>
      </c>
      <c r="CP77" s="715">
        <v>0.7</v>
      </c>
      <c r="CQ77" s="715">
        <v>0.9</v>
      </c>
      <c r="CR77" s="715">
        <v>1.1</v>
      </c>
      <c r="CS77" s="715">
        <v>1.2</v>
      </c>
      <c r="CT77" s="715">
        <v>1.3</v>
      </c>
      <c r="CU77" s="715">
        <v>1.4</v>
      </c>
      <c r="CV77" s="715">
        <v>0.6</v>
      </c>
      <c r="CW77" s="715">
        <v>0.7</v>
      </c>
      <c r="CX77" s="715">
        <v>0.8</v>
      </c>
      <c r="CY77" s="715">
        <v>0.9</v>
      </c>
      <c r="CZ77" s="715">
        <v>1</v>
      </c>
      <c r="DA77" s="715">
        <v>1.1</v>
      </c>
      <c r="DB77" s="715">
        <v>1.3</v>
      </c>
      <c r="DC77" s="715">
        <v>1.5</v>
      </c>
      <c r="DD77" s="715">
        <v>1.7</v>
      </c>
      <c r="DE77" s="715">
        <v>1.8</v>
      </c>
      <c r="DF77" s="715">
        <v>2</v>
      </c>
      <c r="DG77" s="715">
        <v>1.2</v>
      </c>
      <c r="DH77" s="715">
        <v>1.3</v>
      </c>
      <c r="DI77" s="715">
        <v>1.4</v>
      </c>
      <c r="DJ77" s="715">
        <v>1.5</v>
      </c>
      <c r="DK77" s="715">
        <v>1.6</v>
      </c>
      <c r="DL77" s="715">
        <v>1.8</v>
      </c>
      <c r="DM77" s="715">
        <v>2</v>
      </c>
      <c r="DN77" s="715">
        <v>2.1</v>
      </c>
      <c r="DO77" s="715">
        <v>2.3</v>
      </c>
      <c r="DP77" s="715">
        <v>2.4</v>
      </c>
      <c r="DQ77" s="715">
        <v>2.6</v>
      </c>
      <c r="DR77" s="715">
        <v>2.4</v>
      </c>
      <c r="DS77" s="715">
        <v>2.5</v>
      </c>
      <c r="DT77" s="715">
        <v>2.6</v>
      </c>
      <c r="DU77" s="715">
        <v>2.9</v>
      </c>
      <c r="DV77" s="715">
        <v>3</v>
      </c>
      <c r="DW77" s="715">
        <v>3.3</v>
      </c>
      <c r="DX77" s="715">
        <v>3.6</v>
      </c>
      <c r="DY77" s="715">
        <v>3.8</v>
      </c>
      <c r="DZ77" s="715">
        <v>4</v>
      </c>
      <c r="EA77" s="715">
        <v>4.2</v>
      </c>
      <c r="EB77" s="715">
        <v>4.5</v>
      </c>
      <c r="EC77" s="715">
        <v>2.5</v>
      </c>
      <c r="ED77" s="715">
        <v>2.6</v>
      </c>
      <c r="EE77" s="715">
        <v>2.7</v>
      </c>
      <c r="EF77" s="715">
        <v>3</v>
      </c>
      <c r="EG77" s="715">
        <v>3.1</v>
      </c>
      <c r="EH77" s="715">
        <v>3.4</v>
      </c>
      <c r="EI77" s="715">
        <v>3.7</v>
      </c>
      <c r="EJ77" s="715">
        <v>3.9</v>
      </c>
      <c r="EK77" s="715">
        <v>4.1</v>
      </c>
      <c r="EL77" s="715">
        <v>4.3</v>
      </c>
      <c r="EM77" s="715">
        <v>4.6</v>
      </c>
      <c r="EN77" s="715">
        <v>3.7</v>
      </c>
      <c r="EO77" s="715">
        <v>4</v>
      </c>
      <c r="EP77" s="715">
        <v>4.3</v>
      </c>
      <c r="EQ77" s="715">
        <v>4.7</v>
      </c>
      <c r="ER77" s="715">
        <v>5</v>
      </c>
      <c r="ES77" s="715">
        <v>5.3</v>
      </c>
      <c r="ET77" s="715">
        <v>5.7</v>
      </c>
      <c r="EU77" s="715">
        <v>5.9</v>
      </c>
      <c r="EV77" s="715">
        <v>6.1</v>
      </c>
      <c r="EW77" s="715">
        <v>6.4</v>
      </c>
      <c r="EX77" s="715">
        <v>6.7</v>
      </c>
      <c r="EY77" s="715">
        <v>-2.5</v>
      </c>
      <c r="EZ77" s="715">
        <v>-2</v>
      </c>
      <c r="FA77" s="715">
        <v>-1.6</v>
      </c>
      <c r="FB77" s="715">
        <v>-1.3</v>
      </c>
      <c r="FC77" s="715">
        <v>-1</v>
      </c>
      <c r="FD77" s="715">
        <v>-0.7</v>
      </c>
      <c r="FE77" s="715">
        <v>-0.3</v>
      </c>
      <c r="FF77" s="715">
        <v>0</v>
      </c>
      <c r="FG77" s="715">
        <v>0.2</v>
      </c>
      <c r="FH77" s="715">
        <v>0.4</v>
      </c>
      <c r="FI77" s="715">
        <v>0.6</v>
      </c>
      <c r="FJ77" s="723">
        <v>-4.83e-6</v>
      </c>
      <c r="FK77" s="723">
        <v>1.06e-8</v>
      </c>
      <c r="FL77" s="723">
        <v>-1.8e-11</v>
      </c>
      <c r="FM77" s="723">
        <v>9.79e-7</v>
      </c>
      <c r="FN77" s="723">
        <v>1.08e-9</v>
      </c>
      <c r="FO77" s="723">
        <v>0.295</v>
      </c>
      <c r="FP77" s="729">
        <v>1</v>
      </c>
      <c r="FQ77" s="729">
        <v>1</v>
      </c>
      <c r="FR77" s="729">
        <v>1</v>
      </c>
      <c r="FS77" s="729">
        <v>1</v>
      </c>
      <c r="FT77" s="729">
        <v>1</v>
      </c>
      <c r="FU77" s="729">
        <v>1</v>
      </c>
      <c r="FV77" s="681">
        <v>1</v>
      </c>
      <c r="FW77" s="729"/>
      <c r="FX77" s="729"/>
      <c r="FY77" s="729"/>
      <c r="FZ77" s="746">
        <v>606</v>
      </c>
      <c r="GA77" s="746">
        <v>636</v>
      </c>
      <c r="GB77" s="681">
        <v>565</v>
      </c>
      <c r="GC77" s="681">
        <v>581</v>
      </c>
      <c r="GD77" s="747">
        <v>0.99</v>
      </c>
      <c r="GE77" s="729"/>
      <c r="GF77" s="681">
        <v>88</v>
      </c>
      <c r="GG77" s="681">
        <v>109</v>
      </c>
      <c r="GH77" s="681">
        <v>80</v>
      </c>
      <c r="GI77" s="681">
        <v>82</v>
      </c>
      <c r="GJ77" s="681">
        <v>85</v>
      </c>
      <c r="GK77" s="681">
        <v>87</v>
      </c>
      <c r="GL77" s="681">
        <v>89</v>
      </c>
      <c r="GM77" s="681">
        <v>90</v>
      </c>
      <c r="GN77" s="681">
        <v>91</v>
      </c>
      <c r="GO77" s="681">
        <v>92</v>
      </c>
      <c r="GP77" s="681">
        <v>92</v>
      </c>
      <c r="GQ77" s="681">
        <v>93</v>
      </c>
      <c r="GR77" s="681">
        <v>93</v>
      </c>
      <c r="GS77" s="681">
        <v>94</v>
      </c>
      <c r="GT77" s="681">
        <v>95</v>
      </c>
      <c r="GU77" s="681">
        <v>95</v>
      </c>
      <c r="GV77" s="681">
        <v>97</v>
      </c>
      <c r="GW77" s="681">
        <v>98</v>
      </c>
      <c r="GX77" s="681">
        <v>99</v>
      </c>
      <c r="GY77" s="681">
        <v>100</v>
      </c>
      <c r="GZ77" s="681">
        <v>102</v>
      </c>
      <c r="HA77" s="681">
        <v>102</v>
      </c>
      <c r="HB77" s="681">
        <v>103</v>
      </c>
      <c r="HC77" s="681"/>
      <c r="HD77" s="750">
        <v>245</v>
      </c>
      <c r="HE77" s="681"/>
      <c r="HF77" s="681">
        <v>523</v>
      </c>
      <c r="HG77" s="681">
        <v>186</v>
      </c>
      <c r="HH77" s="714">
        <v>93.6</v>
      </c>
      <c r="HI77" s="714">
        <v>36.1</v>
      </c>
      <c r="HJ77" s="753">
        <v>0.296</v>
      </c>
      <c r="HK77" s="681">
        <v>77</v>
      </c>
      <c r="HL77" s="685">
        <v>2.67</v>
      </c>
      <c r="HM77" s="747">
        <v>3.38</v>
      </c>
      <c r="HN77" s="729" t="s">
        <v>791</v>
      </c>
      <c r="HO77" s="729" t="s">
        <v>792</v>
      </c>
      <c r="HP77" s="714">
        <v>-0.6</v>
      </c>
      <c r="HQ77" s="754">
        <v>0.951</v>
      </c>
      <c r="HR77" s="754">
        <v>0.974</v>
      </c>
      <c r="HS77" s="754">
        <v>0.99</v>
      </c>
      <c r="HT77" s="754">
        <v>0.998</v>
      </c>
      <c r="HU77" s="754">
        <v>0.998</v>
      </c>
      <c r="HV77" s="754">
        <v>0.998</v>
      </c>
      <c r="HW77" s="754">
        <v>0.998</v>
      </c>
      <c r="HX77" s="754">
        <v>0.998</v>
      </c>
      <c r="HY77" s="754">
        <v>0.998</v>
      </c>
      <c r="HZ77" s="754">
        <v>0.998</v>
      </c>
      <c r="IA77" s="754">
        <v>0.998</v>
      </c>
      <c r="IB77" s="754">
        <v>0.998</v>
      </c>
      <c r="IC77" s="754">
        <v>0.998</v>
      </c>
      <c r="ID77" s="754">
        <v>0.998</v>
      </c>
      <c r="IE77" s="754">
        <v>0.998</v>
      </c>
      <c r="IF77" s="754">
        <v>0.998</v>
      </c>
      <c r="IG77" s="754">
        <v>0.998</v>
      </c>
      <c r="IH77" s="754">
        <v>0.996</v>
      </c>
      <c r="II77" s="754">
        <v>0.994</v>
      </c>
      <c r="IJ77" s="754">
        <v>0.992</v>
      </c>
      <c r="IK77" s="754">
        <v>0.99</v>
      </c>
      <c r="IL77" s="754">
        <v>0.987</v>
      </c>
      <c r="IM77" s="754">
        <v>0.977</v>
      </c>
      <c r="IN77" s="754">
        <v>0.952</v>
      </c>
      <c r="IO77" s="754">
        <v>0.913</v>
      </c>
      <c r="IP77" s="754">
        <v>0.815</v>
      </c>
      <c r="IQ77" s="754">
        <v>0.548</v>
      </c>
      <c r="IR77" s="754">
        <v>0.157</v>
      </c>
      <c r="IS77" s="754"/>
      <c r="IT77" s="753"/>
      <c r="IU77" s="753"/>
      <c r="IV77" s="753"/>
      <c r="IW77" s="753"/>
      <c r="IX77" s="754"/>
      <c r="IY77" s="754"/>
      <c r="IZ77" s="754"/>
      <c r="JA77" s="754">
        <v>0.905</v>
      </c>
      <c r="JB77" s="754">
        <v>0.949</v>
      </c>
      <c r="JC77" s="754">
        <v>0.98</v>
      </c>
      <c r="JD77" s="754">
        <v>0.996</v>
      </c>
      <c r="JE77" s="754">
        <v>0.996</v>
      </c>
      <c r="JF77" s="754">
        <v>0.996</v>
      </c>
      <c r="JG77" s="754">
        <v>0.996</v>
      </c>
      <c r="JH77" s="754">
        <v>0.996</v>
      </c>
      <c r="JI77" s="754">
        <v>0.996</v>
      </c>
      <c r="JJ77" s="754">
        <v>0.996</v>
      </c>
      <c r="JK77" s="754">
        <v>0.996</v>
      </c>
      <c r="JL77" s="754">
        <v>0.996</v>
      </c>
      <c r="JM77" s="754">
        <v>0.996</v>
      </c>
      <c r="JN77" s="754">
        <v>0.996</v>
      </c>
      <c r="JO77" s="754">
        <v>0.996</v>
      </c>
      <c r="JP77" s="754">
        <v>0.996</v>
      </c>
      <c r="JQ77" s="754">
        <v>0.996</v>
      </c>
      <c r="JR77" s="754">
        <v>0.993</v>
      </c>
      <c r="JS77" s="754">
        <v>0.988</v>
      </c>
      <c r="JT77" s="754">
        <v>0.983</v>
      </c>
      <c r="JU77" s="754">
        <v>0.98</v>
      </c>
      <c r="JV77" s="754">
        <v>0.971</v>
      </c>
      <c r="JW77" s="754">
        <v>0.953</v>
      </c>
      <c r="JX77" s="754">
        <v>0.904</v>
      </c>
      <c r="JY77" s="754">
        <v>0.83</v>
      </c>
      <c r="JZ77" s="754">
        <v>0.669</v>
      </c>
      <c r="KA77" s="754">
        <v>0.301</v>
      </c>
      <c r="KB77" s="754">
        <v>0.025</v>
      </c>
      <c r="KC77" s="753"/>
      <c r="KD77" s="753"/>
      <c r="KE77" s="753"/>
      <c r="KF77" s="753"/>
      <c r="KG77" s="753"/>
      <c r="KH77" s="753"/>
      <c r="KI77" s="753"/>
      <c r="KJ77" s="753"/>
      <c r="KK77" s="765" t="s">
        <v>281</v>
      </c>
      <c r="KL77" s="738">
        <v>45</v>
      </c>
      <c r="KM77" s="738">
        <v>152</v>
      </c>
      <c r="KN77" s="646" t="s">
        <v>282</v>
      </c>
      <c r="KO77" s="646" t="s">
        <v>790</v>
      </c>
      <c r="KP77" s="680">
        <v>805255</v>
      </c>
      <c r="KQ77" s="766"/>
      <c r="KR77" s="750"/>
      <c r="KS77" s="769" t="s">
        <v>793</v>
      </c>
      <c r="KT77" s="770" t="s">
        <v>786</v>
      </c>
      <c r="KU77" s="766" t="s">
        <v>794</v>
      </c>
      <c r="KV77" s="750">
        <v>805255</v>
      </c>
      <c r="KW77" s="771"/>
      <c r="KX77" s="750"/>
      <c r="KY77" s="769" t="s">
        <v>795</v>
      </c>
      <c r="KZ77" s="770" t="s">
        <v>784</v>
      </c>
    </row>
    <row r="78" s="628" customFormat="1" customHeight="1" spans="1:312">
      <c r="A78" s="682" t="s">
        <v>345</v>
      </c>
      <c r="B78" s="683">
        <v>74</v>
      </c>
      <c r="C78" s="689" t="s">
        <v>796</v>
      </c>
      <c r="D78" s="680">
        <v>622307</v>
      </c>
      <c r="E78" s="685">
        <v>30.66</v>
      </c>
      <c r="F78" s="685">
        <v>30.36</v>
      </c>
      <c r="G78" s="688">
        <v>0.020287</v>
      </c>
      <c r="H78" s="686">
        <v>0.020646</v>
      </c>
      <c r="I78" s="696"/>
      <c r="J78" s="696"/>
      <c r="K78" s="646"/>
      <c r="L78" s="696">
        <v>1.60013</v>
      </c>
      <c r="M78" s="696">
        <v>1.60137</v>
      </c>
      <c r="N78" s="696">
        <v>1.60243</v>
      </c>
      <c r="O78" s="696">
        <v>1.60678</v>
      </c>
      <c r="P78" s="696">
        <v>1.60997</v>
      </c>
      <c r="Q78" s="696">
        <v>1.61303</v>
      </c>
      <c r="R78" s="697">
        <v>1.6162</v>
      </c>
      <c r="S78" s="697">
        <v>1.6171</v>
      </c>
      <c r="T78" s="701">
        <v>1.61795</v>
      </c>
      <c r="U78" s="697">
        <v>1.62183</v>
      </c>
      <c r="V78" s="697">
        <v>1.62201</v>
      </c>
      <c r="W78" s="697">
        <v>1.62678</v>
      </c>
      <c r="X78" s="697">
        <v>1.63648</v>
      </c>
      <c r="Y78" s="697">
        <v>1.63775</v>
      </c>
      <c r="Z78" s="697">
        <v>1.64911</v>
      </c>
      <c r="AA78" s="697">
        <v>1.66072</v>
      </c>
      <c r="AB78" s="690"/>
      <c r="AC78" s="704">
        <v>2.55421627</v>
      </c>
      <c r="AD78" s="705">
        <v>-0.0101378222</v>
      </c>
      <c r="AE78" s="705">
        <v>0.0229003271</v>
      </c>
      <c r="AF78" s="705">
        <v>0.00195813392</v>
      </c>
      <c r="AG78" s="705">
        <v>-0.000171553545</v>
      </c>
      <c r="AH78" s="705">
        <v>2.27385738e-5</v>
      </c>
      <c r="AI78" s="709">
        <v>0.2858</v>
      </c>
      <c r="AJ78" s="709">
        <v>0.2352</v>
      </c>
      <c r="AK78" s="709">
        <v>0.622</v>
      </c>
      <c r="AL78" s="709">
        <v>0.2373</v>
      </c>
      <c r="AM78" s="709">
        <v>0.231</v>
      </c>
      <c r="AN78" s="709">
        <v>0.5495</v>
      </c>
      <c r="AO78" s="709">
        <v>0.0058</v>
      </c>
      <c r="AP78" s="709">
        <v>0.0294</v>
      </c>
      <c r="AQ78" s="709">
        <v>-0.0093</v>
      </c>
      <c r="AR78" s="709">
        <v>-0.0095</v>
      </c>
      <c r="AS78" s="714">
        <v>-7.7</v>
      </c>
      <c r="AT78" s="715">
        <v>-7.7</v>
      </c>
      <c r="AU78" s="715">
        <v>-7.6</v>
      </c>
      <c r="AV78" s="715">
        <v>-7.5</v>
      </c>
      <c r="AW78" s="715">
        <v>-7.5</v>
      </c>
      <c r="AX78" s="715">
        <v>-7.4</v>
      </c>
      <c r="AY78" s="715">
        <v>-7.3</v>
      </c>
      <c r="AZ78" s="715">
        <v>-7.2</v>
      </c>
      <c r="BA78" s="715">
        <v>-7.2</v>
      </c>
      <c r="BB78" s="715">
        <v>-7.2</v>
      </c>
      <c r="BC78" s="715">
        <v>-7.2</v>
      </c>
      <c r="BD78" s="715">
        <v>-7.6</v>
      </c>
      <c r="BE78" s="715">
        <v>-7.5</v>
      </c>
      <c r="BF78" s="715">
        <v>-7.5</v>
      </c>
      <c r="BG78" s="715">
        <v>-7.4</v>
      </c>
      <c r="BH78" s="715">
        <v>-7.3</v>
      </c>
      <c r="BI78" s="715">
        <v>-7.1</v>
      </c>
      <c r="BJ78" s="715">
        <v>-7</v>
      </c>
      <c r="BK78" s="715">
        <v>-7</v>
      </c>
      <c r="BL78" s="715">
        <v>-6.9</v>
      </c>
      <c r="BM78" s="715">
        <v>-6.9</v>
      </c>
      <c r="BN78" s="715">
        <v>-6.9</v>
      </c>
      <c r="BO78" s="715">
        <v>-7.1</v>
      </c>
      <c r="BP78" s="715">
        <v>-7.1</v>
      </c>
      <c r="BQ78" s="715">
        <v>-6.9</v>
      </c>
      <c r="BR78" s="715">
        <v>-6.8</v>
      </c>
      <c r="BS78" s="715">
        <v>-6.6</v>
      </c>
      <c r="BT78" s="715">
        <v>-6.5</v>
      </c>
      <c r="BU78" s="715">
        <v>-6.3</v>
      </c>
      <c r="BV78" s="715">
        <v>-6.2</v>
      </c>
      <c r="BW78" s="715">
        <v>-6.1</v>
      </c>
      <c r="BX78" s="715">
        <v>-6.1</v>
      </c>
      <c r="BY78" s="715">
        <v>-6</v>
      </c>
      <c r="BZ78" s="715">
        <v>-7.1</v>
      </c>
      <c r="CA78" s="715">
        <v>-7</v>
      </c>
      <c r="CB78" s="715">
        <v>-6.9</v>
      </c>
      <c r="CC78" s="715">
        <v>-6.7</v>
      </c>
      <c r="CD78" s="715">
        <v>-6.6</v>
      </c>
      <c r="CE78" s="715">
        <v>-6.4</v>
      </c>
      <c r="CF78" s="715">
        <v>-6.3</v>
      </c>
      <c r="CG78" s="715">
        <v>-6.1</v>
      </c>
      <c r="CH78" s="715">
        <v>-6.1</v>
      </c>
      <c r="CI78" s="715">
        <v>-6</v>
      </c>
      <c r="CJ78" s="715">
        <v>-5.9</v>
      </c>
      <c r="CK78" s="715">
        <v>-7</v>
      </c>
      <c r="CL78" s="715">
        <v>-7</v>
      </c>
      <c r="CM78" s="715">
        <v>-6.8</v>
      </c>
      <c r="CN78" s="715">
        <v>-6.7</v>
      </c>
      <c r="CO78" s="715">
        <v>-6.5</v>
      </c>
      <c r="CP78" s="715">
        <v>-6.3</v>
      </c>
      <c r="CQ78" s="715">
        <v>-6.2</v>
      </c>
      <c r="CR78" s="715">
        <v>-6.1</v>
      </c>
      <c r="CS78" s="715">
        <v>-6</v>
      </c>
      <c r="CT78" s="715">
        <v>-5.9</v>
      </c>
      <c r="CU78" s="715">
        <v>-5.8</v>
      </c>
      <c r="CV78" s="715">
        <v>-6.8</v>
      </c>
      <c r="CW78" s="715">
        <v>-6.7</v>
      </c>
      <c r="CX78" s="715">
        <v>-6.5</v>
      </c>
      <c r="CY78" s="715">
        <v>-6.4</v>
      </c>
      <c r="CZ78" s="715">
        <v>-6.2</v>
      </c>
      <c r="DA78" s="715">
        <v>-6</v>
      </c>
      <c r="DB78" s="715">
        <v>-5.8</v>
      </c>
      <c r="DC78" s="715">
        <v>-5.7</v>
      </c>
      <c r="DD78" s="715">
        <v>-5.6</v>
      </c>
      <c r="DE78" s="715">
        <v>-5.5</v>
      </c>
      <c r="DF78" s="715">
        <v>-5.4</v>
      </c>
      <c r="DG78" s="715">
        <v>-6.5</v>
      </c>
      <c r="DH78" s="715">
        <v>-6.4</v>
      </c>
      <c r="DI78" s="715">
        <v>-6.2</v>
      </c>
      <c r="DJ78" s="715">
        <v>-6</v>
      </c>
      <c r="DK78" s="715">
        <v>-5.8</v>
      </c>
      <c r="DL78" s="715">
        <v>-5.6</v>
      </c>
      <c r="DM78" s="715">
        <v>-5.4</v>
      </c>
      <c r="DN78" s="715">
        <v>-5.2</v>
      </c>
      <c r="DO78" s="715">
        <v>-5</v>
      </c>
      <c r="DP78" s="715">
        <v>-4.9</v>
      </c>
      <c r="DQ78" s="715">
        <v>-4.8</v>
      </c>
      <c r="DR78" s="715">
        <v>-5.8</v>
      </c>
      <c r="DS78" s="715">
        <v>-5.6</v>
      </c>
      <c r="DT78" s="715">
        <v>-5.3</v>
      </c>
      <c r="DU78" s="715">
        <v>-5.1</v>
      </c>
      <c r="DV78" s="715">
        <v>-4.8</v>
      </c>
      <c r="DW78" s="715">
        <v>-4.5</v>
      </c>
      <c r="DX78" s="715">
        <v>-4.3</v>
      </c>
      <c r="DY78" s="715">
        <v>-4</v>
      </c>
      <c r="DZ78" s="715">
        <v>-3.8</v>
      </c>
      <c r="EA78" s="715">
        <v>-3.6</v>
      </c>
      <c r="EB78" s="715">
        <v>-3.4</v>
      </c>
      <c r="EC78" s="715">
        <v>-5.7</v>
      </c>
      <c r="ED78" s="715">
        <v>-5.5</v>
      </c>
      <c r="EE78" s="715">
        <v>-5.2</v>
      </c>
      <c r="EF78" s="715">
        <v>-4.9</v>
      </c>
      <c r="EG78" s="715">
        <v>-4.7</v>
      </c>
      <c r="EH78" s="715">
        <v>-4.4</v>
      </c>
      <c r="EI78" s="715">
        <v>-4.1</v>
      </c>
      <c r="EJ78" s="715">
        <v>-3.9</v>
      </c>
      <c r="EK78" s="715">
        <v>-3.6</v>
      </c>
      <c r="EL78" s="715">
        <v>-3.4</v>
      </c>
      <c r="EM78" s="715">
        <v>-3.2</v>
      </c>
      <c r="EN78" s="715">
        <v>-4.6</v>
      </c>
      <c r="EO78" s="715">
        <v>-4.3</v>
      </c>
      <c r="EP78" s="715">
        <v>-4</v>
      </c>
      <c r="EQ78" s="715">
        <v>-3.6</v>
      </c>
      <c r="ER78" s="715">
        <v>-3.2</v>
      </c>
      <c r="ES78" s="715">
        <v>-2.8</v>
      </c>
      <c r="ET78" s="715">
        <v>-2.5</v>
      </c>
      <c r="EU78" s="715">
        <v>-2.1</v>
      </c>
      <c r="EV78" s="715">
        <v>-1.8</v>
      </c>
      <c r="EW78" s="715">
        <v>-1.5</v>
      </c>
      <c r="EX78" s="715">
        <v>-1.3</v>
      </c>
      <c r="EY78" s="715">
        <v>-9.6</v>
      </c>
      <c r="EZ78" s="715">
        <v>-9.1</v>
      </c>
      <c r="FA78" s="715">
        <v>-8.7</v>
      </c>
      <c r="FB78" s="715">
        <v>-8.3</v>
      </c>
      <c r="FC78" s="715">
        <v>-7.9</v>
      </c>
      <c r="FD78" s="715">
        <v>-7.6</v>
      </c>
      <c r="FE78" s="715">
        <v>-7.3</v>
      </c>
      <c r="FF78" s="715">
        <v>-7.1</v>
      </c>
      <c r="FG78" s="715">
        <v>-6.8</v>
      </c>
      <c r="FH78" s="715">
        <v>-6.7</v>
      </c>
      <c r="FI78" s="715">
        <v>-6.5</v>
      </c>
      <c r="FJ78" s="723">
        <v>-1.94e-5</v>
      </c>
      <c r="FK78" s="723">
        <v>1.35e-8</v>
      </c>
      <c r="FL78" s="723">
        <v>-3.34e-11</v>
      </c>
      <c r="FM78" s="723">
        <v>1.01e-6</v>
      </c>
      <c r="FN78" s="723">
        <v>1.52e-9</v>
      </c>
      <c r="FO78" s="723">
        <v>0.296</v>
      </c>
      <c r="FP78" s="729">
        <v>1</v>
      </c>
      <c r="FQ78" s="729">
        <v>2</v>
      </c>
      <c r="FR78" s="729">
        <v>2</v>
      </c>
      <c r="FS78" s="729">
        <v>4</v>
      </c>
      <c r="FT78" s="729">
        <v>1</v>
      </c>
      <c r="FU78" s="729">
        <v>1</v>
      </c>
      <c r="FV78" s="681">
        <v>1</v>
      </c>
      <c r="FW78" s="729"/>
      <c r="FX78" s="729"/>
      <c r="FY78" s="729"/>
      <c r="FZ78" s="774">
        <v>428</v>
      </c>
      <c r="GA78" s="774">
        <v>470</v>
      </c>
      <c r="GB78" s="681">
        <v>393</v>
      </c>
      <c r="GC78" s="681">
        <v>426</v>
      </c>
      <c r="GD78" s="747">
        <v>0.84</v>
      </c>
      <c r="GE78" s="729"/>
      <c r="GF78" s="681">
        <v>141</v>
      </c>
      <c r="GG78" s="681">
        <v>184</v>
      </c>
      <c r="GH78" s="681">
        <v>131</v>
      </c>
      <c r="GI78" s="681">
        <v>132</v>
      </c>
      <c r="GJ78" s="681">
        <v>132</v>
      </c>
      <c r="GK78" s="681">
        <v>134</v>
      </c>
      <c r="GL78" s="681">
        <v>138</v>
      </c>
      <c r="GM78" s="681">
        <v>138</v>
      </c>
      <c r="GN78" s="681">
        <v>139</v>
      </c>
      <c r="GO78" s="681">
        <v>143</v>
      </c>
      <c r="GP78" s="681">
        <v>144</v>
      </c>
      <c r="GQ78" s="681">
        <v>146</v>
      </c>
      <c r="GR78" s="681">
        <v>150</v>
      </c>
      <c r="GS78" s="681">
        <v>151</v>
      </c>
      <c r="GT78" s="681">
        <v>155</v>
      </c>
      <c r="GU78" s="681">
        <v>156</v>
      </c>
      <c r="GV78" s="681">
        <v>159</v>
      </c>
      <c r="GW78" s="681">
        <v>162</v>
      </c>
      <c r="GX78" s="681">
        <v>163</v>
      </c>
      <c r="GY78" s="681">
        <v>166</v>
      </c>
      <c r="GZ78" s="681">
        <v>169</v>
      </c>
      <c r="HA78" s="681">
        <v>172</v>
      </c>
      <c r="HB78" s="681">
        <v>176</v>
      </c>
      <c r="HC78" s="681"/>
      <c r="HD78" s="750">
        <v>180</v>
      </c>
      <c r="HE78" s="681"/>
      <c r="HF78" s="681">
        <v>333</v>
      </c>
      <c r="HG78" s="681">
        <v>166</v>
      </c>
      <c r="HH78" s="714">
        <v>61.8</v>
      </c>
      <c r="HI78" s="714">
        <v>24.4</v>
      </c>
      <c r="HJ78" s="753">
        <v>0.266</v>
      </c>
      <c r="HK78" s="681">
        <v>49</v>
      </c>
      <c r="HL78" s="685">
        <v>1.95</v>
      </c>
      <c r="HM78" s="747">
        <v>2.81</v>
      </c>
      <c r="HN78" s="729" t="s">
        <v>797</v>
      </c>
      <c r="HO78" s="729" t="s">
        <v>798</v>
      </c>
      <c r="HP78" s="714">
        <v>-0.4</v>
      </c>
      <c r="HQ78" s="754">
        <v>0.923</v>
      </c>
      <c r="HR78" s="754">
        <v>0.944</v>
      </c>
      <c r="HS78" s="754">
        <v>0.966</v>
      </c>
      <c r="HT78" s="754">
        <v>0.985</v>
      </c>
      <c r="HU78" s="754">
        <v>0.998</v>
      </c>
      <c r="HV78" s="754">
        <v>0.999</v>
      </c>
      <c r="HW78" s="754">
        <v>0.999</v>
      </c>
      <c r="HX78" s="754">
        <v>0.999</v>
      </c>
      <c r="HY78" s="754">
        <v>0.999</v>
      </c>
      <c r="HZ78" s="754">
        <v>0.999</v>
      </c>
      <c r="IA78" s="754">
        <v>0.999</v>
      </c>
      <c r="IB78" s="754">
        <v>0.999</v>
      </c>
      <c r="IC78" s="754">
        <v>0.999</v>
      </c>
      <c r="ID78" s="754">
        <v>0.999</v>
      </c>
      <c r="IE78" s="754">
        <v>0.999</v>
      </c>
      <c r="IF78" s="754">
        <v>0.999</v>
      </c>
      <c r="IG78" s="754">
        <v>0.998</v>
      </c>
      <c r="IH78" s="754">
        <v>0.997</v>
      </c>
      <c r="II78" s="754">
        <v>0.994</v>
      </c>
      <c r="IJ78" s="754">
        <v>0.992</v>
      </c>
      <c r="IK78" s="754">
        <v>0.988</v>
      </c>
      <c r="IL78" s="754">
        <v>0.984</v>
      </c>
      <c r="IM78" s="754">
        <v>0.973</v>
      </c>
      <c r="IN78" s="754">
        <v>0.932</v>
      </c>
      <c r="IO78" s="754">
        <v>0.861</v>
      </c>
      <c r="IP78" s="754">
        <v>0.651</v>
      </c>
      <c r="IQ78" s="754">
        <v>0.235</v>
      </c>
      <c r="IR78" s="754"/>
      <c r="IS78" s="754"/>
      <c r="IT78" s="754"/>
      <c r="IU78" s="754"/>
      <c r="IV78" s="754"/>
      <c r="IW78" s="754"/>
      <c r="IX78" s="754"/>
      <c r="IY78" s="754"/>
      <c r="IZ78" s="754"/>
      <c r="JA78" s="754">
        <v>0.853</v>
      </c>
      <c r="JB78" s="754">
        <v>0.891</v>
      </c>
      <c r="JC78" s="754">
        <v>0.933</v>
      </c>
      <c r="JD78" s="754">
        <v>0.97</v>
      </c>
      <c r="JE78" s="754">
        <v>0.995</v>
      </c>
      <c r="JF78" s="754">
        <v>0.998</v>
      </c>
      <c r="JG78" s="754">
        <v>0.998</v>
      </c>
      <c r="JH78" s="754">
        <v>0.998</v>
      </c>
      <c r="JI78" s="754">
        <v>0.998</v>
      </c>
      <c r="JJ78" s="754">
        <v>0.998</v>
      </c>
      <c r="JK78" s="754">
        <v>0.998</v>
      </c>
      <c r="JL78" s="754">
        <v>0.998</v>
      </c>
      <c r="JM78" s="754">
        <v>0.998</v>
      </c>
      <c r="JN78" s="754">
        <v>0.998</v>
      </c>
      <c r="JO78" s="754">
        <v>0.998</v>
      </c>
      <c r="JP78" s="754">
        <v>0.998</v>
      </c>
      <c r="JQ78" s="754">
        <v>0.997</v>
      </c>
      <c r="JR78" s="754">
        <v>0.994</v>
      </c>
      <c r="JS78" s="754">
        <v>0.988</v>
      </c>
      <c r="JT78" s="754">
        <v>0.984</v>
      </c>
      <c r="JU78" s="754">
        <v>0.977</v>
      </c>
      <c r="JV78" s="754">
        <v>0.969</v>
      </c>
      <c r="JW78" s="754">
        <v>0.948</v>
      </c>
      <c r="JX78" s="754">
        <v>0.869</v>
      </c>
      <c r="JY78" s="754">
        <v>0.741</v>
      </c>
      <c r="JZ78" s="754">
        <v>0.424</v>
      </c>
      <c r="KA78" s="754">
        <v>0.055</v>
      </c>
      <c r="KB78" s="754"/>
      <c r="KC78" s="754"/>
      <c r="KD78" s="754"/>
      <c r="KE78" s="754"/>
      <c r="KF78" s="754"/>
      <c r="KG78" s="754"/>
      <c r="KH78" s="754"/>
      <c r="KI78" s="754"/>
      <c r="KJ78" s="754"/>
      <c r="KK78" s="765" t="s">
        <v>281</v>
      </c>
      <c r="KL78" s="738">
        <v>160</v>
      </c>
      <c r="KM78" s="738">
        <v>450</v>
      </c>
      <c r="KN78" s="646" t="s">
        <v>282</v>
      </c>
      <c r="KO78" s="646" t="s">
        <v>796</v>
      </c>
      <c r="KP78" s="680">
        <v>622307</v>
      </c>
      <c r="KQ78" s="646"/>
      <c r="KR78" s="646"/>
      <c r="KS78" s="766"/>
      <c r="KT78" s="750"/>
      <c r="KU78" s="769" t="s">
        <v>799</v>
      </c>
      <c r="KV78" s="770">
        <v>624301</v>
      </c>
      <c r="KW78" s="766"/>
      <c r="KX78" s="750"/>
      <c r="KY78" s="771"/>
      <c r="KZ78" s="750"/>
    </row>
    <row r="79" s="628" customFormat="1" customHeight="1" spans="1:312">
      <c r="A79" s="682" t="s">
        <v>300</v>
      </c>
      <c r="B79" s="683">
        <v>75</v>
      </c>
      <c r="C79" s="689" t="s">
        <v>800</v>
      </c>
      <c r="D79" s="680">
        <v>689312</v>
      </c>
      <c r="E79" s="685">
        <v>31.16</v>
      </c>
      <c r="F79" s="685">
        <v>30.92</v>
      </c>
      <c r="G79" s="688">
        <v>0.022109</v>
      </c>
      <c r="H79" s="686">
        <v>0.02245</v>
      </c>
      <c r="I79" s="696">
        <v>1.6451</v>
      </c>
      <c r="J79" s="696">
        <v>1.65089</v>
      </c>
      <c r="K79" s="696">
        <v>1.65759</v>
      </c>
      <c r="L79" s="696">
        <v>1.66444</v>
      </c>
      <c r="M79" s="696">
        <v>1.66585</v>
      </c>
      <c r="N79" s="696">
        <v>1.66704</v>
      </c>
      <c r="O79" s="696">
        <v>1.67195</v>
      </c>
      <c r="P79" s="696">
        <v>1.67555</v>
      </c>
      <c r="Q79" s="697">
        <v>1.67898</v>
      </c>
      <c r="R79" s="697">
        <v>1.68251</v>
      </c>
      <c r="S79" s="697">
        <v>1.68351</v>
      </c>
      <c r="T79" s="701">
        <v>1.68445</v>
      </c>
      <c r="U79" s="697">
        <v>1.68874</v>
      </c>
      <c r="V79" s="697">
        <v>1.68893</v>
      </c>
      <c r="W79" s="697">
        <v>1.69416</v>
      </c>
      <c r="X79" s="697">
        <v>1.70462</v>
      </c>
      <c r="Y79" s="697">
        <v>1.70596</v>
      </c>
      <c r="Z79" s="697">
        <v>1.71786</v>
      </c>
      <c r="AA79" s="697">
        <v>1.72964</v>
      </c>
      <c r="AB79" s="697">
        <v>1.75182</v>
      </c>
      <c r="AC79" s="704">
        <v>2.76089226</v>
      </c>
      <c r="AD79" s="705">
        <v>-0.0110845008</v>
      </c>
      <c r="AE79" s="705">
        <v>0.0289559966</v>
      </c>
      <c r="AF79" s="705">
        <v>0.00151547191</v>
      </c>
      <c r="AG79" s="705">
        <v>-8.76539698e-5</v>
      </c>
      <c r="AH79" s="705">
        <v>1.38043475e-5</v>
      </c>
      <c r="AI79" s="709">
        <v>0.2904</v>
      </c>
      <c r="AJ79" s="709">
        <v>0.2366</v>
      </c>
      <c r="AK79" s="709">
        <v>0.5989</v>
      </c>
      <c r="AL79" s="709">
        <v>0.2414</v>
      </c>
      <c r="AM79" s="709">
        <v>0.233</v>
      </c>
      <c r="AN79" s="709">
        <v>0.5301</v>
      </c>
      <c r="AO79" s="709">
        <v>0.0001</v>
      </c>
      <c r="AP79" s="709">
        <v>0.007</v>
      </c>
      <c r="AQ79" s="709">
        <v>0.0086</v>
      </c>
      <c r="AR79" s="709">
        <v>0.0024</v>
      </c>
      <c r="AS79" s="714">
        <v>0.7</v>
      </c>
      <c r="AT79" s="714">
        <v>0.7</v>
      </c>
      <c r="AU79" s="714">
        <v>0.8</v>
      </c>
      <c r="AV79" s="714">
        <v>0.7</v>
      </c>
      <c r="AW79" s="714">
        <v>0.7</v>
      </c>
      <c r="AX79" s="714">
        <v>0.7</v>
      </c>
      <c r="AY79" s="714">
        <v>0.8</v>
      </c>
      <c r="AZ79" s="714">
        <v>0.8</v>
      </c>
      <c r="BA79" s="714">
        <v>0.9</v>
      </c>
      <c r="BB79" s="714">
        <v>1</v>
      </c>
      <c r="BC79" s="714">
        <v>1.2</v>
      </c>
      <c r="BD79" s="714">
        <v>1.2</v>
      </c>
      <c r="BE79" s="714">
        <v>1.2</v>
      </c>
      <c r="BF79" s="714">
        <v>1.2</v>
      </c>
      <c r="BG79" s="714">
        <v>1.3</v>
      </c>
      <c r="BH79" s="714">
        <v>1.2</v>
      </c>
      <c r="BI79" s="714">
        <v>1.3</v>
      </c>
      <c r="BJ79" s="714">
        <v>1.4</v>
      </c>
      <c r="BK79" s="714">
        <v>1.5</v>
      </c>
      <c r="BL79" s="714">
        <v>1.6</v>
      </c>
      <c r="BM79" s="714">
        <v>1.7</v>
      </c>
      <c r="BN79" s="714">
        <v>1.8</v>
      </c>
      <c r="BO79" s="714">
        <v>1.6</v>
      </c>
      <c r="BP79" s="714">
        <v>1.6</v>
      </c>
      <c r="BQ79" s="714">
        <v>1.6</v>
      </c>
      <c r="BR79" s="714">
        <v>1.7</v>
      </c>
      <c r="BS79" s="714">
        <v>1.7</v>
      </c>
      <c r="BT79" s="714">
        <v>1.8</v>
      </c>
      <c r="BU79" s="714">
        <v>1.8</v>
      </c>
      <c r="BV79" s="714">
        <v>1.9</v>
      </c>
      <c r="BW79" s="714">
        <v>2</v>
      </c>
      <c r="BX79" s="714">
        <v>2.1</v>
      </c>
      <c r="BY79" s="714">
        <v>2.2</v>
      </c>
      <c r="BZ79" s="714">
        <v>1.6</v>
      </c>
      <c r="CA79" s="714">
        <v>1.6</v>
      </c>
      <c r="CB79" s="714">
        <v>1.6</v>
      </c>
      <c r="CC79" s="714">
        <v>1.7</v>
      </c>
      <c r="CD79" s="714">
        <v>1.8</v>
      </c>
      <c r="CE79" s="714">
        <v>1.8</v>
      </c>
      <c r="CF79" s="714">
        <v>1.9</v>
      </c>
      <c r="CG79" s="714">
        <v>2</v>
      </c>
      <c r="CH79" s="714">
        <v>2.1</v>
      </c>
      <c r="CI79" s="714">
        <v>2.2</v>
      </c>
      <c r="CJ79" s="714">
        <v>2.3</v>
      </c>
      <c r="CK79" s="714">
        <v>1.7</v>
      </c>
      <c r="CL79" s="715">
        <v>1.7</v>
      </c>
      <c r="CM79" s="715">
        <v>1.7</v>
      </c>
      <c r="CN79" s="715">
        <v>1.7</v>
      </c>
      <c r="CO79" s="715">
        <v>1.8</v>
      </c>
      <c r="CP79" s="715">
        <v>1.8</v>
      </c>
      <c r="CQ79" s="715">
        <v>1.9</v>
      </c>
      <c r="CR79" s="714">
        <v>2.1</v>
      </c>
      <c r="CS79" s="714">
        <v>2.2</v>
      </c>
      <c r="CT79" s="714">
        <v>2.3</v>
      </c>
      <c r="CU79" s="714">
        <v>2.4</v>
      </c>
      <c r="CV79" s="714">
        <v>1.9</v>
      </c>
      <c r="CW79" s="715">
        <v>2</v>
      </c>
      <c r="CX79" s="715">
        <v>2.1</v>
      </c>
      <c r="CY79" s="715">
        <v>2.1</v>
      </c>
      <c r="CZ79" s="715">
        <v>2.1</v>
      </c>
      <c r="DA79" s="715">
        <v>2.3</v>
      </c>
      <c r="DB79" s="715">
        <v>2.4</v>
      </c>
      <c r="DC79" s="714">
        <v>2.6</v>
      </c>
      <c r="DD79" s="714">
        <v>2.8</v>
      </c>
      <c r="DE79" s="714">
        <v>2.8</v>
      </c>
      <c r="DF79" s="714">
        <v>3</v>
      </c>
      <c r="DG79" s="714">
        <v>2.2</v>
      </c>
      <c r="DH79" s="715">
        <v>2.4</v>
      </c>
      <c r="DI79" s="715">
        <v>2.4</v>
      </c>
      <c r="DJ79" s="715">
        <v>2.4</v>
      </c>
      <c r="DK79" s="715">
        <v>2.5</v>
      </c>
      <c r="DL79" s="715">
        <v>2.5</v>
      </c>
      <c r="DM79" s="715">
        <v>2.7</v>
      </c>
      <c r="DN79" s="714">
        <v>2.9</v>
      </c>
      <c r="DO79" s="714">
        <v>3</v>
      </c>
      <c r="DP79" s="714">
        <v>3.2</v>
      </c>
      <c r="DQ79" s="714">
        <v>3.5</v>
      </c>
      <c r="DR79" s="714">
        <v>3.1</v>
      </c>
      <c r="DS79" s="715">
        <v>3.2</v>
      </c>
      <c r="DT79" s="715">
        <v>3.3</v>
      </c>
      <c r="DU79" s="715">
        <v>3.3</v>
      </c>
      <c r="DV79" s="715">
        <v>3.4</v>
      </c>
      <c r="DW79" s="715">
        <v>3.6</v>
      </c>
      <c r="DX79" s="715">
        <v>3.9</v>
      </c>
      <c r="DY79" s="714">
        <v>4.1</v>
      </c>
      <c r="DZ79" s="714">
        <v>4.3</v>
      </c>
      <c r="EA79" s="714">
        <v>4.3</v>
      </c>
      <c r="EB79" s="714">
        <v>4.5</v>
      </c>
      <c r="EC79" s="714">
        <v>3.1</v>
      </c>
      <c r="ED79" s="715">
        <v>3.2</v>
      </c>
      <c r="EE79" s="715">
        <v>3.3</v>
      </c>
      <c r="EF79" s="715">
        <v>3.4</v>
      </c>
      <c r="EG79" s="715">
        <v>3.5</v>
      </c>
      <c r="EH79" s="715">
        <v>3.7</v>
      </c>
      <c r="EI79" s="715">
        <v>3.9</v>
      </c>
      <c r="EJ79" s="714">
        <v>4.1</v>
      </c>
      <c r="EK79" s="714">
        <v>4.3</v>
      </c>
      <c r="EL79" s="714">
        <v>4.4</v>
      </c>
      <c r="EM79" s="714">
        <v>4.6</v>
      </c>
      <c r="EN79" s="714">
        <v>4.1</v>
      </c>
      <c r="EO79" s="715">
        <v>4.3</v>
      </c>
      <c r="EP79" s="715">
        <v>4.4</v>
      </c>
      <c r="EQ79" s="715">
        <v>4.5</v>
      </c>
      <c r="ER79" s="715">
        <v>4.7</v>
      </c>
      <c r="ES79" s="715">
        <v>4.9</v>
      </c>
      <c r="ET79" s="715">
        <v>5.2</v>
      </c>
      <c r="EU79" s="714">
        <v>5.4</v>
      </c>
      <c r="EV79" s="714">
        <v>5.5</v>
      </c>
      <c r="EW79" s="714">
        <v>5.6</v>
      </c>
      <c r="EX79" s="714">
        <v>5.9</v>
      </c>
      <c r="EY79" s="714">
        <v>-1</v>
      </c>
      <c r="EZ79" s="715">
        <v>-0.6</v>
      </c>
      <c r="FA79" s="715">
        <v>-0.2</v>
      </c>
      <c r="FB79" s="715">
        <v>0</v>
      </c>
      <c r="FC79" s="715">
        <v>0.3</v>
      </c>
      <c r="FD79" s="715">
        <v>0.5</v>
      </c>
      <c r="FE79" s="715">
        <v>0.8</v>
      </c>
      <c r="FF79" s="714">
        <v>1.1</v>
      </c>
      <c r="FG79" s="714">
        <v>1.3</v>
      </c>
      <c r="FH79" s="714">
        <v>1.5</v>
      </c>
      <c r="FI79" s="714">
        <v>1.6</v>
      </c>
      <c r="FJ79" s="723">
        <v>-2.36e-6</v>
      </c>
      <c r="FK79" s="723">
        <v>1.13e-8</v>
      </c>
      <c r="FL79" s="723">
        <v>-1.69e-11</v>
      </c>
      <c r="FM79" s="723">
        <v>9.2e-7</v>
      </c>
      <c r="FN79" s="723">
        <v>8.47e-10</v>
      </c>
      <c r="FO79" s="723">
        <v>0.263</v>
      </c>
      <c r="FP79" s="729">
        <v>1</v>
      </c>
      <c r="FQ79" s="729">
        <v>1</v>
      </c>
      <c r="FR79" s="729">
        <v>1</v>
      </c>
      <c r="FS79" s="729">
        <v>1</v>
      </c>
      <c r="FT79" s="729">
        <v>1</v>
      </c>
      <c r="FU79" s="729">
        <v>1</v>
      </c>
      <c r="FV79" s="681">
        <v>1</v>
      </c>
      <c r="FW79" s="729"/>
      <c r="FX79" s="729"/>
      <c r="FY79" s="729"/>
      <c r="FZ79" s="774">
        <v>597</v>
      </c>
      <c r="GA79" s="774">
        <v>631</v>
      </c>
      <c r="GB79" s="681">
        <v>523</v>
      </c>
      <c r="GC79" s="681">
        <v>561</v>
      </c>
      <c r="GD79" s="747">
        <v>1.11</v>
      </c>
      <c r="GE79" s="729"/>
      <c r="GF79" s="681">
        <v>89</v>
      </c>
      <c r="GG79" s="681">
        <v>109</v>
      </c>
      <c r="GH79" s="681">
        <v>79</v>
      </c>
      <c r="GI79" s="681">
        <v>82</v>
      </c>
      <c r="GJ79" s="681">
        <v>84</v>
      </c>
      <c r="GK79" s="681">
        <v>87</v>
      </c>
      <c r="GL79" s="681">
        <v>89</v>
      </c>
      <c r="GM79" s="681">
        <v>90</v>
      </c>
      <c r="GN79" s="681">
        <v>91</v>
      </c>
      <c r="GO79" s="681">
        <v>92</v>
      </c>
      <c r="GP79" s="681">
        <v>93</v>
      </c>
      <c r="GQ79" s="681">
        <v>94</v>
      </c>
      <c r="GR79" s="681">
        <v>94</v>
      </c>
      <c r="GS79" s="681">
        <v>95</v>
      </c>
      <c r="GT79" s="681">
        <v>95</v>
      </c>
      <c r="GU79" s="681">
        <v>96</v>
      </c>
      <c r="GV79" s="681">
        <v>97</v>
      </c>
      <c r="GW79" s="681">
        <v>98</v>
      </c>
      <c r="GX79" s="681">
        <v>99</v>
      </c>
      <c r="GY79" s="681">
        <v>100</v>
      </c>
      <c r="GZ79" s="681">
        <v>102</v>
      </c>
      <c r="HA79" s="681">
        <v>103</v>
      </c>
      <c r="HB79" s="681">
        <v>104</v>
      </c>
      <c r="HC79" s="681"/>
      <c r="HD79" s="750">
        <v>200</v>
      </c>
      <c r="HE79" s="681"/>
      <c r="HF79" s="681">
        <v>545</v>
      </c>
      <c r="HG79" s="681">
        <v>139</v>
      </c>
      <c r="HH79" s="714">
        <v>85.4</v>
      </c>
      <c r="HI79" s="714">
        <v>34.7</v>
      </c>
      <c r="HJ79" s="753">
        <v>0.232</v>
      </c>
      <c r="HK79" s="681">
        <v>82</v>
      </c>
      <c r="HL79" s="685">
        <v>2.71</v>
      </c>
      <c r="HM79" s="747">
        <v>2.93</v>
      </c>
      <c r="HN79" s="729" t="s">
        <v>801</v>
      </c>
      <c r="HO79" s="729" t="s">
        <v>802</v>
      </c>
      <c r="HP79" s="714">
        <v>-0.4</v>
      </c>
      <c r="HQ79" s="753">
        <v>0.944</v>
      </c>
      <c r="HR79" s="753">
        <v>0.966</v>
      </c>
      <c r="HS79" s="753">
        <v>0.993</v>
      </c>
      <c r="HT79" s="753">
        <v>0.998</v>
      </c>
      <c r="HU79" s="753">
        <v>0.998</v>
      </c>
      <c r="HV79" s="753">
        <v>0.998</v>
      </c>
      <c r="HW79" s="753">
        <v>0.998</v>
      </c>
      <c r="HX79" s="753">
        <v>0.998</v>
      </c>
      <c r="HY79" s="753">
        <v>0.998</v>
      </c>
      <c r="HZ79" s="753">
        <v>0.998</v>
      </c>
      <c r="IA79" s="753">
        <v>0.998</v>
      </c>
      <c r="IB79" s="753">
        <v>0.998</v>
      </c>
      <c r="IC79" s="753">
        <v>0.998</v>
      </c>
      <c r="ID79" s="753">
        <v>0.998</v>
      </c>
      <c r="IE79" s="753">
        <v>0.998</v>
      </c>
      <c r="IF79" s="753">
        <v>0.998</v>
      </c>
      <c r="IG79" s="753">
        <v>0.998</v>
      </c>
      <c r="IH79" s="753">
        <v>0.998</v>
      </c>
      <c r="II79" s="753">
        <v>0.996</v>
      </c>
      <c r="IJ79" s="753">
        <v>0.994</v>
      </c>
      <c r="IK79" s="753">
        <v>0.992</v>
      </c>
      <c r="IL79" s="753">
        <v>0.99</v>
      </c>
      <c r="IM79" s="753">
        <v>0.985</v>
      </c>
      <c r="IN79" s="753">
        <v>0.971</v>
      </c>
      <c r="IO79" s="753">
        <v>0.941</v>
      </c>
      <c r="IP79" s="753">
        <v>0.861</v>
      </c>
      <c r="IQ79" s="753">
        <v>0.652</v>
      </c>
      <c r="IR79" s="753">
        <v>0.256</v>
      </c>
      <c r="IS79" s="753"/>
      <c r="IT79" s="753"/>
      <c r="IU79" s="753"/>
      <c r="IV79" s="753"/>
      <c r="IW79" s="753"/>
      <c r="IX79" s="753"/>
      <c r="IY79" s="753"/>
      <c r="IZ79" s="753"/>
      <c r="JA79" s="753">
        <v>0.89</v>
      </c>
      <c r="JB79" s="753">
        <v>0.933</v>
      </c>
      <c r="JC79" s="753">
        <v>0.986</v>
      </c>
      <c r="JD79" s="753">
        <v>0.996</v>
      </c>
      <c r="JE79" s="753">
        <v>0.996</v>
      </c>
      <c r="JF79" s="753">
        <v>0.996</v>
      </c>
      <c r="JG79" s="753">
        <v>0.996</v>
      </c>
      <c r="JH79" s="753">
        <v>0.996</v>
      </c>
      <c r="JI79" s="753">
        <v>0.996</v>
      </c>
      <c r="JJ79" s="753">
        <v>0.996</v>
      </c>
      <c r="JK79" s="753">
        <v>0.996</v>
      </c>
      <c r="JL79" s="753">
        <v>0.996</v>
      </c>
      <c r="JM79" s="753">
        <v>0.996</v>
      </c>
      <c r="JN79" s="753">
        <v>0.996</v>
      </c>
      <c r="JO79" s="753">
        <v>0.996</v>
      </c>
      <c r="JP79" s="753">
        <v>0.996</v>
      </c>
      <c r="JQ79" s="753">
        <v>0.996</v>
      </c>
      <c r="JR79" s="753">
        <v>0.996</v>
      </c>
      <c r="JS79" s="753">
        <v>0.992</v>
      </c>
      <c r="JT79" s="753">
        <v>0.988</v>
      </c>
      <c r="JU79" s="753">
        <v>0.984</v>
      </c>
      <c r="JV79" s="753">
        <v>0.98</v>
      </c>
      <c r="JW79" s="753">
        <v>0.97</v>
      </c>
      <c r="JX79" s="753">
        <v>0.931</v>
      </c>
      <c r="JY79" s="753">
        <v>0.879</v>
      </c>
      <c r="JZ79" s="753">
        <v>0.741</v>
      </c>
      <c r="KA79" s="753">
        <v>0.427</v>
      </c>
      <c r="KB79" s="753">
        <v>0.075</v>
      </c>
      <c r="KC79" s="753"/>
      <c r="KD79" s="753"/>
      <c r="KE79" s="753"/>
      <c r="KF79" s="753"/>
      <c r="KG79" s="753"/>
      <c r="KH79" s="753"/>
      <c r="KI79" s="753"/>
      <c r="KJ79" s="753"/>
      <c r="KK79" s="765" t="s">
        <v>281</v>
      </c>
      <c r="KL79" s="738">
        <v>32</v>
      </c>
      <c r="KM79" s="738">
        <v>94</v>
      </c>
      <c r="KN79" s="646" t="s">
        <v>282</v>
      </c>
      <c r="KO79" s="646" t="s">
        <v>800</v>
      </c>
      <c r="KP79" s="680">
        <v>689312</v>
      </c>
      <c r="KQ79" s="766" t="s">
        <v>803</v>
      </c>
      <c r="KR79" s="750" t="s">
        <v>804</v>
      </c>
      <c r="KS79" s="769" t="s">
        <v>800</v>
      </c>
      <c r="KT79" s="770" t="s">
        <v>805</v>
      </c>
      <c r="KU79" s="766" t="s">
        <v>806</v>
      </c>
      <c r="KV79" s="750">
        <v>689312</v>
      </c>
      <c r="KW79" s="771" t="s">
        <v>807</v>
      </c>
      <c r="KX79" s="750" t="s">
        <v>805</v>
      </c>
      <c r="KY79" s="769" t="s">
        <v>808</v>
      </c>
      <c r="KZ79" s="770" t="s">
        <v>809</v>
      </c>
    </row>
    <row r="80" s="628" customFormat="1" customHeight="1" spans="1:312">
      <c r="A80" s="682" t="s">
        <v>374</v>
      </c>
      <c r="B80" s="683">
        <v>76</v>
      </c>
      <c r="C80" s="689" t="s">
        <v>810</v>
      </c>
      <c r="D80" s="680">
        <v>699301</v>
      </c>
      <c r="E80" s="685">
        <v>30.05</v>
      </c>
      <c r="F80" s="685">
        <v>29.81</v>
      </c>
      <c r="G80" s="688">
        <v>0.023259</v>
      </c>
      <c r="H80" s="686">
        <v>0.023628</v>
      </c>
      <c r="I80" s="696">
        <v>1.65368</v>
      </c>
      <c r="J80" s="696">
        <v>1.65957</v>
      </c>
      <c r="K80" s="696">
        <v>1.6664</v>
      </c>
      <c r="L80" s="696">
        <v>1.67343</v>
      </c>
      <c r="M80" s="696">
        <v>1.67487</v>
      </c>
      <c r="N80" s="696">
        <v>1.6761</v>
      </c>
      <c r="O80" s="696">
        <v>1.68119</v>
      </c>
      <c r="P80" s="696">
        <v>1.68494</v>
      </c>
      <c r="Q80" s="697">
        <v>1.68852</v>
      </c>
      <c r="R80" s="697">
        <v>1.69221</v>
      </c>
      <c r="S80" s="697">
        <v>1.69326</v>
      </c>
      <c r="T80" s="701">
        <v>1.69425</v>
      </c>
      <c r="U80" s="697">
        <v>1.69875</v>
      </c>
      <c r="V80" s="697">
        <v>1.69894</v>
      </c>
      <c r="W80" s="697">
        <v>1.70444</v>
      </c>
      <c r="X80" s="697">
        <v>1.71547</v>
      </c>
      <c r="Y80" s="697">
        <v>1.71689</v>
      </c>
      <c r="Z80" s="697">
        <v>1.72948</v>
      </c>
      <c r="AA80" s="697">
        <v>1.74204</v>
      </c>
      <c r="AB80" s="697">
        <v>1.7659</v>
      </c>
      <c r="AC80" s="704">
        <v>2.7902692</v>
      </c>
      <c r="AD80" s="705">
        <v>-0.0113154551</v>
      </c>
      <c r="AE80" s="705">
        <v>0.0298537059</v>
      </c>
      <c r="AF80" s="705">
        <v>0.00185548133</v>
      </c>
      <c r="AG80" s="705">
        <v>-0.000133930426</v>
      </c>
      <c r="AH80" s="705">
        <v>1.81714166e-5</v>
      </c>
      <c r="AI80" s="709">
        <v>0.2894</v>
      </c>
      <c r="AJ80" s="709">
        <v>0.2365</v>
      </c>
      <c r="AK80" s="709">
        <v>0.6023</v>
      </c>
      <c r="AL80" s="709">
        <v>0.2404</v>
      </c>
      <c r="AM80" s="709">
        <v>0.2328</v>
      </c>
      <c r="AN80" s="709">
        <v>0.5328</v>
      </c>
      <c r="AO80" s="709">
        <v>0.0006</v>
      </c>
      <c r="AP80" s="709">
        <v>0.0087</v>
      </c>
      <c r="AQ80" s="709">
        <v>0.0069</v>
      </c>
      <c r="AR80" s="709">
        <v>0.0013</v>
      </c>
      <c r="AS80" s="714">
        <v>0.4</v>
      </c>
      <c r="AT80" s="714">
        <v>0.3</v>
      </c>
      <c r="AU80" s="714">
        <v>0.4</v>
      </c>
      <c r="AV80" s="714">
        <v>0.4</v>
      </c>
      <c r="AW80" s="714">
        <v>0.4</v>
      </c>
      <c r="AX80" s="714">
        <v>0.6</v>
      </c>
      <c r="AY80" s="714">
        <v>0.6</v>
      </c>
      <c r="AZ80" s="714">
        <v>0.6</v>
      </c>
      <c r="BA80" s="714">
        <v>0.7</v>
      </c>
      <c r="BB80" s="714">
        <v>0.8</v>
      </c>
      <c r="BC80" s="714">
        <v>0.9</v>
      </c>
      <c r="BD80" s="714">
        <v>0.8</v>
      </c>
      <c r="BE80" s="714">
        <v>0.8</v>
      </c>
      <c r="BF80" s="714">
        <v>0.8</v>
      </c>
      <c r="BG80" s="714">
        <v>0.9</v>
      </c>
      <c r="BH80" s="714">
        <v>1</v>
      </c>
      <c r="BI80" s="714">
        <v>1.1</v>
      </c>
      <c r="BJ80" s="714">
        <v>1.2</v>
      </c>
      <c r="BK80" s="714">
        <v>1.3</v>
      </c>
      <c r="BL80" s="714">
        <v>1.4</v>
      </c>
      <c r="BM80" s="714">
        <v>1.5</v>
      </c>
      <c r="BN80" s="714">
        <v>1.5</v>
      </c>
      <c r="BO80" s="714">
        <v>1.1</v>
      </c>
      <c r="BP80" s="714">
        <v>1.1</v>
      </c>
      <c r="BQ80" s="714">
        <v>1.2</v>
      </c>
      <c r="BR80" s="714">
        <v>1.3</v>
      </c>
      <c r="BS80" s="714">
        <v>1.4</v>
      </c>
      <c r="BT80" s="714">
        <v>1.5</v>
      </c>
      <c r="BU80" s="714">
        <v>1.6</v>
      </c>
      <c r="BV80" s="714">
        <v>1.7</v>
      </c>
      <c r="BW80" s="714">
        <v>1.8</v>
      </c>
      <c r="BX80" s="714">
        <v>1.9</v>
      </c>
      <c r="BY80" s="714">
        <v>2</v>
      </c>
      <c r="BZ80" s="714">
        <v>1.1</v>
      </c>
      <c r="CA80" s="714">
        <v>1.2</v>
      </c>
      <c r="CB80" s="714">
        <v>1.3</v>
      </c>
      <c r="CC80" s="714">
        <v>1.3</v>
      </c>
      <c r="CD80" s="714">
        <v>1.4</v>
      </c>
      <c r="CE80" s="714">
        <v>1.5</v>
      </c>
      <c r="CF80" s="714">
        <v>1.6</v>
      </c>
      <c r="CG80" s="714">
        <v>1.8</v>
      </c>
      <c r="CH80" s="714">
        <v>1.9</v>
      </c>
      <c r="CI80" s="714">
        <v>1.9</v>
      </c>
      <c r="CJ80" s="714">
        <v>2</v>
      </c>
      <c r="CK80" s="714">
        <v>1.2</v>
      </c>
      <c r="CL80" s="715">
        <v>1.3</v>
      </c>
      <c r="CM80" s="715">
        <v>1.3</v>
      </c>
      <c r="CN80" s="715">
        <v>1.4</v>
      </c>
      <c r="CO80" s="715">
        <v>1.5</v>
      </c>
      <c r="CP80" s="715">
        <v>1.6</v>
      </c>
      <c r="CQ80" s="715">
        <v>1.7</v>
      </c>
      <c r="CR80" s="714">
        <v>1.8</v>
      </c>
      <c r="CS80" s="714">
        <v>1.9</v>
      </c>
      <c r="CT80" s="714">
        <v>2</v>
      </c>
      <c r="CU80" s="714">
        <v>2.1</v>
      </c>
      <c r="CV80" s="714">
        <v>1.5</v>
      </c>
      <c r="CW80" s="715">
        <v>1.6</v>
      </c>
      <c r="CX80" s="715">
        <v>1.7</v>
      </c>
      <c r="CY80" s="715">
        <v>1.7</v>
      </c>
      <c r="CZ80" s="715">
        <v>1.8</v>
      </c>
      <c r="DA80" s="715">
        <v>2</v>
      </c>
      <c r="DB80" s="715">
        <v>2.1</v>
      </c>
      <c r="DC80" s="714">
        <v>2.3</v>
      </c>
      <c r="DD80" s="714">
        <v>2.5</v>
      </c>
      <c r="DE80" s="714">
        <v>2.6</v>
      </c>
      <c r="DF80" s="714">
        <v>2.7</v>
      </c>
      <c r="DG80" s="714">
        <v>1.9</v>
      </c>
      <c r="DH80" s="715">
        <v>2</v>
      </c>
      <c r="DI80" s="715">
        <v>2</v>
      </c>
      <c r="DJ80" s="715">
        <v>2.2</v>
      </c>
      <c r="DK80" s="715">
        <v>2.3</v>
      </c>
      <c r="DL80" s="715">
        <v>2.4</v>
      </c>
      <c r="DM80" s="715">
        <v>2.5</v>
      </c>
      <c r="DN80" s="714">
        <v>2.6</v>
      </c>
      <c r="DO80" s="714">
        <v>2.7</v>
      </c>
      <c r="DP80" s="714">
        <v>2.9</v>
      </c>
      <c r="DQ80" s="714">
        <v>3</v>
      </c>
      <c r="DR80" s="714">
        <v>3</v>
      </c>
      <c r="DS80" s="715">
        <v>3</v>
      </c>
      <c r="DT80" s="715">
        <v>3.1</v>
      </c>
      <c r="DU80" s="715">
        <v>3.2</v>
      </c>
      <c r="DV80" s="715">
        <v>3.3</v>
      </c>
      <c r="DW80" s="715">
        <v>3.5</v>
      </c>
      <c r="DX80" s="715">
        <v>3.8</v>
      </c>
      <c r="DY80" s="714">
        <v>4</v>
      </c>
      <c r="DZ80" s="714">
        <v>4.1</v>
      </c>
      <c r="EA80" s="714">
        <v>4.2</v>
      </c>
      <c r="EB80" s="714">
        <v>4.3</v>
      </c>
      <c r="EC80" s="714">
        <v>3</v>
      </c>
      <c r="ED80" s="715">
        <v>3.1</v>
      </c>
      <c r="EE80" s="715">
        <v>3.1</v>
      </c>
      <c r="EF80" s="715">
        <v>3.2</v>
      </c>
      <c r="EG80" s="715">
        <v>3.3</v>
      </c>
      <c r="EH80" s="715">
        <v>3.6</v>
      </c>
      <c r="EI80" s="715">
        <v>3.8</v>
      </c>
      <c r="EJ80" s="714">
        <v>4.1</v>
      </c>
      <c r="EK80" s="714">
        <v>4.2</v>
      </c>
      <c r="EL80" s="714">
        <v>4.3</v>
      </c>
      <c r="EM80" s="714">
        <v>4.4</v>
      </c>
      <c r="EN80" s="714">
        <v>4</v>
      </c>
      <c r="EO80" s="715">
        <v>4</v>
      </c>
      <c r="EP80" s="715">
        <v>4.2</v>
      </c>
      <c r="EQ80" s="715">
        <v>4.3</v>
      </c>
      <c r="ER80" s="715">
        <v>4.5</v>
      </c>
      <c r="ES80" s="715">
        <v>4.8</v>
      </c>
      <c r="ET80" s="715">
        <v>5.2</v>
      </c>
      <c r="EU80" s="714">
        <v>5.3</v>
      </c>
      <c r="EV80" s="714">
        <v>5.5</v>
      </c>
      <c r="EW80" s="714">
        <v>5.6</v>
      </c>
      <c r="EX80" s="714">
        <v>5.8</v>
      </c>
      <c r="EY80" s="714">
        <v>-1.5</v>
      </c>
      <c r="EZ80" s="715">
        <v>-1</v>
      </c>
      <c r="FA80" s="715">
        <v>-0.7</v>
      </c>
      <c r="FB80" s="715">
        <v>-0.3</v>
      </c>
      <c r="FC80" s="715">
        <v>0</v>
      </c>
      <c r="FD80" s="715">
        <v>0.3</v>
      </c>
      <c r="FE80" s="715">
        <v>0.6</v>
      </c>
      <c r="FF80" s="714">
        <v>0.8</v>
      </c>
      <c r="FG80" s="714">
        <v>1</v>
      </c>
      <c r="FH80" s="714">
        <v>1.2</v>
      </c>
      <c r="FI80" s="714">
        <v>1.3</v>
      </c>
      <c r="FJ80" s="723">
        <v>-2.91e-6</v>
      </c>
      <c r="FK80" s="723">
        <v>1.29e-8</v>
      </c>
      <c r="FL80" s="723">
        <v>-2.24e-11</v>
      </c>
      <c r="FM80" s="723">
        <v>8.96e-7</v>
      </c>
      <c r="FN80" s="723">
        <v>6.62e-10</v>
      </c>
      <c r="FO80" s="723">
        <v>0.279</v>
      </c>
      <c r="FP80" s="729">
        <v>1</v>
      </c>
      <c r="FQ80" s="729">
        <v>1</v>
      </c>
      <c r="FR80" s="729">
        <v>1</v>
      </c>
      <c r="FS80" s="729">
        <v>1</v>
      </c>
      <c r="FT80" s="729">
        <v>1</v>
      </c>
      <c r="FU80" s="729">
        <v>1</v>
      </c>
      <c r="FV80" s="681">
        <v>1</v>
      </c>
      <c r="FW80" s="729"/>
      <c r="FX80" s="729"/>
      <c r="FY80" s="729"/>
      <c r="FZ80" s="746">
        <v>592</v>
      </c>
      <c r="GA80" s="746">
        <v>625</v>
      </c>
      <c r="GB80" s="681">
        <v>528</v>
      </c>
      <c r="GC80" s="681">
        <v>558</v>
      </c>
      <c r="GD80" s="747">
        <v>1.17</v>
      </c>
      <c r="GE80" s="729"/>
      <c r="GF80" s="681">
        <v>86</v>
      </c>
      <c r="GG80" s="681">
        <v>108</v>
      </c>
      <c r="GH80" s="681">
        <v>79</v>
      </c>
      <c r="GI80" s="681">
        <v>82</v>
      </c>
      <c r="GJ80" s="681">
        <v>84</v>
      </c>
      <c r="GK80" s="681">
        <v>86</v>
      </c>
      <c r="GL80" s="681">
        <v>89</v>
      </c>
      <c r="GM80" s="681">
        <v>89</v>
      </c>
      <c r="GN80" s="681">
        <v>91</v>
      </c>
      <c r="GO80" s="681">
        <v>92</v>
      </c>
      <c r="GP80" s="681">
        <v>93</v>
      </c>
      <c r="GQ80" s="681">
        <v>93</v>
      </c>
      <c r="GR80" s="681">
        <v>94</v>
      </c>
      <c r="GS80" s="681">
        <v>95</v>
      </c>
      <c r="GT80" s="681">
        <v>96</v>
      </c>
      <c r="GU80" s="681">
        <v>96</v>
      </c>
      <c r="GV80" s="681">
        <v>97</v>
      </c>
      <c r="GW80" s="681">
        <v>98</v>
      </c>
      <c r="GX80" s="681">
        <v>99</v>
      </c>
      <c r="GY80" s="681">
        <v>100</v>
      </c>
      <c r="GZ80" s="681">
        <v>102</v>
      </c>
      <c r="HA80" s="681">
        <v>103</v>
      </c>
      <c r="HB80" s="681">
        <v>104</v>
      </c>
      <c r="HC80" s="681"/>
      <c r="HD80" s="738">
        <v>245</v>
      </c>
      <c r="HE80" s="681"/>
      <c r="HF80" s="681">
        <v>524</v>
      </c>
      <c r="HG80" s="681">
        <v>139</v>
      </c>
      <c r="HH80" s="714">
        <v>88.1</v>
      </c>
      <c r="HI80" s="714">
        <v>33.6</v>
      </c>
      <c r="HJ80" s="753">
        <v>0.312</v>
      </c>
      <c r="HK80" s="681">
        <v>74</v>
      </c>
      <c r="HL80" s="685">
        <v>2.56</v>
      </c>
      <c r="HM80" s="747">
        <v>2.96</v>
      </c>
      <c r="HN80" s="646" t="s">
        <v>811</v>
      </c>
      <c r="HO80" s="729" t="s">
        <v>779</v>
      </c>
      <c r="HP80" s="714">
        <v>-0.5</v>
      </c>
      <c r="HQ80" s="754">
        <v>0.93</v>
      </c>
      <c r="HR80" s="754">
        <v>0.956</v>
      </c>
      <c r="HS80" s="754">
        <v>0.98</v>
      </c>
      <c r="HT80" s="754">
        <v>0.993</v>
      </c>
      <c r="HU80" s="754">
        <v>0.999</v>
      </c>
      <c r="HV80" s="754">
        <v>0.999</v>
      </c>
      <c r="HW80" s="754">
        <v>0.999</v>
      </c>
      <c r="HX80" s="754">
        <v>0.999</v>
      </c>
      <c r="HY80" s="754">
        <v>0.999</v>
      </c>
      <c r="HZ80" s="754">
        <v>0.999</v>
      </c>
      <c r="IA80" s="754">
        <v>0.999</v>
      </c>
      <c r="IB80" s="754">
        <v>0.999</v>
      </c>
      <c r="IC80" s="754">
        <v>0.999</v>
      </c>
      <c r="ID80" s="754">
        <v>0.999</v>
      </c>
      <c r="IE80" s="754">
        <v>0.999</v>
      </c>
      <c r="IF80" s="754">
        <v>0.999</v>
      </c>
      <c r="IG80" s="754">
        <v>0.999</v>
      </c>
      <c r="IH80" s="754">
        <v>0.999</v>
      </c>
      <c r="II80" s="754">
        <v>0.997</v>
      </c>
      <c r="IJ80" s="754">
        <v>0.996</v>
      </c>
      <c r="IK80" s="754">
        <v>0.995</v>
      </c>
      <c r="IL80" s="754">
        <v>0.993</v>
      </c>
      <c r="IM80" s="754">
        <v>0.986</v>
      </c>
      <c r="IN80" s="754">
        <v>0.962</v>
      </c>
      <c r="IO80" s="754">
        <v>0.922</v>
      </c>
      <c r="IP80" s="754">
        <v>0.812</v>
      </c>
      <c r="IQ80" s="754">
        <v>0.54</v>
      </c>
      <c r="IR80" s="754">
        <v>0.159</v>
      </c>
      <c r="IS80" s="753"/>
      <c r="IT80" s="753"/>
      <c r="IU80" s="753"/>
      <c r="IV80" s="753"/>
      <c r="IW80" s="753"/>
      <c r="IX80" s="753"/>
      <c r="IY80" s="753"/>
      <c r="IZ80" s="753"/>
      <c r="JA80" s="754">
        <v>0.857</v>
      </c>
      <c r="JB80" s="754">
        <v>0.905</v>
      </c>
      <c r="JC80" s="754">
        <v>0.961</v>
      </c>
      <c r="JD80" s="754">
        <v>0.985</v>
      </c>
      <c r="JE80" s="754">
        <v>0.998</v>
      </c>
      <c r="JF80" s="754">
        <v>0.998</v>
      </c>
      <c r="JG80" s="754">
        <v>0.998</v>
      </c>
      <c r="JH80" s="754">
        <v>0.998</v>
      </c>
      <c r="JI80" s="754">
        <v>0.998</v>
      </c>
      <c r="JJ80" s="754">
        <v>0.998</v>
      </c>
      <c r="JK80" s="754">
        <v>0.998</v>
      </c>
      <c r="JL80" s="754">
        <v>0.998</v>
      </c>
      <c r="JM80" s="754">
        <v>0.998</v>
      </c>
      <c r="JN80" s="754">
        <v>0.998</v>
      </c>
      <c r="JO80" s="754">
        <v>0.998</v>
      </c>
      <c r="JP80" s="754">
        <v>0.998</v>
      </c>
      <c r="JQ80" s="754">
        <v>0.998</v>
      </c>
      <c r="JR80" s="754">
        <v>0.998</v>
      </c>
      <c r="JS80" s="754">
        <v>0.995</v>
      </c>
      <c r="JT80" s="754">
        <v>0.993</v>
      </c>
      <c r="JU80" s="754">
        <v>0.99</v>
      </c>
      <c r="JV80" s="754">
        <v>0.986</v>
      </c>
      <c r="JW80" s="754">
        <v>0.973</v>
      </c>
      <c r="JX80" s="754">
        <v>0.926</v>
      </c>
      <c r="JY80" s="754">
        <v>0.85</v>
      </c>
      <c r="JZ80" s="754">
        <v>0.659</v>
      </c>
      <c r="KA80" s="754">
        <v>0.292</v>
      </c>
      <c r="KB80" s="754">
        <v>0.025</v>
      </c>
      <c r="KC80" s="753"/>
      <c r="KD80" s="754"/>
      <c r="KE80" s="754"/>
      <c r="KF80" s="754"/>
      <c r="KG80" s="754"/>
      <c r="KH80" s="754"/>
      <c r="KI80" s="754"/>
      <c r="KJ80" s="754"/>
      <c r="KK80" s="765" t="s">
        <v>281</v>
      </c>
      <c r="KL80" s="738">
        <v>34</v>
      </c>
      <c r="KM80" s="738">
        <v>101</v>
      </c>
      <c r="KN80" s="646" t="s">
        <v>282</v>
      </c>
      <c r="KO80" s="646" t="s">
        <v>810</v>
      </c>
      <c r="KP80" s="680">
        <v>699301</v>
      </c>
      <c r="KQ80" s="766" t="s">
        <v>812</v>
      </c>
      <c r="KR80" s="750" t="s">
        <v>813</v>
      </c>
      <c r="KS80" s="769" t="s">
        <v>810</v>
      </c>
      <c r="KT80" s="770" t="s">
        <v>813</v>
      </c>
      <c r="KU80" s="766" t="s">
        <v>814</v>
      </c>
      <c r="KV80" s="750">
        <v>699301</v>
      </c>
      <c r="KW80" s="771"/>
      <c r="KX80" s="750"/>
      <c r="KY80" s="769" t="s">
        <v>815</v>
      </c>
      <c r="KZ80" s="770" t="s">
        <v>816</v>
      </c>
    </row>
    <row r="81" s="628" customFormat="1" customHeight="1" spans="1:312">
      <c r="A81" s="682" t="s">
        <v>300</v>
      </c>
      <c r="B81" s="683">
        <v>77</v>
      </c>
      <c r="C81" s="689" t="s">
        <v>817</v>
      </c>
      <c r="D81" s="680">
        <v>762266</v>
      </c>
      <c r="E81" s="685">
        <v>26.61</v>
      </c>
      <c r="F81" s="685">
        <v>26.39</v>
      </c>
      <c r="G81" s="688">
        <v>0.028631</v>
      </c>
      <c r="H81" s="686">
        <v>0.029118</v>
      </c>
      <c r="I81" s="696">
        <v>1.70927</v>
      </c>
      <c r="J81" s="696">
        <v>1.71556</v>
      </c>
      <c r="K81" s="696">
        <v>1.72304</v>
      </c>
      <c r="L81" s="696">
        <v>1.73106</v>
      </c>
      <c r="M81" s="696">
        <v>1.73276</v>
      </c>
      <c r="N81" s="696">
        <v>1.73422</v>
      </c>
      <c r="O81" s="696">
        <v>1.74028</v>
      </c>
      <c r="P81" s="696">
        <v>1.74478</v>
      </c>
      <c r="Q81" s="697">
        <v>1.74912</v>
      </c>
      <c r="R81" s="697">
        <v>1.75359</v>
      </c>
      <c r="S81" s="697">
        <v>1.75487</v>
      </c>
      <c r="T81" s="701">
        <v>1.75608</v>
      </c>
      <c r="U81" s="697">
        <v>1.76157</v>
      </c>
      <c r="V81" s="697">
        <v>1.76182</v>
      </c>
      <c r="W81" s="697">
        <v>1.76857</v>
      </c>
      <c r="X81" s="697">
        <v>1.78222</v>
      </c>
      <c r="Y81" s="697">
        <v>1.78399</v>
      </c>
      <c r="Z81" s="697">
        <v>1.79975</v>
      </c>
      <c r="AA81" s="697">
        <v>1.81558</v>
      </c>
      <c r="AB81" s="697">
        <v>1.84562</v>
      </c>
      <c r="AC81" s="704">
        <v>2.98048977</v>
      </c>
      <c r="AD81" s="705">
        <v>-0.0122396125</v>
      </c>
      <c r="AE81" s="705">
        <v>0.039109411</v>
      </c>
      <c r="AF81" s="705">
        <v>0.00160680583</v>
      </c>
      <c r="AG81" s="705">
        <v>1.39107243e-6</v>
      </c>
      <c r="AH81" s="705">
        <v>1.34851004e-5</v>
      </c>
      <c r="AI81" s="709">
        <v>0.2875</v>
      </c>
      <c r="AJ81" s="709">
        <v>0.2358</v>
      </c>
      <c r="AK81" s="709">
        <v>0.6123</v>
      </c>
      <c r="AL81" s="709">
        <v>0.2387</v>
      </c>
      <c r="AM81" s="709">
        <v>0.2318</v>
      </c>
      <c r="AN81" s="709">
        <v>0.5412</v>
      </c>
      <c r="AO81" s="709">
        <v>0.0012</v>
      </c>
      <c r="AP81" s="709">
        <v>0.0129</v>
      </c>
      <c r="AQ81" s="709">
        <v>0.0075</v>
      </c>
      <c r="AR81" s="709">
        <v>0.0006</v>
      </c>
      <c r="AS81" s="714">
        <v>0.3</v>
      </c>
      <c r="AT81" s="714">
        <v>0.3</v>
      </c>
      <c r="AU81" s="714">
        <v>0.3</v>
      </c>
      <c r="AV81" s="714">
        <v>0.3</v>
      </c>
      <c r="AW81" s="714">
        <v>0.3</v>
      </c>
      <c r="AX81" s="714">
        <v>0.4</v>
      </c>
      <c r="AY81" s="714">
        <v>0.4</v>
      </c>
      <c r="AZ81" s="714">
        <v>0.4</v>
      </c>
      <c r="BA81" s="714">
        <v>0.6</v>
      </c>
      <c r="BB81" s="714">
        <v>0.8</v>
      </c>
      <c r="BC81" s="714">
        <v>1</v>
      </c>
      <c r="BD81" s="714">
        <v>0.9</v>
      </c>
      <c r="BE81" s="714">
        <v>0.9</v>
      </c>
      <c r="BF81" s="714">
        <v>1</v>
      </c>
      <c r="BG81" s="714">
        <v>1</v>
      </c>
      <c r="BH81" s="714">
        <v>1</v>
      </c>
      <c r="BI81" s="714">
        <v>1.1</v>
      </c>
      <c r="BJ81" s="714">
        <v>1.3</v>
      </c>
      <c r="BK81" s="714">
        <v>1.3</v>
      </c>
      <c r="BL81" s="714">
        <v>1.4</v>
      </c>
      <c r="BM81" s="714">
        <v>1.6</v>
      </c>
      <c r="BN81" s="714">
        <v>1.8</v>
      </c>
      <c r="BO81" s="714">
        <v>1.3</v>
      </c>
      <c r="BP81" s="714">
        <v>1.4</v>
      </c>
      <c r="BQ81" s="714">
        <v>1.4</v>
      </c>
      <c r="BR81" s="714">
        <v>1.5</v>
      </c>
      <c r="BS81" s="714">
        <v>1.5</v>
      </c>
      <c r="BT81" s="714">
        <v>1.6</v>
      </c>
      <c r="BU81" s="714">
        <v>1.8</v>
      </c>
      <c r="BV81" s="714">
        <v>1.9</v>
      </c>
      <c r="BW81" s="714">
        <v>2</v>
      </c>
      <c r="BX81" s="714">
        <v>2.2</v>
      </c>
      <c r="BY81" s="714">
        <v>2.3</v>
      </c>
      <c r="BZ81" s="714">
        <v>1.3</v>
      </c>
      <c r="CA81" s="714">
        <v>1.4</v>
      </c>
      <c r="CB81" s="714">
        <v>1.4</v>
      </c>
      <c r="CC81" s="714">
        <v>1.5</v>
      </c>
      <c r="CD81" s="714">
        <v>1.5</v>
      </c>
      <c r="CE81" s="714">
        <v>1.6</v>
      </c>
      <c r="CF81" s="714">
        <v>1.8</v>
      </c>
      <c r="CG81" s="714">
        <v>1.9</v>
      </c>
      <c r="CH81" s="714">
        <v>2</v>
      </c>
      <c r="CI81" s="714">
        <v>2.2</v>
      </c>
      <c r="CJ81" s="714">
        <v>2.4</v>
      </c>
      <c r="CK81" s="714">
        <v>1.4</v>
      </c>
      <c r="CL81" s="715">
        <v>1.5</v>
      </c>
      <c r="CM81" s="715">
        <v>1.5</v>
      </c>
      <c r="CN81" s="715">
        <v>1.6</v>
      </c>
      <c r="CO81" s="715">
        <v>1.6</v>
      </c>
      <c r="CP81" s="715">
        <v>1.6</v>
      </c>
      <c r="CQ81" s="715">
        <v>1.8</v>
      </c>
      <c r="CR81" s="714">
        <v>1.9</v>
      </c>
      <c r="CS81" s="714">
        <v>2</v>
      </c>
      <c r="CT81" s="714">
        <v>2.3</v>
      </c>
      <c r="CU81" s="714">
        <v>2.5</v>
      </c>
      <c r="CV81" s="714">
        <v>1.7</v>
      </c>
      <c r="CW81" s="715">
        <v>1.7</v>
      </c>
      <c r="CX81" s="715">
        <v>1.9</v>
      </c>
      <c r="CY81" s="715">
        <v>1.9</v>
      </c>
      <c r="CZ81" s="715">
        <v>1.9</v>
      </c>
      <c r="DA81" s="715">
        <v>2.2</v>
      </c>
      <c r="DB81" s="715">
        <v>2.3</v>
      </c>
      <c r="DC81" s="714">
        <v>2.4</v>
      </c>
      <c r="DD81" s="714">
        <v>2.6</v>
      </c>
      <c r="DE81" s="714">
        <v>2.8</v>
      </c>
      <c r="DF81" s="714">
        <v>3.1</v>
      </c>
      <c r="DG81" s="714">
        <v>2.1</v>
      </c>
      <c r="DH81" s="715">
        <v>2.2</v>
      </c>
      <c r="DI81" s="715">
        <v>2.2</v>
      </c>
      <c r="DJ81" s="715">
        <v>2.4</v>
      </c>
      <c r="DK81" s="715">
        <v>2.5</v>
      </c>
      <c r="DL81" s="715">
        <v>2.6</v>
      </c>
      <c r="DM81" s="715">
        <v>2.8</v>
      </c>
      <c r="DN81" s="714">
        <v>3</v>
      </c>
      <c r="DO81" s="714">
        <v>3.2</v>
      </c>
      <c r="DP81" s="714">
        <v>3.4</v>
      </c>
      <c r="DQ81" s="714">
        <v>3.6</v>
      </c>
      <c r="DR81" s="714">
        <v>3.2</v>
      </c>
      <c r="DS81" s="715">
        <v>3.3</v>
      </c>
      <c r="DT81" s="715">
        <v>3.5</v>
      </c>
      <c r="DU81" s="715">
        <v>3.8</v>
      </c>
      <c r="DV81" s="715">
        <v>3.8</v>
      </c>
      <c r="DW81" s="715">
        <v>4.1</v>
      </c>
      <c r="DX81" s="715">
        <v>4.3</v>
      </c>
      <c r="DY81" s="714">
        <v>4.5</v>
      </c>
      <c r="DZ81" s="714">
        <v>4.8</v>
      </c>
      <c r="EA81" s="714">
        <v>5</v>
      </c>
      <c r="EB81" s="714">
        <v>5.3</v>
      </c>
      <c r="EC81" s="714">
        <v>3.2</v>
      </c>
      <c r="ED81" s="715">
        <v>3.3</v>
      </c>
      <c r="EE81" s="715">
        <v>3.5</v>
      </c>
      <c r="EF81" s="715">
        <v>3.8</v>
      </c>
      <c r="EG81" s="715">
        <v>3.8</v>
      </c>
      <c r="EH81" s="715">
        <v>4.1</v>
      </c>
      <c r="EI81" s="715">
        <v>4.3</v>
      </c>
      <c r="EJ81" s="714">
        <v>4.5</v>
      </c>
      <c r="EK81" s="714">
        <v>4.8</v>
      </c>
      <c r="EL81" s="714">
        <v>5</v>
      </c>
      <c r="EM81" s="714">
        <v>5.3</v>
      </c>
      <c r="EN81" s="714">
        <v>4.5</v>
      </c>
      <c r="EO81" s="715">
        <v>4.7</v>
      </c>
      <c r="EP81" s="715">
        <v>4.9</v>
      </c>
      <c r="EQ81" s="715">
        <v>5.2</v>
      </c>
      <c r="ER81" s="715">
        <v>5.5</v>
      </c>
      <c r="ES81" s="715">
        <v>5.8</v>
      </c>
      <c r="ET81" s="715">
        <v>6.1</v>
      </c>
      <c r="EU81" s="714">
        <v>6.3</v>
      </c>
      <c r="EV81" s="714">
        <v>6.5</v>
      </c>
      <c r="EW81" s="714">
        <v>6.7</v>
      </c>
      <c r="EX81" s="714">
        <v>7</v>
      </c>
      <c r="EY81" s="714">
        <v>-1.4</v>
      </c>
      <c r="EZ81" s="715">
        <v>-0.9</v>
      </c>
      <c r="FA81" s="715">
        <v>-0.5</v>
      </c>
      <c r="FB81" s="715">
        <v>-0.2</v>
      </c>
      <c r="FC81" s="715">
        <v>0.1</v>
      </c>
      <c r="FD81" s="715">
        <v>0.3</v>
      </c>
      <c r="FE81" s="715">
        <v>0.6</v>
      </c>
      <c r="FF81" s="714">
        <v>0.8</v>
      </c>
      <c r="FG81" s="714">
        <v>1</v>
      </c>
      <c r="FH81" s="714">
        <v>1.4</v>
      </c>
      <c r="FI81" s="714">
        <v>1.7</v>
      </c>
      <c r="FJ81" s="723">
        <v>-2.98e-6</v>
      </c>
      <c r="FK81" s="723">
        <v>1.11e-8</v>
      </c>
      <c r="FL81" s="723">
        <v>-1.51e-11</v>
      </c>
      <c r="FM81" s="723">
        <v>9.37e-7</v>
      </c>
      <c r="FN81" s="723">
        <v>9.52e-10</v>
      </c>
      <c r="FO81" s="723">
        <v>0.289</v>
      </c>
      <c r="FP81" s="729">
        <v>1</v>
      </c>
      <c r="FQ81" s="729">
        <v>1</v>
      </c>
      <c r="FR81" s="729">
        <v>1</v>
      </c>
      <c r="FS81" s="729">
        <v>1</v>
      </c>
      <c r="FT81" s="729">
        <v>1</v>
      </c>
      <c r="FU81" s="729">
        <v>1</v>
      </c>
      <c r="FV81" s="681">
        <v>1</v>
      </c>
      <c r="FW81" s="729"/>
      <c r="FX81" s="729"/>
      <c r="FY81" s="729"/>
      <c r="FZ81" s="746">
        <v>614</v>
      </c>
      <c r="GA81" s="746">
        <v>655</v>
      </c>
      <c r="GB81" s="681">
        <v>544</v>
      </c>
      <c r="GC81" s="681">
        <v>590</v>
      </c>
      <c r="GD81" s="747">
        <v>1.1</v>
      </c>
      <c r="GE81" s="729"/>
      <c r="GF81" s="681">
        <v>83</v>
      </c>
      <c r="GG81" s="681">
        <v>103</v>
      </c>
      <c r="GH81" s="681">
        <v>77</v>
      </c>
      <c r="GI81" s="681">
        <v>78</v>
      </c>
      <c r="GJ81" s="681">
        <v>78</v>
      </c>
      <c r="GK81" s="681">
        <v>79</v>
      </c>
      <c r="GL81" s="681">
        <v>80</v>
      </c>
      <c r="GM81" s="681">
        <v>82</v>
      </c>
      <c r="GN81" s="681">
        <v>83</v>
      </c>
      <c r="GO81" s="681">
        <v>83</v>
      </c>
      <c r="GP81" s="681">
        <v>85</v>
      </c>
      <c r="GQ81" s="681">
        <v>86</v>
      </c>
      <c r="GR81" s="681">
        <v>87</v>
      </c>
      <c r="GS81" s="681">
        <v>88</v>
      </c>
      <c r="GT81" s="681">
        <v>89</v>
      </c>
      <c r="GU81" s="681">
        <v>90</v>
      </c>
      <c r="GV81" s="681">
        <v>92</v>
      </c>
      <c r="GW81" s="681">
        <v>93</v>
      </c>
      <c r="GX81" s="681">
        <v>93</v>
      </c>
      <c r="GY81" s="681">
        <v>95</v>
      </c>
      <c r="GZ81" s="681">
        <v>98</v>
      </c>
      <c r="HA81" s="681">
        <v>99</v>
      </c>
      <c r="HB81" s="681">
        <v>102</v>
      </c>
      <c r="HC81" s="681"/>
      <c r="HD81" s="738">
        <v>240</v>
      </c>
      <c r="HE81" s="681"/>
      <c r="HF81" s="681">
        <v>545</v>
      </c>
      <c r="HG81" s="681">
        <v>158</v>
      </c>
      <c r="HH81" s="714">
        <v>92.3</v>
      </c>
      <c r="HI81" s="714">
        <v>36</v>
      </c>
      <c r="HJ81" s="753">
        <v>0.283</v>
      </c>
      <c r="HK81" s="681">
        <v>77</v>
      </c>
      <c r="HL81" s="685">
        <v>2.85</v>
      </c>
      <c r="HM81" s="747">
        <v>3.16</v>
      </c>
      <c r="HN81" s="646" t="s">
        <v>763</v>
      </c>
      <c r="HO81" s="729" t="s">
        <v>818</v>
      </c>
      <c r="HP81" s="714">
        <v>-0.3</v>
      </c>
      <c r="HQ81" s="754">
        <v>0.935</v>
      </c>
      <c r="HR81" s="754">
        <v>0.956</v>
      </c>
      <c r="HS81" s="754">
        <v>0.979</v>
      </c>
      <c r="HT81" s="754">
        <v>0.986</v>
      </c>
      <c r="HU81" s="754">
        <v>0.995</v>
      </c>
      <c r="HV81" s="754">
        <v>0.998</v>
      </c>
      <c r="HW81" s="754">
        <v>0.998</v>
      </c>
      <c r="HX81" s="754">
        <v>0.998</v>
      </c>
      <c r="HY81" s="754">
        <v>0.998</v>
      </c>
      <c r="HZ81" s="754">
        <v>0.998</v>
      </c>
      <c r="IA81" s="754">
        <v>0.998</v>
      </c>
      <c r="IB81" s="754">
        <v>0.998</v>
      </c>
      <c r="IC81" s="754">
        <v>0.998</v>
      </c>
      <c r="ID81" s="754">
        <v>0.998</v>
      </c>
      <c r="IE81" s="754">
        <v>0.998</v>
      </c>
      <c r="IF81" s="754">
        <v>0.998</v>
      </c>
      <c r="IG81" s="754">
        <v>0.998</v>
      </c>
      <c r="IH81" s="754">
        <v>0.998</v>
      </c>
      <c r="II81" s="754">
        <v>0.995</v>
      </c>
      <c r="IJ81" s="754">
        <v>0.991</v>
      </c>
      <c r="IK81" s="754">
        <v>0.987</v>
      </c>
      <c r="IL81" s="754">
        <v>0.983</v>
      </c>
      <c r="IM81" s="754">
        <v>0.969</v>
      </c>
      <c r="IN81" s="754">
        <v>0.923</v>
      </c>
      <c r="IO81" s="754">
        <v>0.849</v>
      </c>
      <c r="IP81" s="754">
        <v>0.711</v>
      </c>
      <c r="IQ81" s="754">
        <v>0.355</v>
      </c>
      <c r="IR81" s="754"/>
      <c r="IS81" s="753"/>
      <c r="IT81" s="753"/>
      <c r="IU81" s="753"/>
      <c r="IV81" s="753"/>
      <c r="IW81" s="753"/>
      <c r="IX81" s="753"/>
      <c r="IY81" s="753"/>
      <c r="IZ81" s="753"/>
      <c r="JA81" s="754">
        <v>0.874</v>
      </c>
      <c r="JB81" s="754">
        <v>0.914</v>
      </c>
      <c r="JC81" s="754">
        <v>0.958</v>
      </c>
      <c r="JD81" s="754">
        <v>0.972</v>
      </c>
      <c r="JE81" s="754">
        <v>0.99</v>
      </c>
      <c r="JF81" s="754">
        <v>0.996</v>
      </c>
      <c r="JG81" s="754">
        <v>0.996</v>
      </c>
      <c r="JH81" s="754">
        <v>0.996</v>
      </c>
      <c r="JI81" s="754">
        <v>0.996</v>
      </c>
      <c r="JJ81" s="754">
        <v>0.996</v>
      </c>
      <c r="JK81" s="754">
        <v>0.996</v>
      </c>
      <c r="JL81" s="754">
        <v>0.996</v>
      </c>
      <c r="JM81" s="754">
        <v>0.996</v>
      </c>
      <c r="JN81" s="754">
        <v>0.996</v>
      </c>
      <c r="JO81" s="754">
        <v>0.996</v>
      </c>
      <c r="JP81" s="754">
        <v>0.996</v>
      </c>
      <c r="JQ81" s="754">
        <v>0.996</v>
      </c>
      <c r="JR81" s="754">
        <v>0.996</v>
      </c>
      <c r="JS81" s="754">
        <v>0.99</v>
      </c>
      <c r="JT81" s="754">
        <v>0.982</v>
      </c>
      <c r="JU81" s="754">
        <v>0.974</v>
      </c>
      <c r="JV81" s="754">
        <v>0.966</v>
      </c>
      <c r="JW81" s="754">
        <v>0.939</v>
      </c>
      <c r="JX81" s="754">
        <v>0.849</v>
      </c>
      <c r="JY81" s="754">
        <v>0.718</v>
      </c>
      <c r="JZ81" s="754">
        <v>0.508</v>
      </c>
      <c r="KA81" s="754">
        <v>0.129</v>
      </c>
      <c r="KB81" s="754"/>
      <c r="KC81" s="753"/>
      <c r="KD81" s="754"/>
      <c r="KE81" s="754"/>
      <c r="KF81" s="754"/>
      <c r="KG81" s="754"/>
      <c r="KH81" s="754"/>
      <c r="KI81" s="754"/>
      <c r="KJ81" s="754"/>
      <c r="KK81" s="765" t="s">
        <v>281</v>
      </c>
      <c r="KL81" s="738">
        <v>45</v>
      </c>
      <c r="KM81" s="738">
        <v>142</v>
      </c>
      <c r="KN81" s="646" t="s">
        <v>282</v>
      </c>
      <c r="KO81" s="646" t="s">
        <v>817</v>
      </c>
      <c r="KP81" s="680">
        <v>762266</v>
      </c>
      <c r="KQ81" s="766" t="s">
        <v>819</v>
      </c>
      <c r="KR81" s="750" t="s">
        <v>820</v>
      </c>
      <c r="KS81" s="769" t="s">
        <v>817</v>
      </c>
      <c r="KT81" s="770" t="s">
        <v>821</v>
      </c>
      <c r="KU81" s="766" t="s">
        <v>822</v>
      </c>
      <c r="KV81" s="750">
        <v>762266</v>
      </c>
      <c r="KW81" s="771" t="s">
        <v>823</v>
      </c>
      <c r="KX81" s="750" t="s">
        <v>820</v>
      </c>
      <c r="KY81" s="769" t="s">
        <v>824</v>
      </c>
      <c r="KZ81" s="770" t="s">
        <v>820</v>
      </c>
    </row>
    <row r="82" s="628" customFormat="1" customHeight="1" spans="1:312">
      <c r="A82" s="682" t="s">
        <v>277</v>
      </c>
      <c r="B82" s="683">
        <v>78</v>
      </c>
      <c r="C82" s="689" t="s">
        <v>825</v>
      </c>
      <c r="D82" s="680">
        <v>762266</v>
      </c>
      <c r="E82" s="685">
        <v>26.61</v>
      </c>
      <c r="F82" s="685">
        <v>26.39</v>
      </c>
      <c r="G82" s="688">
        <v>0.028631</v>
      </c>
      <c r="H82" s="686">
        <v>0.029118</v>
      </c>
      <c r="I82" s="696">
        <v>1.70927</v>
      </c>
      <c r="J82" s="696">
        <v>1.71556</v>
      </c>
      <c r="K82" s="696">
        <v>1.72304</v>
      </c>
      <c r="L82" s="696">
        <v>1.73106</v>
      </c>
      <c r="M82" s="696">
        <v>1.73276</v>
      </c>
      <c r="N82" s="696">
        <v>1.73422</v>
      </c>
      <c r="O82" s="696">
        <v>1.74028</v>
      </c>
      <c r="P82" s="696">
        <v>1.74478</v>
      </c>
      <c r="Q82" s="697">
        <v>1.74912</v>
      </c>
      <c r="R82" s="697">
        <v>1.75359</v>
      </c>
      <c r="S82" s="697">
        <v>1.75487</v>
      </c>
      <c r="T82" s="701">
        <v>1.75608</v>
      </c>
      <c r="U82" s="697">
        <v>1.76157</v>
      </c>
      <c r="V82" s="697">
        <v>1.76182</v>
      </c>
      <c r="W82" s="697">
        <v>1.76857</v>
      </c>
      <c r="X82" s="697">
        <v>1.78222</v>
      </c>
      <c r="Y82" s="697">
        <v>1.78399</v>
      </c>
      <c r="Z82" s="697">
        <v>1.79975</v>
      </c>
      <c r="AA82" s="697">
        <v>1.81558</v>
      </c>
      <c r="AB82" s="697">
        <v>1.84562</v>
      </c>
      <c r="AC82" s="704">
        <v>2.98048977</v>
      </c>
      <c r="AD82" s="705">
        <v>-0.0122396125</v>
      </c>
      <c r="AE82" s="705">
        <v>0.039109411</v>
      </c>
      <c r="AF82" s="705">
        <v>0.00160680583</v>
      </c>
      <c r="AG82" s="705">
        <v>1.39107243e-6</v>
      </c>
      <c r="AH82" s="705">
        <v>1.34851004e-5</v>
      </c>
      <c r="AI82" s="709">
        <v>0.2875</v>
      </c>
      <c r="AJ82" s="709">
        <v>0.2358</v>
      </c>
      <c r="AK82" s="709">
        <v>0.6123</v>
      </c>
      <c r="AL82" s="709">
        <v>0.2387</v>
      </c>
      <c r="AM82" s="709">
        <v>0.2318</v>
      </c>
      <c r="AN82" s="709">
        <v>0.5412</v>
      </c>
      <c r="AO82" s="709">
        <v>0.0012</v>
      </c>
      <c r="AP82" s="709">
        <v>0.0129</v>
      </c>
      <c r="AQ82" s="709">
        <v>0.0075</v>
      </c>
      <c r="AR82" s="709">
        <v>0.0006</v>
      </c>
      <c r="AS82" s="714">
        <v>0.3</v>
      </c>
      <c r="AT82" s="714">
        <v>0.3</v>
      </c>
      <c r="AU82" s="714">
        <v>0.3</v>
      </c>
      <c r="AV82" s="714">
        <v>0.3</v>
      </c>
      <c r="AW82" s="714">
        <v>0.3</v>
      </c>
      <c r="AX82" s="714">
        <v>0.4</v>
      </c>
      <c r="AY82" s="714">
        <v>0.4</v>
      </c>
      <c r="AZ82" s="714">
        <v>0.4</v>
      </c>
      <c r="BA82" s="714">
        <v>0.6</v>
      </c>
      <c r="BB82" s="714">
        <v>0.8</v>
      </c>
      <c r="BC82" s="714">
        <v>1</v>
      </c>
      <c r="BD82" s="714">
        <v>0.9</v>
      </c>
      <c r="BE82" s="714">
        <v>0.9</v>
      </c>
      <c r="BF82" s="714">
        <v>1</v>
      </c>
      <c r="BG82" s="714">
        <v>1</v>
      </c>
      <c r="BH82" s="714">
        <v>1</v>
      </c>
      <c r="BI82" s="714">
        <v>1.1</v>
      </c>
      <c r="BJ82" s="714">
        <v>1.3</v>
      </c>
      <c r="BK82" s="714">
        <v>1.3</v>
      </c>
      <c r="BL82" s="714">
        <v>1.4</v>
      </c>
      <c r="BM82" s="714">
        <v>1.6</v>
      </c>
      <c r="BN82" s="714">
        <v>1.8</v>
      </c>
      <c r="BO82" s="714">
        <v>1.3</v>
      </c>
      <c r="BP82" s="714">
        <v>1.4</v>
      </c>
      <c r="BQ82" s="714">
        <v>1.4</v>
      </c>
      <c r="BR82" s="714">
        <v>1.5</v>
      </c>
      <c r="BS82" s="714">
        <v>1.5</v>
      </c>
      <c r="BT82" s="714">
        <v>1.6</v>
      </c>
      <c r="BU82" s="714">
        <v>1.8</v>
      </c>
      <c r="BV82" s="714">
        <v>1.9</v>
      </c>
      <c r="BW82" s="714">
        <v>2</v>
      </c>
      <c r="BX82" s="714">
        <v>2.2</v>
      </c>
      <c r="BY82" s="714">
        <v>2.3</v>
      </c>
      <c r="BZ82" s="714">
        <v>1.3</v>
      </c>
      <c r="CA82" s="714">
        <v>1.4</v>
      </c>
      <c r="CB82" s="714">
        <v>1.4</v>
      </c>
      <c r="CC82" s="714">
        <v>1.5</v>
      </c>
      <c r="CD82" s="714">
        <v>1.5</v>
      </c>
      <c r="CE82" s="714">
        <v>1.6</v>
      </c>
      <c r="CF82" s="714">
        <v>1.8</v>
      </c>
      <c r="CG82" s="714">
        <v>1.9</v>
      </c>
      <c r="CH82" s="714">
        <v>2</v>
      </c>
      <c r="CI82" s="714">
        <v>2.2</v>
      </c>
      <c r="CJ82" s="714">
        <v>2.4</v>
      </c>
      <c r="CK82" s="714">
        <v>1.4</v>
      </c>
      <c r="CL82" s="715">
        <v>1.5</v>
      </c>
      <c r="CM82" s="715">
        <v>1.5</v>
      </c>
      <c r="CN82" s="715">
        <v>1.6</v>
      </c>
      <c r="CO82" s="715">
        <v>1.6</v>
      </c>
      <c r="CP82" s="715">
        <v>1.6</v>
      </c>
      <c r="CQ82" s="715">
        <v>1.8</v>
      </c>
      <c r="CR82" s="714">
        <v>1.9</v>
      </c>
      <c r="CS82" s="714">
        <v>2</v>
      </c>
      <c r="CT82" s="714">
        <v>2.3</v>
      </c>
      <c r="CU82" s="714">
        <v>2.5</v>
      </c>
      <c r="CV82" s="714">
        <v>1.7</v>
      </c>
      <c r="CW82" s="715">
        <v>1.7</v>
      </c>
      <c r="CX82" s="715">
        <v>1.9</v>
      </c>
      <c r="CY82" s="715">
        <v>1.9</v>
      </c>
      <c r="CZ82" s="715">
        <v>1.9</v>
      </c>
      <c r="DA82" s="715">
        <v>2.2</v>
      </c>
      <c r="DB82" s="715">
        <v>2.3</v>
      </c>
      <c r="DC82" s="714">
        <v>2.4</v>
      </c>
      <c r="DD82" s="714">
        <v>2.6</v>
      </c>
      <c r="DE82" s="714">
        <v>2.8</v>
      </c>
      <c r="DF82" s="714">
        <v>3.1</v>
      </c>
      <c r="DG82" s="714">
        <v>2.1</v>
      </c>
      <c r="DH82" s="715">
        <v>2.2</v>
      </c>
      <c r="DI82" s="715">
        <v>2.2</v>
      </c>
      <c r="DJ82" s="715">
        <v>2.4</v>
      </c>
      <c r="DK82" s="715">
        <v>2.5</v>
      </c>
      <c r="DL82" s="715">
        <v>2.6</v>
      </c>
      <c r="DM82" s="715">
        <v>2.8</v>
      </c>
      <c r="DN82" s="714">
        <v>3</v>
      </c>
      <c r="DO82" s="714">
        <v>3.2</v>
      </c>
      <c r="DP82" s="714">
        <v>3.4</v>
      </c>
      <c r="DQ82" s="714">
        <v>3.6</v>
      </c>
      <c r="DR82" s="714">
        <v>3.2</v>
      </c>
      <c r="DS82" s="715">
        <v>3.3</v>
      </c>
      <c r="DT82" s="715">
        <v>3.5</v>
      </c>
      <c r="DU82" s="715">
        <v>3.8</v>
      </c>
      <c r="DV82" s="715">
        <v>3.8</v>
      </c>
      <c r="DW82" s="715">
        <v>4.1</v>
      </c>
      <c r="DX82" s="715">
        <v>4.3</v>
      </c>
      <c r="DY82" s="714">
        <v>4.5</v>
      </c>
      <c r="DZ82" s="714">
        <v>4.8</v>
      </c>
      <c r="EA82" s="714">
        <v>5</v>
      </c>
      <c r="EB82" s="714">
        <v>5.3</v>
      </c>
      <c r="EC82" s="714">
        <v>3.2</v>
      </c>
      <c r="ED82" s="715">
        <v>3.3</v>
      </c>
      <c r="EE82" s="715">
        <v>3.5</v>
      </c>
      <c r="EF82" s="715">
        <v>3.8</v>
      </c>
      <c r="EG82" s="715">
        <v>3.8</v>
      </c>
      <c r="EH82" s="715">
        <v>4.1</v>
      </c>
      <c r="EI82" s="715">
        <v>4.3</v>
      </c>
      <c r="EJ82" s="714">
        <v>4.5</v>
      </c>
      <c r="EK82" s="714">
        <v>4.8</v>
      </c>
      <c r="EL82" s="714">
        <v>5</v>
      </c>
      <c r="EM82" s="714">
        <v>5.3</v>
      </c>
      <c r="EN82" s="714">
        <v>4.5</v>
      </c>
      <c r="EO82" s="715">
        <v>4.7</v>
      </c>
      <c r="EP82" s="715">
        <v>4.9</v>
      </c>
      <c r="EQ82" s="715">
        <v>5.2</v>
      </c>
      <c r="ER82" s="715">
        <v>5.5</v>
      </c>
      <c r="ES82" s="715">
        <v>5.8</v>
      </c>
      <c r="ET82" s="715">
        <v>6.1</v>
      </c>
      <c r="EU82" s="714">
        <v>6.3</v>
      </c>
      <c r="EV82" s="714">
        <v>6.5</v>
      </c>
      <c r="EW82" s="714">
        <v>6.7</v>
      </c>
      <c r="EX82" s="714">
        <v>7</v>
      </c>
      <c r="EY82" s="714">
        <v>-1.4</v>
      </c>
      <c r="EZ82" s="715">
        <v>-0.9</v>
      </c>
      <c r="FA82" s="715">
        <v>-0.5</v>
      </c>
      <c r="FB82" s="715">
        <v>-0.2</v>
      </c>
      <c r="FC82" s="715">
        <v>0.1</v>
      </c>
      <c r="FD82" s="715">
        <v>0.3</v>
      </c>
      <c r="FE82" s="715">
        <v>0.6</v>
      </c>
      <c r="FF82" s="714">
        <v>0.8</v>
      </c>
      <c r="FG82" s="714">
        <v>1</v>
      </c>
      <c r="FH82" s="714">
        <v>1.4</v>
      </c>
      <c r="FI82" s="714">
        <v>1.7</v>
      </c>
      <c r="FJ82" s="723">
        <v>-2.98e-6</v>
      </c>
      <c r="FK82" s="723">
        <v>1.11e-8</v>
      </c>
      <c r="FL82" s="723">
        <v>-1.51e-11</v>
      </c>
      <c r="FM82" s="723">
        <v>9.37e-7</v>
      </c>
      <c r="FN82" s="723">
        <v>9.52e-10</v>
      </c>
      <c r="FO82" s="723">
        <v>0.289</v>
      </c>
      <c r="FP82" s="729">
        <v>1</v>
      </c>
      <c r="FQ82" s="729">
        <v>1</v>
      </c>
      <c r="FR82" s="729">
        <v>1</v>
      </c>
      <c r="FS82" s="729">
        <v>1</v>
      </c>
      <c r="FT82" s="729">
        <v>1</v>
      </c>
      <c r="FU82" s="729">
        <v>1</v>
      </c>
      <c r="FV82" s="681">
        <v>1</v>
      </c>
      <c r="FW82" s="729"/>
      <c r="FX82" s="729"/>
      <c r="FY82" s="729"/>
      <c r="FZ82" s="746">
        <v>614</v>
      </c>
      <c r="GA82" s="746">
        <v>665</v>
      </c>
      <c r="GB82" s="681">
        <v>544</v>
      </c>
      <c r="GC82" s="681">
        <v>590</v>
      </c>
      <c r="GD82" s="747">
        <v>1.1</v>
      </c>
      <c r="GE82" s="729"/>
      <c r="GF82" s="681">
        <v>83</v>
      </c>
      <c r="GG82" s="681">
        <v>103</v>
      </c>
      <c r="GH82" s="681">
        <v>77</v>
      </c>
      <c r="GI82" s="681">
        <v>78</v>
      </c>
      <c r="GJ82" s="681">
        <v>78</v>
      </c>
      <c r="GK82" s="681">
        <v>79</v>
      </c>
      <c r="GL82" s="681">
        <v>80</v>
      </c>
      <c r="GM82" s="681">
        <v>82</v>
      </c>
      <c r="GN82" s="681">
        <v>83</v>
      </c>
      <c r="GO82" s="681">
        <v>83</v>
      </c>
      <c r="GP82" s="681">
        <v>85</v>
      </c>
      <c r="GQ82" s="681">
        <v>86</v>
      </c>
      <c r="GR82" s="681">
        <v>87</v>
      </c>
      <c r="GS82" s="681">
        <v>88</v>
      </c>
      <c r="GT82" s="681">
        <v>89</v>
      </c>
      <c r="GU82" s="681">
        <v>90</v>
      </c>
      <c r="GV82" s="681">
        <v>92</v>
      </c>
      <c r="GW82" s="681">
        <v>93</v>
      </c>
      <c r="GX82" s="681">
        <v>93</v>
      </c>
      <c r="GY82" s="681">
        <v>95</v>
      </c>
      <c r="GZ82" s="681">
        <v>98</v>
      </c>
      <c r="HA82" s="681">
        <v>99</v>
      </c>
      <c r="HB82" s="681">
        <v>102</v>
      </c>
      <c r="HC82" s="681"/>
      <c r="HD82" s="738">
        <v>240</v>
      </c>
      <c r="HE82" s="681"/>
      <c r="HF82" s="681">
        <v>545</v>
      </c>
      <c r="HG82" s="681">
        <v>158</v>
      </c>
      <c r="HH82" s="714">
        <v>92.3</v>
      </c>
      <c r="HI82" s="714">
        <v>36</v>
      </c>
      <c r="HJ82" s="753">
        <v>0.283</v>
      </c>
      <c r="HK82" s="681">
        <v>77</v>
      </c>
      <c r="HL82" s="685">
        <v>2.85</v>
      </c>
      <c r="HM82" s="747">
        <v>3.16</v>
      </c>
      <c r="HN82" s="646" t="s">
        <v>753</v>
      </c>
      <c r="HO82" s="729" t="s">
        <v>764</v>
      </c>
      <c r="HP82" s="714">
        <v>-0.3</v>
      </c>
      <c r="HQ82" s="754">
        <v>0.962</v>
      </c>
      <c r="HR82" s="754">
        <v>0.98</v>
      </c>
      <c r="HS82" s="754">
        <v>0.992</v>
      </c>
      <c r="HT82" s="754">
        <v>0.999</v>
      </c>
      <c r="HU82" s="754">
        <v>0.999</v>
      </c>
      <c r="HV82" s="754">
        <v>0.999</v>
      </c>
      <c r="HW82" s="754">
        <v>0.999</v>
      </c>
      <c r="HX82" s="754">
        <v>0.999</v>
      </c>
      <c r="HY82" s="754">
        <v>0.999</v>
      </c>
      <c r="HZ82" s="754">
        <v>0.999</v>
      </c>
      <c r="IA82" s="754">
        <v>0.999</v>
      </c>
      <c r="IB82" s="754">
        <v>0.999</v>
      </c>
      <c r="IC82" s="754">
        <v>0.999</v>
      </c>
      <c r="ID82" s="754">
        <v>0.999</v>
      </c>
      <c r="IE82" s="754">
        <v>0.999</v>
      </c>
      <c r="IF82" s="754">
        <v>0.998</v>
      </c>
      <c r="IG82" s="754">
        <v>0.998</v>
      </c>
      <c r="IH82" s="754">
        <v>0.997</v>
      </c>
      <c r="II82" s="754">
        <v>0.993</v>
      </c>
      <c r="IJ82" s="754">
        <v>0.991</v>
      </c>
      <c r="IK82" s="754">
        <v>0.988</v>
      </c>
      <c r="IL82" s="754">
        <v>0.984</v>
      </c>
      <c r="IM82" s="754">
        <v>0.975</v>
      </c>
      <c r="IN82" s="754">
        <v>0.946</v>
      </c>
      <c r="IO82" s="754">
        <v>0.901</v>
      </c>
      <c r="IP82" s="754">
        <v>0.767</v>
      </c>
      <c r="IQ82" s="754">
        <v>0.458</v>
      </c>
      <c r="IR82" s="754">
        <v>0.105</v>
      </c>
      <c r="IS82" s="753"/>
      <c r="IT82" s="753"/>
      <c r="IU82" s="753"/>
      <c r="IV82" s="753"/>
      <c r="IW82" s="753"/>
      <c r="IX82" s="753"/>
      <c r="IY82" s="753"/>
      <c r="IZ82" s="753"/>
      <c r="JA82" s="754">
        <v>0.926</v>
      </c>
      <c r="JB82" s="754">
        <v>0.96</v>
      </c>
      <c r="JC82" s="754">
        <v>0.984</v>
      </c>
      <c r="JD82" s="754">
        <v>0.998</v>
      </c>
      <c r="JE82" s="754">
        <v>0.998</v>
      </c>
      <c r="JF82" s="754">
        <v>0.998</v>
      </c>
      <c r="JG82" s="754">
        <v>0.998</v>
      </c>
      <c r="JH82" s="754">
        <v>0.998</v>
      </c>
      <c r="JI82" s="754">
        <v>0.998</v>
      </c>
      <c r="JJ82" s="754">
        <v>0.998</v>
      </c>
      <c r="JK82" s="754">
        <v>0.998</v>
      </c>
      <c r="JL82" s="754">
        <v>0.998</v>
      </c>
      <c r="JM82" s="754">
        <v>0.998</v>
      </c>
      <c r="JN82" s="754">
        <v>0.998</v>
      </c>
      <c r="JO82" s="754">
        <v>0.998</v>
      </c>
      <c r="JP82" s="754">
        <v>0.996</v>
      </c>
      <c r="JQ82" s="754">
        <v>0.996</v>
      </c>
      <c r="JR82" s="754">
        <v>0.994</v>
      </c>
      <c r="JS82" s="754">
        <v>0.987</v>
      </c>
      <c r="JT82" s="754">
        <v>0.983</v>
      </c>
      <c r="JU82" s="754">
        <v>0.977</v>
      </c>
      <c r="JV82" s="754">
        <v>0.969</v>
      </c>
      <c r="JW82" s="754">
        <v>0.951</v>
      </c>
      <c r="JX82" s="754">
        <v>0.895</v>
      </c>
      <c r="JY82" s="754">
        <v>0.812</v>
      </c>
      <c r="JZ82" s="754">
        <v>0.588</v>
      </c>
      <c r="KA82" s="754">
        <v>0.21</v>
      </c>
      <c r="KB82" s="754">
        <v>0.011</v>
      </c>
      <c r="KC82" s="753"/>
      <c r="KD82" s="754"/>
      <c r="KE82" s="754"/>
      <c r="KF82" s="754"/>
      <c r="KG82" s="754"/>
      <c r="KH82" s="754"/>
      <c r="KI82" s="754"/>
      <c r="KJ82" s="754"/>
      <c r="KK82" s="765" t="s">
        <v>281</v>
      </c>
      <c r="KL82" s="738">
        <v>55</v>
      </c>
      <c r="KM82" s="738">
        <v>174</v>
      </c>
      <c r="KN82" s="646" t="s">
        <v>282</v>
      </c>
      <c r="KO82" s="646" t="s">
        <v>825</v>
      </c>
      <c r="KP82" s="680">
        <v>762266</v>
      </c>
      <c r="KQ82" s="766"/>
      <c r="KR82" s="750"/>
      <c r="KS82" s="769"/>
      <c r="KT82" s="770"/>
      <c r="KU82" s="766"/>
      <c r="KV82" s="750"/>
      <c r="KW82" s="771"/>
      <c r="KX82" s="750"/>
      <c r="KY82" s="769"/>
      <c r="KZ82" s="770"/>
    </row>
    <row r="83" s="628" customFormat="1" customHeight="1" spans="1:312">
      <c r="A83" s="682" t="s">
        <v>277</v>
      </c>
      <c r="B83" s="683">
        <v>79</v>
      </c>
      <c r="C83" s="689" t="s">
        <v>826</v>
      </c>
      <c r="D83" s="680">
        <v>785257</v>
      </c>
      <c r="E83" s="685">
        <v>25.72</v>
      </c>
      <c r="F83" s="685">
        <v>25.51</v>
      </c>
      <c r="G83" s="688">
        <v>0.03051</v>
      </c>
      <c r="H83" s="686">
        <v>0.031042</v>
      </c>
      <c r="I83" s="696">
        <v>1.73037</v>
      </c>
      <c r="J83" s="696">
        <v>1.73662</v>
      </c>
      <c r="K83" s="696">
        <v>1.74411</v>
      </c>
      <c r="L83" s="696">
        <v>1.75231</v>
      </c>
      <c r="M83" s="696">
        <v>1.75406</v>
      </c>
      <c r="N83" s="696">
        <v>1.75557</v>
      </c>
      <c r="O83" s="696">
        <v>1.76192</v>
      </c>
      <c r="P83" s="696">
        <v>1.76666</v>
      </c>
      <c r="Q83" s="697">
        <v>1.77124</v>
      </c>
      <c r="R83" s="697">
        <v>1.77597</v>
      </c>
      <c r="S83" s="697">
        <v>1.77733</v>
      </c>
      <c r="T83" s="701">
        <v>1.77861</v>
      </c>
      <c r="U83" s="697">
        <v>1.78446</v>
      </c>
      <c r="V83" s="697">
        <v>1.78472</v>
      </c>
      <c r="W83" s="697">
        <v>1.79191</v>
      </c>
      <c r="X83" s="697">
        <v>1.80648</v>
      </c>
      <c r="Y83" s="697">
        <v>1.80837</v>
      </c>
      <c r="Z83" s="697">
        <v>1.82522</v>
      </c>
      <c r="AA83" s="697">
        <v>1.8421</v>
      </c>
      <c r="AB83" s="697">
        <v>1.87399</v>
      </c>
      <c r="AC83" s="704">
        <v>3.05227481</v>
      </c>
      <c r="AD83" s="705">
        <v>-0.0121808741</v>
      </c>
      <c r="AE83" s="705">
        <v>0.0416791281</v>
      </c>
      <c r="AF83" s="705">
        <v>0.0017993293</v>
      </c>
      <c r="AG83" s="705">
        <v>1.916596e-5</v>
      </c>
      <c r="AH83" s="705">
        <v>1.22563456e-5</v>
      </c>
      <c r="AI83" s="709">
        <v>0.2868</v>
      </c>
      <c r="AJ83" s="709">
        <v>0.2357</v>
      </c>
      <c r="AK83" s="709">
        <v>0.6142</v>
      </c>
      <c r="AL83" s="709">
        <v>0.2381</v>
      </c>
      <c r="AM83" s="709">
        <v>0.2316</v>
      </c>
      <c r="AN83" s="709">
        <v>0.5428</v>
      </c>
      <c r="AO83" s="709">
        <v>0.0015</v>
      </c>
      <c r="AP83" s="709">
        <v>0.0133</v>
      </c>
      <c r="AQ83" s="709">
        <v>0.0039</v>
      </c>
      <c r="AR83" s="709">
        <v>-0.0016</v>
      </c>
      <c r="AS83" s="714">
        <v>-0.8</v>
      </c>
      <c r="AT83" s="714">
        <v>-0.7</v>
      </c>
      <c r="AU83" s="714">
        <v>-0.7</v>
      </c>
      <c r="AV83" s="714">
        <v>-0.6</v>
      </c>
      <c r="AW83" s="714">
        <v>-0.6</v>
      </c>
      <c r="AX83" s="714">
        <v>-0.5</v>
      </c>
      <c r="AY83" s="714">
        <v>-0.5</v>
      </c>
      <c r="AZ83" s="714">
        <v>-0.3</v>
      </c>
      <c r="BA83" s="714">
        <v>-0.2</v>
      </c>
      <c r="BB83" s="714">
        <v>0</v>
      </c>
      <c r="BC83" s="714">
        <v>0</v>
      </c>
      <c r="BD83" s="714">
        <v>-0.1</v>
      </c>
      <c r="BE83" s="714">
        <v>0</v>
      </c>
      <c r="BF83" s="714">
        <v>0</v>
      </c>
      <c r="BG83" s="714">
        <v>0.1</v>
      </c>
      <c r="BH83" s="714">
        <v>0.2</v>
      </c>
      <c r="BI83" s="714">
        <v>0.3</v>
      </c>
      <c r="BJ83" s="714">
        <v>0.4</v>
      </c>
      <c r="BK83" s="714">
        <v>0.5</v>
      </c>
      <c r="BL83" s="714">
        <v>0.6</v>
      </c>
      <c r="BM83" s="714">
        <v>0.7</v>
      </c>
      <c r="BN83" s="714">
        <v>0.8</v>
      </c>
      <c r="BO83" s="714">
        <v>0.4</v>
      </c>
      <c r="BP83" s="714">
        <v>0.4</v>
      </c>
      <c r="BQ83" s="714">
        <v>0.5</v>
      </c>
      <c r="BR83" s="714">
        <v>0.6</v>
      </c>
      <c r="BS83" s="714">
        <v>0.7</v>
      </c>
      <c r="BT83" s="714">
        <v>0.8</v>
      </c>
      <c r="BU83" s="714">
        <v>0.9</v>
      </c>
      <c r="BV83" s="714">
        <v>1</v>
      </c>
      <c r="BW83" s="714">
        <v>1.1</v>
      </c>
      <c r="BX83" s="714">
        <v>1.2</v>
      </c>
      <c r="BY83" s="714">
        <v>1.3</v>
      </c>
      <c r="BZ83" s="714">
        <v>0.4</v>
      </c>
      <c r="CA83" s="714">
        <v>0.4</v>
      </c>
      <c r="CB83" s="714">
        <v>0.5</v>
      </c>
      <c r="CC83" s="714">
        <v>0.6</v>
      </c>
      <c r="CD83" s="714">
        <v>0.7</v>
      </c>
      <c r="CE83" s="714">
        <v>0.8</v>
      </c>
      <c r="CF83" s="714">
        <v>0.9</v>
      </c>
      <c r="CG83" s="714">
        <v>1</v>
      </c>
      <c r="CH83" s="714">
        <v>1.2</v>
      </c>
      <c r="CI83" s="714">
        <v>1.3</v>
      </c>
      <c r="CJ83" s="714">
        <v>1.4</v>
      </c>
      <c r="CK83" s="714">
        <v>0.5</v>
      </c>
      <c r="CL83" s="715">
        <v>0.6</v>
      </c>
      <c r="CM83" s="715">
        <v>0.6</v>
      </c>
      <c r="CN83" s="715">
        <v>0.7</v>
      </c>
      <c r="CO83" s="715">
        <v>0.8</v>
      </c>
      <c r="CP83" s="715">
        <v>0.9</v>
      </c>
      <c r="CQ83" s="715">
        <v>1</v>
      </c>
      <c r="CR83" s="714">
        <v>1.1</v>
      </c>
      <c r="CS83" s="714">
        <v>1.2</v>
      </c>
      <c r="CT83" s="714">
        <v>1.3</v>
      </c>
      <c r="CU83" s="714">
        <v>1.5</v>
      </c>
      <c r="CV83" s="714">
        <v>0.8</v>
      </c>
      <c r="CW83" s="715">
        <v>0.8</v>
      </c>
      <c r="CX83" s="715">
        <v>1</v>
      </c>
      <c r="CY83" s="715">
        <v>1.1</v>
      </c>
      <c r="CZ83" s="715">
        <v>1.2</v>
      </c>
      <c r="DA83" s="715">
        <v>1.3</v>
      </c>
      <c r="DB83" s="715">
        <v>1.5</v>
      </c>
      <c r="DC83" s="714">
        <v>1.7</v>
      </c>
      <c r="DD83" s="714">
        <v>2</v>
      </c>
      <c r="DE83" s="714">
        <v>2.1</v>
      </c>
      <c r="DF83" s="714">
        <v>2.2</v>
      </c>
      <c r="DG83" s="714">
        <v>1.3</v>
      </c>
      <c r="DH83" s="715">
        <v>1.3</v>
      </c>
      <c r="DI83" s="715">
        <v>1.4</v>
      </c>
      <c r="DJ83" s="715">
        <v>1.6</v>
      </c>
      <c r="DK83" s="715">
        <v>1.9</v>
      </c>
      <c r="DL83" s="715">
        <v>2</v>
      </c>
      <c r="DM83" s="715">
        <v>2.2</v>
      </c>
      <c r="DN83" s="714">
        <v>2.3</v>
      </c>
      <c r="DO83" s="714">
        <v>2.4</v>
      </c>
      <c r="DP83" s="714">
        <v>2.7</v>
      </c>
      <c r="DQ83" s="714">
        <v>2.9</v>
      </c>
      <c r="DR83" s="714">
        <v>2.4</v>
      </c>
      <c r="DS83" s="715">
        <v>2.5</v>
      </c>
      <c r="DT83" s="715">
        <v>2.7</v>
      </c>
      <c r="DU83" s="715">
        <v>3</v>
      </c>
      <c r="DV83" s="715">
        <v>3.2</v>
      </c>
      <c r="DW83" s="715">
        <v>3.4</v>
      </c>
      <c r="DX83" s="715">
        <v>3.6</v>
      </c>
      <c r="DY83" s="714">
        <v>3.9</v>
      </c>
      <c r="DZ83" s="714">
        <v>4.2</v>
      </c>
      <c r="EA83" s="714">
        <v>4.4</v>
      </c>
      <c r="EB83" s="714">
        <v>4.6</v>
      </c>
      <c r="EC83" s="714">
        <v>2.5</v>
      </c>
      <c r="ED83" s="715">
        <v>2.6</v>
      </c>
      <c r="EE83" s="715">
        <v>2.8</v>
      </c>
      <c r="EF83" s="715">
        <v>3.1</v>
      </c>
      <c r="EG83" s="715">
        <v>3.2</v>
      </c>
      <c r="EH83" s="715">
        <v>3.4</v>
      </c>
      <c r="EI83" s="715">
        <v>3.7</v>
      </c>
      <c r="EJ83" s="714">
        <v>4</v>
      </c>
      <c r="EK83" s="714">
        <v>4.3</v>
      </c>
      <c r="EL83" s="714">
        <v>4.5</v>
      </c>
      <c r="EM83" s="714">
        <v>4.7</v>
      </c>
      <c r="EN83" s="714">
        <v>3.7</v>
      </c>
      <c r="EO83" s="715">
        <v>3.9</v>
      </c>
      <c r="EP83" s="715">
        <v>4.3</v>
      </c>
      <c r="EQ83" s="715">
        <v>4.8</v>
      </c>
      <c r="ER83" s="715">
        <v>5.1</v>
      </c>
      <c r="ES83" s="715">
        <v>5.3</v>
      </c>
      <c r="ET83" s="715">
        <v>5.7</v>
      </c>
      <c r="EU83" s="714">
        <v>6</v>
      </c>
      <c r="EV83" s="714">
        <v>6.3</v>
      </c>
      <c r="EW83" s="714">
        <v>6.5</v>
      </c>
      <c r="EX83" s="714">
        <v>6.7</v>
      </c>
      <c r="EY83" s="714">
        <v>-2.4</v>
      </c>
      <c r="EZ83" s="715">
        <v>-1.8</v>
      </c>
      <c r="FA83" s="715">
        <v>-1.5</v>
      </c>
      <c r="FB83" s="715">
        <v>-1.1</v>
      </c>
      <c r="FC83" s="715">
        <v>-0.7</v>
      </c>
      <c r="FD83" s="715">
        <v>-0.5</v>
      </c>
      <c r="FE83" s="715">
        <v>-0.2</v>
      </c>
      <c r="FF83" s="714">
        <v>0</v>
      </c>
      <c r="FG83" s="714">
        <v>0.2</v>
      </c>
      <c r="FH83" s="714">
        <v>0.4</v>
      </c>
      <c r="FI83" s="714">
        <v>0.7</v>
      </c>
      <c r="FJ83" s="723">
        <v>-4.52e-6</v>
      </c>
      <c r="FK83" s="723">
        <v>1.15e-8</v>
      </c>
      <c r="FL83" s="723">
        <v>-2.19e-11</v>
      </c>
      <c r="FM83" s="723">
        <v>9.64e-7</v>
      </c>
      <c r="FN83" s="723">
        <v>1.1e-9</v>
      </c>
      <c r="FO83" s="723">
        <v>0.296</v>
      </c>
      <c r="FP83" s="729">
        <v>1</v>
      </c>
      <c r="FQ83" s="729">
        <v>1</v>
      </c>
      <c r="FR83" s="729">
        <v>1</v>
      </c>
      <c r="FS83" s="729">
        <v>1</v>
      </c>
      <c r="FT83" s="729">
        <v>1</v>
      </c>
      <c r="FU83" s="729">
        <v>1</v>
      </c>
      <c r="FV83" s="681">
        <v>1</v>
      </c>
      <c r="FW83" s="729"/>
      <c r="FX83" s="729"/>
      <c r="FY83" s="729"/>
      <c r="FZ83" s="746">
        <v>601</v>
      </c>
      <c r="GA83" s="746">
        <v>638</v>
      </c>
      <c r="GB83" s="681">
        <v>535</v>
      </c>
      <c r="GC83" s="681">
        <v>573</v>
      </c>
      <c r="GD83" s="747">
        <v>0.98</v>
      </c>
      <c r="GE83" s="729"/>
      <c r="GF83" s="681">
        <v>87</v>
      </c>
      <c r="GG83" s="681">
        <v>111</v>
      </c>
      <c r="GH83" s="681">
        <v>80</v>
      </c>
      <c r="GI83" s="681">
        <v>81</v>
      </c>
      <c r="GJ83" s="681">
        <v>82</v>
      </c>
      <c r="GK83" s="681">
        <v>82</v>
      </c>
      <c r="GL83" s="681">
        <v>84</v>
      </c>
      <c r="GM83" s="681">
        <v>87</v>
      </c>
      <c r="GN83" s="681">
        <v>88</v>
      </c>
      <c r="GO83" s="681">
        <v>88</v>
      </c>
      <c r="GP83" s="681">
        <v>89</v>
      </c>
      <c r="GQ83" s="681">
        <v>91</v>
      </c>
      <c r="GR83" s="681">
        <v>93</v>
      </c>
      <c r="GS83" s="681">
        <v>93</v>
      </c>
      <c r="GT83" s="681">
        <v>95</v>
      </c>
      <c r="GU83" s="681">
        <v>96</v>
      </c>
      <c r="GV83" s="681">
        <v>98</v>
      </c>
      <c r="GW83" s="681">
        <v>98</v>
      </c>
      <c r="GX83" s="681">
        <v>99</v>
      </c>
      <c r="GY83" s="681">
        <v>102</v>
      </c>
      <c r="GZ83" s="681">
        <v>103</v>
      </c>
      <c r="HA83" s="681">
        <v>104</v>
      </c>
      <c r="HB83" s="681">
        <v>107</v>
      </c>
      <c r="HC83" s="681"/>
      <c r="HD83" s="738">
        <v>245</v>
      </c>
      <c r="HE83" s="681"/>
      <c r="HF83" s="681">
        <v>528</v>
      </c>
      <c r="HG83" s="681">
        <v>181</v>
      </c>
      <c r="HH83" s="714">
        <v>91.5</v>
      </c>
      <c r="HI83" s="714">
        <v>35.7</v>
      </c>
      <c r="HJ83" s="753">
        <v>0.281</v>
      </c>
      <c r="HK83" s="681">
        <v>70</v>
      </c>
      <c r="HL83" s="685">
        <v>2.73</v>
      </c>
      <c r="HM83" s="747">
        <v>3.22</v>
      </c>
      <c r="HN83" s="646" t="s">
        <v>781</v>
      </c>
      <c r="HO83" s="729" t="s">
        <v>827</v>
      </c>
      <c r="HP83" s="714">
        <v>-0.9</v>
      </c>
      <c r="HQ83" s="754">
        <v>0.95</v>
      </c>
      <c r="HR83" s="754">
        <v>0.976</v>
      </c>
      <c r="HS83" s="754">
        <v>0.987</v>
      </c>
      <c r="HT83" s="754">
        <v>0.993</v>
      </c>
      <c r="HU83" s="754">
        <v>0.998</v>
      </c>
      <c r="HV83" s="754">
        <v>0.998</v>
      </c>
      <c r="HW83" s="754">
        <v>0.998</v>
      </c>
      <c r="HX83" s="754">
        <v>0.998</v>
      </c>
      <c r="HY83" s="754">
        <v>0.998</v>
      </c>
      <c r="HZ83" s="754">
        <v>0.998</v>
      </c>
      <c r="IA83" s="754">
        <v>0.998</v>
      </c>
      <c r="IB83" s="754">
        <v>0.998</v>
      </c>
      <c r="IC83" s="754">
        <v>0.998</v>
      </c>
      <c r="ID83" s="754">
        <v>0.998</v>
      </c>
      <c r="IE83" s="754">
        <v>0.998</v>
      </c>
      <c r="IF83" s="754">
        <v>0.998</v>
      </c>
      <c r="IG83" s="754">
        <v>0.998</v>
      </c>
      <c r="IH83" s="754">
        <v>0.996</v>
      </c>
      <c r="II83" s="754">
        <v>0.994</v>
      </c>
      <c r="IJ83" s="754">
        <v>0.99</v>
      </c>
      <c r="IK83" s="754">
        <v>0.984</v>
      </c>
      <c r="IL83" s="754">
        <v>0.976</v>
      </c>
      <c r="IM83" s="754">
        <v>0.962</v>
      </c>
      <c r="IN83" s="754">
        <v>0.907</v>
      </c>
      <c r="IO83" s="754">
        <v>0.812</v>
      </c>
      <c r="IP83" s="754">
        <v>0.64</v>
      </c>
      <c r="IQ83" s="754">
        <v>0.308</v>
      </c>
      <c r="IR83" s="754"/>
      <c r="IS83" s="753"/>
      <c r="IT83" s="753"/>
      <c r="IU83" s="753"/>
      <c r="IV83" s="753"/>
      <c r="IW83" s="753"/>
      <c r="IX83" s="753"/>
      <c r="IY83" s="753"/>
      <c r="IZ83" s="753"/>
      <c r="JA83" s="754">
        <v>0.9</v>
      </c>
      <c r="JB83" s="754">
        <v>0.95</v>
      </c>
      <c r="JC83" s="754">
        <v>0.972</v>
      </c>
      <c r="JD83" s="754">
        <v>0.984</v>
      </c>
      <c r="JE83" s="754">
        <v>0.996</v>
      </c>
      <c r="JF83" s="754">
        <v>0.996</v>
      </c>
      <c r="JG83" s="754">
        <v>0.996</v>
      </c>
      <c r="JH83" s="754">
        <v>0.996</v>
      </c>
      <c r="JI83" s="754">
        <v>0.996</v>
      </c>
      <c r="JJ83" s="754">
        <v>0.996</v>
      </c>
      <c r="JK83" s="754">
        <v>0.996</v>
      </c>
      <c r="JL83" s="754">
        <v>0.996</v>
      </c>
      <c r="JM83" s="754">
        <v>0.996</v>
      </c>
      <c r="JN83" s="754">
        <v>0.996</v>
      </c>
      <c r="JO83" s="754">
        <v>0.996</v>
      </c>
      <c r="JP83" s="754">
        <v>0.996</v>
      </c>
      <c r="JQ83" s="754">
        <v>0.996</v>
      </c>
      <c r="JR83" s="754">
        <v>0.992</v>
      </c>
      <c r="JS83" s="754">
        <v>0.988</v>
      </c>
      <c r="JT83" s="754">
        <v>0.98</v>
      </c>
      <c r="JU83" s="754">
        <v>0.968</v>
      </c>
      <c r="JV83" s="754">
        <v>0.953</v>
      </c>
      <c r="JW83" s="754">
        <v>0.925</v>
      </c>
      <c r="JX83" s="754">
        <v>0.819</v>
      </c>
      <c r="JY83" s="754">
        <v>0.658</v>
      </c>
      <c r="JZ83" s="754">
        <v>0.407</v>
      </c>
      <c r="KA83" s="754">
        <v>0.095</v>
      </c>
      <c r="KB83" s="754"/>
      <c r="KC83" s="753"/>
      <c r="KD83" s="754"/>
      <c r="KE83" s="754"/>
      <c r="KF83" s="754"/>
      <c r="KG83" s="754"/>
      <c r="KH83" s="754"/>
      <c r="KI83" s="754"/>
      <c r="KJ83" s="754"/>
      <c r="KK83" s="765" t="s">
        <v>281</v>
      </c>
      <c r="KL83" s="738">
        <v>45</v>
      </c>
      <c r="KM83" s="738">
        <v>145</v>
      </c>
      <c r="KN83" s="646" t="s">
        <v>282</v>
      </c>
      <c r="KO83" s="646" t="s">
        <v>826</v>
      </c>
      <c r="KP83" s="680">
        <v>785257</v>
      </c>
      <c r="KQ83" s="766" t="s">
        <v>828</v>
      </c>
      <c r="KR83" s="750" t="s">
        <v>829</v>
      </c>
      <c r="KS83" s="769" t="s">
        <v>826</v>
      </c>
      <c r="KT83" s="770" t="s">
        <v>829</v>
      </c>
      <c r="KU83" s="766" t="s">
        <v>830</v>
      </c>
      <c r="KV83" s="750">
        <v>785257</v>
      </c>
      <c r="KW83" s="771" t="s">
        <v>831</v>
      </c>
      <c r="KX83" s="750" t="s">
        <v>832</v>
      </c>
      <c r="KY83" s="769" t="s">
        <v>833</v>
      </c>
      <c r="KZ83" s="770" t="s">
        <v>829</v>
      </c>
    </row>
    <row r="84" s="628" customFormat="1" customHeight="1" spans="1:312">
      <c r="A84" s="682" t="s">
        <v>277</v>
      </c>
      <c r="B84" s="683">
        <v>80</v>
      </c>
      <c r="C84" s="689" t="s">
        <v>834</v>
      </c>
      <c r="D84" s="680">
        <v>785257</v>
      </c>
      <c r="E84" s="685">
        <v>25.72</v>
      </c>
      <c r="F84" s="685">
        <v>25.51</v>
      </c>
      <c r="G84" s="688">
        <v>0.03051</v>
      </c>
      <c r="H84" s="686">
        <v>0.031042</v>
      </c>
      <c r="I84" s="696">
        <v>1.73037</v>
      </c>
      <c r="J84" s="696">
        <v>1.73662</v>
      </c>
      <c r="K84" s="696">
        <v>1.74411</v>
      </c>
      <c r="L84" s="696">
        <v>1.75231</v>
      </c>
      <c r="M84" s="696">
        <v>1.75406</v>
      </c>
      <c r="N84" s="696">
        <v>1.75557</v>
      </c>
      <c r="O84" s="696">
        <v>1.76192</v>
      </c>
      <c r="P84" s="696">
        <v>1.76666</v>
      </c>
      <c r="Q84" s="697">
        <v>1.77124</v>
      </c>
      <c r="R84" s="697">
        <v>1.77597</v>
      </c>
      <c r="S84" s="697">
        <v>1.77733</v>
      </c>
      <c r="T84" s="701">
        <v>1.77861</v>
      </c>
      <c r="U84" s="697">
        <v>1.78446</v>
      </c>
      <c r="V84" s="697">
        <v>1.78472</v>
      </c>
      <c r="W84" s="697">
        <v>1.79191</v>
      </c>
      <c r="X84" s="697">
        <v>1.80648</v>
      </c>
      <c r="Y84" s="697">
        <v>1.80837</v>
      </c>
      <c r="Z84" s="697">
        <v>1.82522</v>
      </c>
      <c r="AA84" s="697">
        <v>1.8421</v>
      </c>
      <c r="AB84" s="697">
        <v>1.87399</v>
      </c>
      <c r="AC84" s="704">
        <v>3.05227481</v>
      </c>
      <c r="AD84" s="705">
        <v>-0.0121808741</v>
      </c>
      <c r="AE84" s="705">
        <v>0.0416791281</v>
      </c>
      <c r="AF84" s="705">
        <v>0.0017993293</v>
      </c>
      <c r="AG84" s="705">
        <v>1.916596e-5</v>
      </c>
      <c r="AH84" s="705">
        <v>1.22563456e-5</v>
      </c>
      <c r="AI84" s="709">
        <v>0.2868</v>
      </c>
      <c r="AJ84" s="709">
        <v>0.2357</v>
      </c>
      <c r="AK84" s="709">
        <v>0.6142</v>
      </c>
      <c r="AL84" s="709">
        <v>0.2381</v>
      </c>
      <c r="AM84" s="709">
        <v>0.2316</v>
      </c>
      <c r="AN84" s="709">
        <v>0.5428</v>
      </c>
      <c r="AO84" s="709">
        <v>0.0015</v>
      </c>
      <c r="AP84" s="709">
        <v>0.0133</v>
      </c>
      <c r="AQ84" s="709">
        <v>0.0039</v>
      </c>
      <c r="AR84" s="709">
        <v>-0.0016</v>
      </c>
      <c r="AS84" s="714">
        <v>-0.8</v>
      </c>
      <c r="AT84" s="714">
        <v>-0.7</v>
      </c>
      <c r="AU84" s="714">
        <v>-0.7</v>
      </c>
      <c r="AV84" s="714">
        <v>-0.6</v>
      </c>
      <c r="AW84" s="714">
        <v>-0.6</v>
      </c>
      <c r="AX84" s="714">
        <v>-0.5</v>
      </c>
      <c r="AY84" s="714">
        <v>-0.5</v>
      </c>
      <c r="AZ84" s="714">
        <v>-0.3</v>
      </c>
      <c r="BA84" s="714">
        <v>-0.2</v>
      </c>
      <c r="BB84" s="714">
        <v>0</v>
      </c>
      <c r="BC84" s="714">
        <v>0</v>
      </c>
      <c r="BD84" s="714">
        <v>-0.1</v>
      </c>
      <c r="BE84" s="714">
        <v>0</v>
      </c>
      <c r="BF84" s="714">
        <v>0</v>
      </c>
      <c r="BG84" s="714">
        <v>0.1</v>
      </c>
      <c r="BH84" s="714">
        <v>0.2</v>
      </c>
      <c r="BI84" s="714">
        <v>0.3</v>
      </c>
      <c r="BJ84" s="714">
        <v>0.4</v>
      </c>
      <c r="BK84" s="714">
        <v>0.5</v>
      </c>
      <c r="BL84" s="714">
        <v>0.6</v>
      </c>
      <c r="BM84" s="714">
        <v>0.7</v>
      </c>
      <c r="BN84" s="714">
        <v>0.8</v>
      </c>
      <c r="BO84" s="714">
        <v>0.4</v>
      </c>
      <c r="BP84" s="714">
        <v>0.4</v>
      </c>
      <c r="BQ84" s="714">
        <v>0.5</v>
      </c>
      <c r="BR84" s="714">
        <v>0.6</v>
      </c>
      <c r="BS84" s="714">
        <v>0.7</v>
      </c>
      <c r="BT84" s="714">
        <v>0.8</v>
      </c>
      <c r="BU84" s="714">
        <v>0.9</v>
      </c>
      <c r="BV84" s="714">
        <v>1</v>
      </c>
      <c r="BW84" s="714">
        <v>1.1</v>
      </c>
      <c r="BX84" s="714">
        <v>1.2</v>
      </c>
      <c r="BY84" s="714">
        <v>1.3</v>
      </c>
      <c r="BZ84" s="714">
        <v>0.4</v>
      </c>
      <c r="CA84" s="714">
        <v>0.4</v>
      </c>
      <c r="CB84" s="714">
        <v>0.5</v>
      </c>
      <c r="CC84" s="714">
        <v>0.6</v>
      </c>
      <c r="CD84" s="714">
        <v>0.7</v>
      </c>
      <c r="CE84" s="714">
        <v>0.8</v>
      </c>
      <c r="CF84" s="714">
        <v>0.9</v>
      </c>
      <c r="CG84" s="714">
        <v>1</v>
      </c>
      <c r="CH84" s="714">
        <v>1.2</v>
      </c>
      <c r="CI84" s="714">
        <v>1.3</v>
      </c>
      <c r="CJ84" s="714">
        <v>1.4</v>
      </c>
      <c r="CK84" s="714">
        <v>0.5</v>
      </c>
      <c r="CL84" s="715">
        <v>0.6</v>
      </c>
      <c r="CM84" s="715">
        <v>0.6</v>
      </c>
      <c r="CN84" s="715">
        <v>0.7</v>
      </c>
      <c r="CO84" s="715">
        <v>0.8</v>
      </c>
      <c r="CP84" s="715">
        <v>0.9</v>
      </c>
      <c r="CQ84" s="715">
        <v>1</v>
      </c>
      <c r="CR84" s="714">
        <v>1.1</v>
      </c>
      <c r="CS84" s="714">
        <v>1.2</v>
      </c>
      <c r="CT84" s="714">
        <v>1.3</v>
      </c>
      <c r="CU84" s="714">
        <v>1.5</v>
      </c>
      <c r="CV84" s="714">
        <v>0.8</v>
      </c>
      <c r="CW84" s="715">
        <v>0.8</v>
      </c>
      <c r="CX84" s="715">
        <v>1</v>
      </c>
      <c r="CY84" s="715">
        <v>1.1</v>
      </c>
      <c r="CZ84" s="715">
        <v>1.2</v>
      </c>
      <c r="DA84" s="715">
        <v>1.3</v>
      </c>
      <c r="DB84" s="715">
        <v>1.5</v>
      </c>
      <c r="DC84" s="714">
        <v>1.7</v>
      </c>
      <c r="DD84" s="714">
        <v>2</v>
      </c>
      <c r="DE84" s="714">
        <v>2.1</v>
      </c>
      <c r="DF84" s="714">
        <v>2.2</v>
      </c>
      <c r="DG84" s="714">
        <v>1.3</v>
      </c>
      <c r="DH84" s="715">
        <v>1.3</v>
      </c>
      <c r="DI84" s="715">
        <v>1.4</v>
      </c>
      <c r="DJ84" s="715">
        <v>1.6</v>
      </c>
      <c r="DK84" s="715">
        <v>1.9</v>
      </c>
      <c r="DL84" s="715">
        <v>2</v>
      </c>
      <c r="DM84" s="715">
        <v>2.2</v>
      </c>
      <c r="DN84" s="714">
        <v>2.3</v>
      </c>
      <c r="DO84" s="714">
        <v>2.4</v>
      </c>
      <c r="DP84" s="714">
        <v>2.7</v>
      </c>
      <c r="DQ84" s="714">
        <v>2.9</v>
      </c>
      <c r="DR84" s="714">
        <v>2.4</v>
      </c>
      <c r="DS84" s="715">
        <v>2.5</v>
      </c>
      <c r="DT84" s="715">
        <v>2.7</v>
      </c>
      <c r="DU84" s="715">
        <v>3</v>
      </c>
      <c r="DV84" s="715">
        <v>3.2</v>
      </c>
      <c r="DW84" s="715">
        <v>3.4</v>
      </c>
      <c r="DX84" s="715">
        <v>3.6</v>
      </c>
      <c r="DY84" s="714">
        <v>3.9</v>
      </c>
      <c r="DZ84" s="714">
        <v>4.2</v>
      </c>
      <c r="EA84" s="714">
        <v>4.4</v>
      </c>
      <c r="EB84" s="714">
        <v>4.6</v>
      </c>
      <c r="EC84" s="714">
        <v>2.5</v>
      </c>
      <c r="ED84" s="715">
        <v>2.6</v>
      </c>
      <c r="EE84" s="715">
        <v>2.8</v>
      </c>
      <c r="EF84" s="715">
        <v>3.1</v>
      </c>
      <c r="EG84" s="715">
        <v>3.2</v>
      </c>
      <c r="EH84" s="715">
        <v>3.4</v>
      </c>
      <c r="EI84" s="715">
        <v>3.7</v>
      </c>
      <c r="EJ84" s="714">
        <v>4</v>
      </c>
      <c r="EK84" s="714">
        <v>4.3</v>
      </c>
      <c r="EL84" s="714">
        <v>4.5</v>
      </c>
      <c r="EM84" s="714">
        <v>4.7</v>
      </c>
      <c r="EN84" s="714">
        <v>3.7</v>
      </c>
      <c r="EO84" s="715">
        <v>3.9</v>
      </c>
      <c r="EP84" s="715">
        <v>4.3</v>
      </c>
      <c r="EQ84" s="715">
        <v>4.8</v>
      </c>
      <c r="ER84" s="715">
        <v>5.1</v>
      </c>
      <c r="ES84" s="715">
        <v>5.3</v>
      </c>
      <c r="ET84" s="715">
        <v>5.7</v>
      </c>
      <c r="EU84" s="714">
        <v>6</v>
      </c>
      <c r="EV84" s="714">
        <v>6.3</v>
      </c>
      <c r="EW84" s="714">
        <v>6.5</v>
      </c>
      <c r="EX84" s="714">
        <v>6.7</v>
      </c>
      <c r="EY84" s="714">
        <v>-2.4</v>
      </c>
      <c r="EZ84" s="715">
        <v>-1.8</v>
      </c>
      <c r="FA84" s="715">
        <v>-1.5</v>
      </c>
      <c r="FB84" s="715">
        <v>-1.1</v>
      </c>
      <c r="FC84" s="715">
        <v>-0.7</v>
      </c>
      <c r="FD84" s="715">
        <v>-0.5</v>
      </c>
      <c r="FE84" s="715">
        <v>-0.2</v>
      </c>
      <c r="FF84" s="714">
        <v>0</v>
      </c>
      <c r="FG84" s="714">
        <v>0.2</v>
      </c>
      <c r="FH84" s="714">
        <v>0.4</v>
      </c>
      <c r="FI84" s="714">
        <v>0.7</v>
      </c>
      <c r="FJ84" s="723">
        <v>-4.52e-6</v>
      </c>
      <c r="FK84" s="723">
        <v>1.15e-8</v>
      </c>
      <c r="FL84" s="723">
        <v>-2.19e-11</v>
      </c>
      <c r="FM84" s="723">
        <v>9.64e-7</v>
      </c>
      <c r="FN84" s="723">
        <v>1.1e-9</v>
      </c>
      <c r="FO84" s="723">
        <v>0.296</v>
      </c>
      <c r="FP84" s="729">
        <v>1</v>
      </c>
      <c r="FQ84" s="729">
        <v>1</v>
      </c>
      <c r="FR84" s="729">
        <v>1</v>
      </c>
      <c r="FS84" s="729">
        <v>1</v>
      </c>
      <c r="FT84" s="729">
        <v>1</v>
      </c>
      <c r="FU84" s="729">
        <v>1</v>
      </c>
      <c r="FV84" s="681">
        <v>1</v>
      </c>
      <c r="FW84" s="729"/>
      <c r="FX84" s="729"/>
      <c r="FY84" s="729"/>
      <c r="FZ84" s="746">
        <v>601</v>
      </c>
      <c r="GA84" s="746">
        <v>638</v>
      </c>
      <c r="GB84" s="681">
        <v>535</v>
      </c>
      <c r="GC84" s="681">
        <v>573</v>
      </c>
      <c r="GD84" s="747">
        <v>0.98</v>
      </c>
      <c r="GE84" s="729"/>
      <c r="GF84" s="681">
        <v>87</v>
      </c>
      <c r="GG84" s="681">
        <v>111</v>
      </c>
      <c r="GH84" s="681">
        <v>80</v>
      </c>
      <c r="GI84" s="681">
        <v>81</v>
      </c>
      <c r="GJ84" s="681">
        <v>82</v>
      </c>
      <c r="GK84" s="681">
        <v>82</v>
      </c>
      <c r="GL84" s="681">
        <v>84</v>
      </c>
      <c r="GM84" s="681">
        <v>87</v>
      </c>
      <c r="GN84" s="681">
        <v>88</v>
      </c>
      <c r="GO84" s="681">
        <v>88</v>
      </c>
      <c r="GP84" s="681">
        <v>89</v>
      </c>
      <c r="GQ84" s="681">
        <v>91</v>
      </c>
      <c r="GR84" s="681">
        <v>93</v>
      </c>
      <c r="GS84" s="681">
        <v>93</v>
      </c>
      <c r="GT84" s="681">
        <v>95</v>
      </c>
      <c r="GU84" s="681">
        <v>96</v>
      </c>
      <c r="GV84" s="681">
        <v>98</v>
      </c>
      <c r="GW84" s="681">
        <v>98</v>
      </c>
      <c r="GX84" s="681">
        <v>99</v>
      </c>
      <c r="GY84" s="681">
        <v>102</v>
      </c>
      <c r="GZ84" s="681">
        <v>103</v>
      </c>
      <c r="HA84" s="681">
        <v>104</v>
      </c>
      <c r="HB84" s="681">
        <v>107</v>
      </c>
      <c r="HC84" s="681"/>
      <c r="HD84" s="738">
        <v>245</v>
      </c>
      <c r="HE84" s="681"/>
      <c r="HF84" s="681">
        <v>528</v>
      </c>
      <c r="HG84" s="681">
        <v>181</v>
      </c>
      <c r="HH84" s="714">
        <v>91.5</v>
      </c>
      <c r="HI84" s="714">
        <v>35.7</v>
      </c>
      <c r="HJ84" s="753">
        <v>0.281</v>
      </c>
      <c r="HK84" s="681">
        <v>70</v>
      </c>
      <c r="HL84" s="685">
        <v>2.73</v>
      </c>
      <c r="HM84" s="747">
        <v>3.22</v>
      </c>
      <c r="HN84" s="646" t="s">
        <v>791</v>
      </c>
      <c r="HO84" s="729" t="s">
        <v>818</v>
      </c>
      <c r="HP84" s="714">
        <v>-0.9</v>
      </c>
      <c r="HQ84" s="754">
        <v>0.95</v>
      </c>
      <c r="HR84" s="754">
        <v>0.976</v>
      </c>
      <c r="HS84" s="754">
        <v>0.987</v>
      </c>
      <c r="HT84" s="754">
        <v>0.993</v>
      </c>
      <c r="HU84" s="754">
        <v>0.998</v>
      </c>
      <c r="HV84" s="754">
        <v>0.998</v>
      </c>
      <c r="HW84" s="754">
        <v>0.998</v>
      </c>
      <c r="HX84" s="754">
        <v>0.998</v>
      </c>
      <c r="HY84" s="754">
        <v>0.998</v>
      </c>
      <c r="HZ84" s="754">
        <v>0.998</v>
      </c>
      <c r="IA84" s="754">
        <v>0.998</v>
      </c>
      <c r="IB84" s="754">
        <v>0.998</v>
      </c>
      <c r="IC84" s="754">
        <v>0.998</v>
      </c>
      <c r="ID84" s="754">
        <v>0.998</v>
      </c>
      <c r="IE84" s="754">
        <v>0.998</v>
      </c>
      <c r="IF84" s="754">
        <v>0.998</v>
      </c>
      <c r="IG84" s="754">
        <v>0.998</v>
      </c>
      <c r="IH84" s="754">
        <v>0.998</v>
      </c>
      <c r="II84" s="754">
        <v>0.998</v>
      </c>
      <c r="IJ84" s="754">
        <v>0.996</v>
      </c>
      <c r="IK84" s="754">
        <v>0.993</v>
      </c>
      <c r="IL84" s="754">
        <v>0.986</v>
      </c>
      <c r="IM84" s="754">
        <v>0.97</v>
      </c>
      <c r="IN84" s="754">
        <v>0.938</v>
      </c>
      <c r="IO84" s="754">
        <v>0.891</v>
      </c>
      <c r="IP84" s="754">
        <v>0.76</v>
      </c>
      <c r="IQ84" s="754">
        <v>0.458</v>
      </c>
      <c r="IR84" s="754">
        <v>0.068</v>
      </c>
      <c r="IS84" s="753"/>
      <c r="IT84" s="753"/>
      <c r="IU84" s="753"/>
      <c r="IV84" s="753"/>
      <c r="IW84" s="753"/>
      <c r="IX84" s="753"/>
      <c r="IY84" s="753"/>
      <c r="IZ84" s="753"/>
      <c r="JA84" s="754">
        <v>0.9</v>
      </c>
      <c r="JB84" s="754">
        <v>0.95</v>
      </c>
      <c r="JC84" s="754">
        <v>0.972</v>
      </c>
      <c r="JD84" s="754">
        <v>0.984</v>
      </c>
      <c r="JE84" s="754">
        <v>0.996</v>
      </c>
      <c r="JF84" s="754">
        <v>0.996</v>
      </c>
      <c r="JG84" s="754">
        <v>0.996</v>
      </c>
      <c r="JH84" s="754">
        <v>0.996</v>
      </c>
      <c r="JI84" s="754">
        <v>0.996</v>
      </c>
      <c r="JJ84" s="754">
        <v>0.996</v>
      </c>
      <c r="JK84" s="754">
        <v>0.996</v>
      </c>
      <c r="JL84" s="754">
        <v>0.996</v>
      </c>
      <c r="JM84" s="754">
        <v>0.996</v>
      </c>
      <c r="JN84" s="754">
        <v>0.996</v>
      </c>
      <c r="JO84" s="754">
        <v>0.996</v>
      </c>
      <c r="JP84" s="754">
        <v>0.996</v>
      </c>
      <c r="JQ84" s="754">
        <v>0.996</v>
      </c>
      <c r="JR84" s="754">
        <v>0.996</v>
      </c>
      <c r="JS84" s="754">
        <v>0.996</v>
      </c>
      <c r="JT84" s="754">
        <v>0.992</v>
      </c>
      <c r="JU84" s="754">
        <v>0.985</v>
      </c>
      <c r="JV84" s="754">
        <v>0.975</v>
      </c>
      <c r="JW84" s="754">
        <v>0.95</v>
      </c>
      <c r="JX84" s="754">
        <v>0.889</v>
      </c>
      <c r="JY84" s="754">
        <v>0.801</v>
      </c>
      <c r="JZ84" s="754">
        <v>0.59</v>
      </c>
      <c r="KA84" s="754">
        <v>0.21</v>
      </c>
      <c r="KB84" s="754">
        <v>0.005</v>
      </c>
      <c r="KC84" s="753"/>
      <c r="KD84" s="754"/>
      <c r="KE84" s="754"/>
      <c r="KF84" s="754"/>
      <c r="KG84" s="754"/>
      <c r="KH84" s="754"/>
      <c r="KI84" s="754"/>
      <c r="KJ84" s="754"/>
      <c r="KK84" s="765" t="s">
        <v>281</v>
      </c>
      <c r="KL84" s="738">
        <v>45</v>
      </c>
      <c r="KM84" s="738">
        <v>145</v>
      </c>
      <c r="KN84" s="646" t="s">
        <v>282</v>
      </c>
      <c r="KO84" s="646" t="s">
        <v>834</v>
      </c>
      <c r="KP84" s="680">
        <v>785257</v>
      </c>
      <c r="KQ84" s="766"/>
      <c r="KR84" s="750"/>
      <c r="KS84" s="769" t="s">
        <v>834</v>
      </c>
      <c r="KT84" s="770" t="s">
        <v>829</v>
      </c>
      <c r="KU84" s="766"/>
      <c r="KV84" s="750"/>
      <c r="KW84" s="771"/>
      <c r="KX84" s="750"/>
      <c r="KY84" s="769"/>
      <c r="KZ84" s="770"/>
    </row>
    <row r="85" s="628" customFormat="1" customHeight="1" spans="1:312">
      <c r="A85" s="682" t="s">
        <v>345</v>
      </c>
      <c r="B85" s="683">
        <v>81</v>
      </c>
      <c r="C85" s="689" t="s">
        <v>835</v>
      </c>
      <c r="D85" s="680">
        <v>664274</v>
      </c>
      <c r="E85" s="685">
        <v>27.35</v>
      </c>
      <c r="F85" s="685">
        <v>27.09</v>
      </c>
      <c r="G85" s="688">
        <v>0.024274</v>
      </c>
      <c r="H85" s="686">
        <v>0.024713</v>
      </c>
      <c r="I85" s="696"/>
      <c r="J85" s="696"/>
      <c r="K85" s="646"/>
      <c r="L85" s="696">
        <v>1.63798</v>
      </c>
      <c r="M85" s="696">
        <v>1.63943</v>
      </c>
      <c r="N85" s="696">
        <v>1.64066</v>
      </c>
      <c r="O85" s="696">
        <v>1.64575</v>
      </c>
      <c r="P85" s="696">
        <v>1.64951</v>
      </c>
      <c r="Q85" s="696">
        <v>1.65313</v>
      </c>
      <c r="R85" s="697">
        <v>1.65688</v>
      </c>
      <c r="S85" s="697">
        <v>1.65796</v>
      </c>
      <c r="T85" s="701">
        <v>1.65897</v>
      </c>
      <c r="U85" s="697">
        <v>1.66361</v>
      </c>
      <c r="V85" s="697">
        <v>1.66382</v>
      </c>
      <c r="W85" s="697">
        <v>1.66953</v>
      </c>
      <c r="X85" s="697">
        <v>1.68116</v>
      </c>
      <c r="Y85" s="697">
        <v>1.68267</v>
      </c>
      <c r="Z85" s="697">
        <v>1.6963</v>
      </c>
      <c r="AA85" s="697">
        <v>1.71027</v>
      </c>
      <c r="AB85" s="697">
        <v>1.73801</v>
      </c>
      <c r="AC85" s="704">
        <v>2.67714843</v>
      </c>
      <c r="AD85" s="705">
        <v>-0.0125476109</v>
      </c>
      <c r="AE85" s="705">
        <v>0.0253428256</v>
      </c>
      <c r="AF85" s="705">
        <v>0.00334008152</v>
      </c>
      <c r="AG85" s="705">
        <v>-0.000350698887</v>
      </c>
      <c r="AH85" s="705">
        <v>3.6274412e-5</v>
      </c>
      <c r="AI85" s="709">
        <v>0.2856</v>
      </c>
      <c r="AJ85" s="709">
        <v>0.2353</v>
      </c>
      <c r="AK85" s="709">
        <v>0.624</v>
      </c>
      <c r="AL85" s="709">
        <v>0.237</v>
      </c>
      <c r="AM85" s="709">
        <v>0.2311</v>
      </c>
      <c r="AN85" s="709">
        <v>0.5516</v>
      </c>
      <c r="AO85" s="709">
        <v>0.004</v>
      </c>
      <c r="AP85" s="709">
        <v>0.0258</v>
      </c>
      <c r="AQ85" s="709">
        <v>-0.0044</v>
      </c>
      <c r="AR85" s="709">
        <v>-0.0074</v>
      </c>
      <c r="AS85" s="714">
        <v>-6.4</v>
      </c>
      <c r="AT85" s="715">
        <v>-6.3</v>
      </c>
      <c r="AU85" s="715">
        <v>-6.1</v>
      </c>
      <c r="AV85" s="715">
        <v>-5.9</v>
      </c>
      <c r="AW85" s="715">
        <v>-5.7</v>
      </c>
      <c r="AX85" s="715">
        <v>-5.4</v>
      </c>
      <c r="AY85" s="715">
        <v>-5.2</v>
      </c>
      <c r="AZ85" s="715">
        <v>-5</v>
      </c>
      <c r="BA85" s="715">
        <v>-4.8</v>
      </c>
      <c r="BB85" s="715">
        <v>-4.6</v>
      </c>
      <c r="BC85" s="715">
        <v>-4.4</v>
      </c>
      <c r="BD85" s="715">
        <v>-6.1</v>
      </c>
      <c r="BE85" s="715">
        <v>-6</v>
      </c>
      <c r="BF85" s="715">
        <v>-5.8</v>
      </c>
      <c r="BG85" s="715">
        <v>-5.6</v>
      </c>
      <c r="BH85" s="715">
        <v>-5.4</v>
      </c>
      <c r="BI85" s="715">
        <v>-5.1</v>
      </c>
      <c r="BJ85" s="715">
        <v>-4.9</v>
      </c>
      <c r="BK85" s="715">
        <v>-4.7</v>
      </c>
      <c r="BL85" s="715">
        <v>-4.4</v>
      </c>
      <c r="BM85" s="715">
        <v>-4.2</v>
      </c>
      <c r="BN85" s="715">
        <v>-4.1</v>
      </c>
      <c r="BO85" s="715">
        <v>-5.4</v>
      </c>
      <c r="BP85" s="715">
        <v>-5.3</v>
      </c>
      <c r="BQ85" s="715">
        <v>-5.1</v>
      </c>
      <c r="BR85" s="715">
        <v>-4.9</v>
      </c>
      <c r="BS85" s="715">
        <v>-4.6</v>
      </c>
      <c r="BT85" s="715">
        <v>-4.4</v>
      </c>
      <c r="BU85" s="715">
        <v>-4.1</v>
      </c>
      <c r="BV85" s="715">
        <v>-3.9</v>
      </c>
      <c r="BW85" s="715">
        <v>-3.6</v>
      </c>
      <c r="BX85" s="715">
        <v>-3.4</v>
      </c>
      <c r="BY85" s="715">
        <v>-3.2</v>
      </c>
      <c r="BZ85" s="715">
        <v>-5.3</v>
      </c>
      <c r="CA85" s="715">
        <v>-5.2</v>
      </c>
      <c r="CB85" s="715">
        <v>-5</v>
      </c>
      <c r="CC85" s="715">
        <v>-4.8</v>
      </c>
      <c r="CD85" s="715">
        <v>-4.5</v>
      </c>
      <c r="CE85" s="715">
        <v>-4.3</v>
      </c>
      <c r="CF85" s="715">
        <v>-4</v>
      </c>
      <c r="CG85" s="715">
        <v>-3.8</v>
      </c>
      <c r="CH85" s="715">
        <v>-3.6</v>
      </c>
      <c r="CI85" s="715">
        <v>-3.4</v>
      </c>
      <c r="CJ85" s="715">
        <v>-3.2</v>
      </c>
      <c r="CK85" s="715">
        <v>-5.3</v>
      </c>
      <c r="CL85" s="715">
        <v>-5.2</v>
      </c>
      <c r="CM85" s="715">
        <v>-4.9</v>
      </c>
      <c r="CN85" s="715">
        <v>-4.7</v>
      </c>
      <c r="CO85" s="715">
        <v>-4.5</v>
      </c>
      <c r="CP85" s="715">
        <v>-4.2</v>
      </c>
      <c r="CQ85" s="715">
        <v>-4</v>
      </c>
      <c r="CR85" s="715">
        <v>-3.7</v>
      </c>
      <c r="CS85" s="715">
        <v>-3.5</v>
      </c>
      <c r="CT85" s="715">
        <v>-3.3</v>
      </c>
      <c r="CU85" s="715">
        <v>-3.1</v>
      </c>
      <c r="CV85" s="715">
        <v>-5</v>
      </c>
      <c r="CW85" s="715">
        <v>-4.8</v>
      </c>
      <c r="CX85" s="715">
        <v>-4.6</v>
      </c>
      <c r="CY85" s="715">
        <v>-4.4</v>
      </c>
      <c r="CZ85" s="715">
        <v>-4.2</v>
      </c>
      <c r="DA85" s="715">
        <v>-3.9</v>
      </c>
      <c r="DB85" s="715">
        <v>-3.6</v>
      </c>
      <c r="DC85" s="715">
        <v>-3.4</v>
      </c>
      <c r="DD85" s="715">
        <v>-3.1</v>
      </c>
      <c r="DE85" s="715">
        <v>-2.9</v>
      </c>
      <c r="DF85" s="715">
        <v>-2.7</v>
      </c>
      <c r="DG85" s="715">
        <v>-4.6</v>
      </c>
      <c r="DH85" s="715">
        <v>-4.5</v>
      </c>
      <c r="DI85" s="715">
        <v>-4.3</v>
      </c>
      <c r="DJ85" s="715">
        <v>-4</v>
      </c>
      <c r="DK85" s="715">
        <v>-3.8</v>
      </c>
      <c r="DL85" s="715">
        <v>-3.5</v>
      </c>
      <c r="DM85" s="715">
        <v>-3.2</v>
      </c>
      <c r="DN85" s="715">
        <v>-3</v>
      </c>
      <c r="DO85" s="715">
        <v>-2.7</v>
      </c>
      <c r="DP85" s="715">
        <v>-2.5</v>
      </c>
      <c r="DQ85" s="715">
        <v>-2.3</v>
      </c>
      <c r="DR85" s="715">
        <v>-3.9</v>
      </c>
      <c r="DS85" s="715">
        <v>-3.7</v>
      </c>
      <c r="DT85" s="715">
        <v>-3.5</v>
      </c>
      <c r="DU85" s="715">
        <v>-3.3</v>
      </c>
      <c r="DV85" s="715">
        <v>-3</v>
      </c>
      <c r="DW85" s="715">
        <v>-2.8</v>
      </c>
      <c r="DX85" s="715">
        <v>-2.5</v>
      </c>
      <c r="DY85" s="715">
        <v>-2.2</v>
      </c>
      <c r="DZ85" s="715">
        <v>-2</v>
      </c>
      <c r="EA85" s="715">
        <v>-1.7</v>
      </c>
      <c r="EB85" s="715">
        <v>-1.5</v>
      </c>
      <c r="EC85" s="715">
        <v>-3.8</v>
      </c>
      <c r="ED85" s="715">
        <v>-3.7</v>
      </c>
      <c r="EE85" s="715">
        <v>-3.4</v>
      </c>
      <c r="EF85" s="715">
        <v>-3.2</v>
      </c>
      <c r="EG85" s="715">
        <v>-2.9</v>
      </c>
      <c r="EH85" s="715">
        <v>-2.7</v>
      </c>
      <c r="EI85" s="715">
        <v>-2.4</v>
      </c>
      <c r="EJ85" s="715">
        <v>-2.1</v>
      </c>
      <c r="EK85" s="715">
        <v>-1.9</v>
      </c>
      <c r="EL85" s="715">
        <v>-1.6</v>
      </c>
      <c r="EM85" s="715">
        <v>-1.4</v>
      </c>
      <c r="EN85" s="715">
        <v>-3</v>
      </c>
      <c r="EO85" s="715">
        <v>-2.9</v>
      </c>
      <c r="EP85" s="715">
        <v>-2.7</v>
      </c>
      <c r="EQ85" s="715">
        <v>-2.4</v>
      </c>
      <c r="ER85" s="715">
        <v>-2.1</v>
      </c>
      <c r="ES85" s="715">
        <v>-1.8</v>
      </c>
      <c r="ET85" s="715">
        <v>-1.5</v>
      </c>
      <c r="EU85" s="715">
        <v>-1.3</v>
      </c>
      <c r="EV85" s="715">
        <v>-1</v>
      </c>
      <c r="EW85" s="715">
        <v>-0.8</v>
      </c>
      <c r="EX85" s="715">
        <v>-0.6</v>
      </c>
      <c r="EY85" s="715">
        <v>-8</v>
      </c>
      <c r="EZ85" s="715">
        <v>-7.4</v>
      </c>
      <c r="FA85" s="715">
        <v>-6.9</v>
      </c>
      <c r="FB85" s="715">
        <v>-6.4</v>
      </c>
      <c r="FC85" s="715">
        <v>-5.9</v>
      </c>
      <c r="FD85" s="715">
        <v>-5.5</v>
      </c>
      <c r="FE85" s="715">
        <v>-5.1</v>
      </c>
      <c r="FF85" s="715">
        <v>-4.7</v>
      </c>
      <c r="FG85" s="715">
        <v>-4.4</v>
      </c>
      <c r="FH85" s="715">
        <v>-4.1</v>
      </c>
      <c r="FI85" s="715">
        <v>-3.8</v>
      </c>
      <c r="FJ85" s="723">
        <v>-1.58e-5</v>
      </c>
      <c r="FK85" s="723">
        <v>2.11e-8</v>
      </c>
      <c r="FL85" s="723">
        <v>-2.52e-11</v>
      </c>
      <c r="FM85" s="723">
        <v>1.68e-6</v>
      </c>
      <c r="FN85" s="723">
        <v>2.78e-10</v>
      </c>
      <c r="FO85" s="723">
        <v>1.13e-10</v>
      </c>
      <c r="FP85" s="729">
        <v>1</v>
      </c>
      <c r="FQ85" s="729">
        <v>1</v>
      </c>
      <c r="FR85" s="729">
        <v>3</v>
      </c>
      <c r="FS85" s="729">
        <v>2</v>
      </c>
      <c r="FT85" s="729">
        <v>1</v>
      </c>
      <c r="FU85" s="729">
        <v>2</v>
      </c>
      <c r="FV85" s="681">
        <v>1</v>
      </c>
      <c r="FW85" s="729"/>
      <c r="FX85" s="729"/>
      <c r="FY85" s="729"/>
      <c r="FZ85" s="774">
        <v>501</v>
      </c>
      <c r="GA85" s="774">
        <v>540</v>
      </c>
      <c r="GB85" s="681">
        <v>464</v>
      </c>
      <c r="GC85" s="681">
        <v>495</v>
      </c>
      <c r="GD85" s="747">
        <v>0.8</v>
      </c>
      <c r="GE85" s="729"/>
      <c r="GF85" s="681">
        <v>129</v>
      </c>
      <c r="GG85" s="681">
        <v>158</v>
      </c>
      <c r="GH85" s="681">
        <v>120</v>
      </c>
      <c r="GI85" s="681">
        <v>122</v>
      </c>
      <c r="GJ85" s="681">
        <v>122</v>
      </c>
      <c r="GK85" s="681">
        <v>124</v>
      </c>
      <c r="GL85" s="681">
        <v>125</v>
      </c>
      <c r="GM85" s="681">
        <v>129</v>
      </c>
      <c r="GN85" s="681">
        <v>129</v>
      </c>
      <c r="GO85" s="681">
        <v>130</v>
      </c>
      <c r="GP85" s="681">
        <v>133</v>
      </c>
      <c r="GQ85" s="681">
        <v>134</v>
      </c>
      <c r="GR85" s="681">
        <v>134</v>
      </c>
      <c r="GS85" s="681">
        <v>137</v>
      </c>
      <c r="GT85" s="681">
        <v>138</v>
      </c>
      <c r="GU85" s="681">
        <v>140</v>
      </c>
      <c r="GV85" s="681">
        <v>142</v>
      </c>
      <c r="GW85" s="681">
        <v>143</v>
      </c>
      <c r="GX85" s="681">
        <v>146</v>
      </c>
      <c r="GY85" s="681">
        <v>149</v>
      </c>
      <c r="GZ85" s="681">
        <v>150</v>
      </c>
      <c r="HA85" s="681">
        <v>148</v>
      </c>
      <c r="HB85" s="681">
        <v>152</v>
      </c>
      <c r="HC85" s="681"/>
      <c r="HD85" s="750">
        <v>203</v>
      </c>
      <c r="HE85" s="681"/>
      <c r="HF85" s="681">
        <v>336</v>
      </c>
      <c r="HG85" s="681">
        <v>136</v>
      </c>
      <c r="HH85" s="714">
        <v>63.8</v>
      </c>
      <c r="HI85" s="714">
        <v>25</v>
      </c>
      <c r="HJ85" s="753">
        <v>0.278</v>
      </c>
      <c r="HK85" s="681">
        <v>43</v>
      </c>
      <c r="HL85" s="685">
        <v>2.3</v>
      </c>
      <c r="HM85" s="747">
        <v>2.88</v>
      </c>
      <c r="HN85" s="729" t="s">
        <v>836</v>
      </c>
      <c r="HO85" s="729" t="s">
        <v>837</v>
      </c>
      <c r="HP85" s="714"/>
      <c r="HQ85" s="754">
        <v>0.928</v>
      </c>
      <c r="HR85" s="754">
        <v>0.944</v>
      </c>
      <c r="HS85" s="754">
        <v>0.967</v>
      </c>
      <c r="HT85" s="754">
        <v>0.985</v>
      </c>
      <c r="HU85" s="754">
        <v>0.995</v>
      </c>
      <c r="HV85" s="754">
        <v>0.997</v>
      </c>
      <c r="HW85" s="754">
        <v>0.998</v>
      </c>
      <c r="HX85" s="754">
        <v>0.999</v>
      </c>
      <c r="HY85" s="754">
        <v>0.999</v>
      </c>
      <c r="HZ85" s="754">
        <v>0.999</v>
      </c>
      <c r="IA85" s="754">
        <v>0.999</v>
      </c>
      <c r="IB85" s="754">
        <v>0.999</v>
      </c>
      <c r="IC85" s="754">
        <v>0.999</v>
      </c>
      <c r="ID85" s="754">
        <v>0.999</v>
      </c>
      <c r="IE85" s="754">
        <v>0.998</v>
      </c>
      <c r="IF85" s="754">
        <v>0.998</v>
      </c>
      <c r="IG85" s="754">
        <v>0.997</v>
      </c>
      <c r="IH85" s="754">
        <v>0.993</v>
      </c>
      <c r="II85" s="754">
        <v>0.986</v>
      </c>
      <c r="IJ85" s="754">
        <v>0.982</v>
      </c>
      <c r="IK85" s="754">
        <v>0.978</v>
      </c>
      <c r="IL85" s="754">
        <v>0.971</v>
      </c>
      <c r="IM85" s="754">
        <v>0.951</v>
      </c>
      <c r="IN85" s="754">
        <v>0.894</v>
      </c>
      <c r="IO85" s="754">
        <v>0.787</v>
      </c>
      <c r="IP85" s="754">
        <v>0.475</v>
      </c>
      <c r="IQ85" s="754">
        <v>0.167</v>
      </c>
      <c r="IR85" s="754"/>
      <c r="IS85" s="754"/>
      <c r="IT85" s="754"/>
      <c r="IU85" s="754"/>
      <c r="IV85" s="754"/>
      <c r="IW85" s="754"/>
      <c r="IX85" s="754"/>
      <c r="IY85" s="754"/>
      <c r="IZ85" s="754"/>
      <c r="JA85" s="754">
        <v>0.861</v>
      </c>
      <c r="JB85" s="754">
        <v>0.892</v>
      </c>
      <c r="JC85" s="754">
        <v>0.935</v>
      </c>
      <c r="JD85" s="754">
        <v>0.97</v>
      </c>
      <c r="JE85" s="754">
        <v>0.991</v>
      </c>
      <c r="JF85" s="754">
        <v>0.994</v>
      </c>
      <c r="JG85" s="754">
        <v>0.997</v>
      </c>
      <c r="JH85" s="754">
        <v>0.998</v>
      </c>
      <c r="JI85" s="754">
        <v>0.998</v>
      </c>
      <c r="JJ85" s="754">
        <v>0.998</v>
      </c>
      <c r="JK85" s="754">
        <v>0.998</v>
      </c>
      <c r="JL85" s="754">
        <v>0.998</v>
      </c>
      <c r="JM85" s="754">
        <v>0.998</v>
      </c>
      <c r="JN85" s="754">
        <v>0.998</v>
      </c>
      <c r="JO85" s="754">
        <v>0.997</v>
      </c>
      <c r="JP85" s="754">
        <v>0.997</v>
      </c>
      <c r="JQ85" s="754">
        <v>0.994</v>
      </c>
      <c r="JR85" s="754">
        <v>0.987</v>
      </c>
      <c r="JS85" s="754">
        <v>0.972</v>
      </c>
      <c r="JT85" s="754">
        <v>0.965</v>
      </c>
      <c r="JU85" s="754">
        <v>0.956</v>
      </c>
      <c r="JV85" s="754">
        <v>0.942</v>
      </c>
      <c r="JW85" s="754">
        <v>0.905</v>
      </c>
      <c r="JX85" s="754">
        <v>0.8</v>
      </c>
      <c r="JY85" s="754">
        <v>0.62</v>
      </c>
      <c r="JZ85" s="754">
        <v>0.226</v>
      </c>
      <c r="KA85" s="754">
        <v>0.028</v>
      </c>
      <c r="KB85" s="754"/>
      <c r="KC85" s="754"/>
      <c r="KD85" s="754"/>
      <c r="KE85" s="754"/>
      <c r="KF85" s="754"/>
      <c r="KG85" s="754"/>
      <c r="KH85" s="754"/>
      <c r="KI85" s="754"/>
      <c r="KJ85" s="754"/>
      <c r="KK85" s="765" t="s">
        <v>281</v>
      </c>
      <c r="KL85" s="738">
        <v>180</v>
      </c>
      <c r="KM85" s="738">
        <v>518</v>
      </c>
      <c r="KN85" s="646" t="s">
        <v>282</v>
      </c>
      <c r="KO85" s="646" t="s">
        <v>835</v>
      </c>
      <c r="KP85" s="680">
        <v>664274</v>
      </c>
      <c r="KQ85" s="646"/>
      <c r="KR85" s="646"/>
      <c r="KS85" s="766"/>
      <c r="KT85" s="750"/>
      <c r="KU85" s="769"/>
      <c r="KV85" s="770"/>
      <c r="KW85" s="766"/>
      <c r="KX85" s="750"/>
      <c r="KY85" s="771"/>
      <c r="KZ85" s="750"/>
    </row>
    <row r="86" s="628" customFormat="1" customHeight="1" spans="1:312">
      <c r="A86" s="682" t="s">
        <v>374</v>
      </c>
      <c r="B86" s="683">
        <v>82</v>
      </c>
      <c r="C86" s="684" t="s">
        <v>838</v>
      </c>
      <c r="D86" s="679">
        <v>741278</v>
      </c>
      <c r="E86" s="685">
        <v>27.76</v>
      </c>
      <c r="F86" s="685">
        <v>27.54</v>
      </c>
      <c r="G86" s="688">
        <v>0.026685</v>
      </c>
      <c r="H86" s="686">
        <v>0.027125</v>
      </c>
      <c r="I86" s="696">
        <v>1.69064</v>
      </c>
      <c r="J86" s="696">
        <v>1.69692</v>
      </c>
      <c r="K86" s="696">
        <v>1.70426</v>
      </c>
      <c r="L86" s="696">
        <v>1.71195</v>
      </c>
      <c r="M86" s="696">
        <v>1.71354</v>
      </c>
      <c r="N86" s="696">
        <v>1.71491</v>
      </c>
      <c r="O86" s="696">
        <v>1.7206</v>
      </c>
      <c r="P86" s="696">
        <v>1.72483</v>
      </c>
      <c r="Q86" s="697">
        <v>1.72888</v>
      </c>
      <c r="R86" s="697">
        <v>1.73307</v>
      </c>
      <c r="S86" s="697">
        <v>1.73427</v>
      </c>
      <c r="T86" s="701">
        <v>1.7354</v>
      </c>
      <c r="U86" s="697">
        <v>1.74054</v>
      </c>
      <c r="V86" s="697">
        <v>1.74077</v>
      </c>
      <c r="W86" s="697">
        <v>1.74707</v>
      </c>
      <c r="X86" s="697">
        <v>1.75976</v>
      </c>
      <c r="Y86" s="697">
        <v>1.76139</v>
      </c>
      <c r="Z86" s="697">
        <v>1.77598</v>
      </c>
      <c r="AA86" s="697">
        <v>1.79059</v>
      </c>
      <c r="AB86" s="697">
        <v>1.8185</v>
      </c>
      <c r="AC86" s="704">
        <v>2.91816811</v>
      </c>
      <c r="AD86" s="705">
        <v>-0.0122621813</v>
      </c>
      <c r="AE86" s="705">
        <v>0.0341878382</v>
      </c>
      <c r="AF86" s="705">
        <v>0.00236117574</v>
      </c>
      <c r="AG86" s="705">
        <v>-0.000168240994</v>
      </c>
      <c r="AH86" s="705">
        <v>2.26673138e-5</v>
      </c>
      <c r="AI86" s="709">
        <v>0.2886</v>
      </c>
      <c r="AJ86" s="709">
        <v>0.2361</v>
      </c>
      <c r="AK86" s="709">
        <v>0.6078</v>
      </c>
      <c r="AL86" s="709">
        <v>0.2396</v>
      </c>
      <c r="AM86" s="709">
        <v>0.2323</v>
      </c>
      <c r="AN86" s="709">
        <v>0.5379</v>
      </c>
      <c r="AO86" s="709">
        <v>0.0007</v>
      </c>
      <c r="AP86" s="709">
        <v>0.0103</v>
      </c>
      <c r="AQ86" s="709">
        <v>0.0059</v>
      </c>
      <c r="AR86" s="709">
        <v>0.0003</v>
      </c>
      <c r="AS86" s="714">
        <v>0.8</v>
      </c>
      <c r="AT86" s="714">
        <v>0.8</v>
      </c>
      <c r="AU86" s="714">
        <v>0.9</v>
      </c>
      <c r="AV86" s="714">
        <v>0.9</v>
      </c>
      <c r="AW86" s="714">
        <v>0.8</v>
      </c>
      <c r="AX86" s="714">
        <v>1</v>
      </c>
      <c r="AY86" s="714">
        <v>1.2</v>
      </c>
      <c r="AZ86" s="714">
        <v>1.4</v>
      </c>
      <c r="BA86" s="714">
        <v>1.4</v>
      </c>
      <c r="BB86" s="714">
        <v>1.5</v>
      </c>
      <c r="BC86" s="714">
        <v>1.7</v>
      </c>
      <c r="BD86" s="714">
        <v>1.4</v>
      </c>
      <c r="BE86" s="714">
        <v>1.4</v>
      </c>
      <c r="BF86" s="714">
        <v>1.5</v>
      </c>
      <c r="BG86" s="714">
        <v>1.5</v>
      </c>
      <c r="BH86" s="714">
        <v>1.6</v>
      </c>
      <c r="BI86" s="714">
        <v>1.7</v>
      </c>
      <c r="BJ86" s="714">
        <v>1.9</v>
      </c>
      <c r="BK86" s="714">
        <v>2</v>
      </c>
      <c r="BL86" s="714">
        <v>2.1</v>
      </c>
      <c r="BM86" s="714">
        <v>2.2</v>
      </c>
      <c r="BN86" s="714">
        <v>2.4</v>
      </c>
      <c r="BO86" s="714">
        <v>1.8</v>
      </c>
      <c r="BP86" s="714">
        <v>1.8</v>
      </c>
      <c r="BQ86" s="714">
        <v>1.9</v>
      </c>
      <c r="BR86" s="714">
        <v>1.9</v>
      </c>
      <c r="BS86" s="714">
        <v>1.9</v>
      </c>
      <c r="BT86" s="714">
        <v>2</v>
      </c>
      <c r="BU86" s="714">
        <v>2.3</v>
      </c>
      <c r="BV86" s="714">
        <v>2.4</v>
      </c>
      <c r="BW86" s="714">
        <v>2.6</v>
      </c>
      <c r="BX86" s="714">
        <v>2.9</v>
      </c>
      <c r="BY86" s="714">
        <v>3</v>
      </c>
      <c r="BZ86" s="714">
        <v>1.8</v>
      </c>
      <c r="CA86" s="714">
        <v>1.8</v>
      </c>
      <c r="CB86" s="714">
        <v>1.9</v>
      </c>
      <c r="CC86" s="714">
        <v>1.9</v>
      </c>
      <c r="CD86" s="714">
        <v>2</v>
      </c>
      <c r="CE86" s="714">
        <v>2.1</v>
      </c>
      <c r="CF86" s="714">
        <v>2.3</v>
      </c>
      <c r="CG86" s="714">
        <v>2.5</v>
      </c>
      <c r="CH86" s="714">
        <v>2.7</v>
      </c>
      <c r="CI86" s="714">
        <v>3</v>
      </c>
      <c r="CJ86" s="714">
        <v>3</v>
      </c>
      <c r="CK86" s="714">
        <v>1.8</v>
      </c>
      <c r="CL86" s="715">
        <v>1.9</v>
      </c>
      <c r="CM86" s="715">
        <v>1.9</v>
      </c>
      <c r="CN86" s="715">
        <v>1.9</v>
      </c>
      <c r="CO86" s="715">
        <v>2.1</v>
      </c>
      <c r="CP86" s="715">
        <v>2.2</v>
      </c>
      <c r="CQ86" s="715">
        <v>2.4</v>
      </c>
      <c r="CR86" s="714">
        <v>2.7</v>
      </c>
      <c r="CS86" s="714">
        <v>2.7</v>
      </c>
      <c r="CT86" s="714">
        <v>3.1</v>
      </c>
      <c r="CU86" s="714">
        <v>3.1</v>
      </c>
      <c r="CV86" s="714">
        <v>2.1</v>
      </c>
      <c r="CW86" s="715">
        <v>2.1</v>
      </c>
      <c r="CX86" s="715">
        <v>2.3</v>
      </c>
      <c r="CY86" s="715">
        <v>2.4</v>
      </c>
      <c r="CZ86" s="715">
        <v>2.6</v>
      </c>
      <c r="DA86" s="715">
        <v>2.6</v>
      </c>
      <c r="DB86" s="715">
        <v>2.9</v>
      </c>
      <c r="DC86" s="714">
        <v>3</v>
      </c>
      <c r="DD86" s="714">
        <v>3.1</v>
      </c>
      <c r="DE86" s="714">
        <v>3.5</v>
      </c>
      <c r="DF86" s="714">
        <v>3.6</v>
      </c>
      <c r="DG86" s="714">
        <v>2.6</v>
      </c>
      <c r="DH86" s="715">
        <v>2.7</v>
      </c>
      <c r="DI86" s="715">
        <v>2.7</v>
      </c>
      <c r="DJ86" s="715">
        <v>2.8</v>
      </c>
      <c r="DK86" s="715">
        <v>3.1</v>
      </c>
      <c r="DL86" s="715">
        <v>3.1</v>
      </c>
      <c r="DM86" s="715">
        <v>3.2</v>
      </c>
      <c r="DN86" s="714">
        <v>3.4</v>
      </c>
      <c r="DO86" s="714">
        <v>3.6</v>
      </c>
      <c r="DP86" s="714">
        <v>3.8</v>
      </c>
      <c r="DQ86" s="714">
        <v>4</v>
      </c>
      <c r="DR86" s="714">
        <v>3.6</v>
      </c>
      <c r="DS86" s="715">
        <v>3.7</v>
      </c>
      <c r="DT86" s="715">
        <v>3.8</v>
      </c>
      <c r="DU86" s="715">
        <v>4</v>
      </c>
      <c r="DV86" s="715">
        <v>4.3</v>
      </c>
      <c r="DW86" s="715">
        <v>4.6</v>
      </c>
      <c r="DX86" s="715">
        <v>4.8</v>
      </c>
      <c r="DY86" s="714">
        <v>4.9</v>
      </c>
      <c r="DZ86" s="714">
        <v>5.1</v>
      </c>
      <c r="EA86" s="714">
        <v>5.4</v>
      </c>
      <c r="EB86" s="714">
        <v>5.6</v>
      </c>
      <c r="EC86" s="714">
        <v>3.6</v>
      </c>
      <c r="ED86" s="715">
        <v>3.7</v>
      </c>
      <c r="EE86" s="715">
        <v>3.8</v>
      </c>
      <c r="EF86" s="715">
        <v>4</v>
      </c>
      <c r="EG86" s="715">
        <v>4.3</v>
      </c>
      <c r="EH86" s="715">
        <v>4.6</v>
      </c>
      <c r="EI86" s="715">
        <v>4.8</v>
      </c>
      <c r="EJ86" s="714">
        <v>4.9</v>
      </c>
      <c r="EK86" s="714">
        <v>5.1</v>
      </c>
      <c r="EL86" s="714">
        <v>5.4</v>
      </c>
      <c r="EM86" s="714">
        <v>5.6</v>
      </c>
      <c r="EN86" s="714">
        <v>4.7</v>
      </c>
      <c r="EO86" s="715">
        <v>5</v>
      </c>
      <c r="EP86" s="715">
        <v>5.2</v>
      </c>
      <c r="EQ86" s="715">
        <v>5.4</v>
      </c>
      <c r="ER86" s="715">
        <v>5.8</v>
      </c>
      <c r="ES86" s="715">
        <v>6</v>
      </c>
      <c r="ET86" s="715">
        <v>6.3</v>
      </c>
      <c r="EU86" s="714">
        <v>6.6</v>
      </c>
      <c r="EV86" s="714">
        <v>6.8</v>
      </c>
      <c r="EW86" s="714">
        <v>7.1</v>
      </c>
      <c r="EX86" s="714">
        <v>7.3</v>
      </c>
      <c r="EY86" s="714">
        <v>-1</v>
      </c>
      <c r="EZ86" s="715">
        <v>-0.5</v>
      </c>
      <c r="FA86" s="715">
        <v>-0.1</v>
      </c>
      <c r="FB86" s="715">
        <v>0.2</v>
      </c>
      <c r="FC86" s="715">
        <v>0.6</v>
      </c>
      <c r="FD86" s="715">
        <v>0.9</v>
      </c>
      <c r="FE86" s="715">
        <v>1.2</v>
      </c>
      <c r="FF86" s="714">
        <v>1.6</v>
      </c>
      <c r="FG86" s="714">
        <v>1.8</v>
      </c>
      <c r="FH86" s="714">
        <v>2.2</v>
      </c>
      <c r="FI86" s="714">
        <v>2.3</v>
      </c>
      <c r="FJ86" s="723">
        <v>-1.87e-6</v>
      </c>
      <c r="FK86" s="723">
        <v>1.3e-8</v>
      </c>
      <c r="FL86" s="723">
        <v>-1.69e-11</v>
      </c>
      <c r="FM86" s="723">
        <v>8.65e-7</v>
      </c>
      <c r="FN86" s="723">
        <v>7.76e-10</v>
      </c>
      <c r="FO86" s="723">
        <v>0.293</v>
      </c>
      <c r="FP86" s="729">
        <v>1</v>
      </c>
      <c r="FQ86" s="729">
        <v>1</v>
      </c>
      <c r="FR86" s="729">
        <v>1</v>
      </c>
      <c r="FS86" s="729">
        <v>1</v>
      </c>
      <c r="FT86" s="729">
        <v>1</v>
      </c>
      <c r="FU86" s="729">
        <v>1</v>
      </c>
      <c r="FV86" s="681">
        <v>1</v>
      </c>
      <c r="FW86" s="729"/>
      <c r="FX86" s="729"/>
      <c r="FY86" s="729"/>
      <c r="FZ86" s="774">
        <v>616</v>
      </c>
      <c r="GA86" s="774">
        <v>650</v>
      </c>
      <c r="GB86" s="681">
        <v>540</v>
      </c>
      <c r="GC86" s="681">
        <v>591</v>
      </c>
      <c r="GD86" s="747">
        <v>1.16</v>
      </c>
      <c r="GE86" s="729"/>
      <c r="GF86" s="681">
        <v>81</v>
      </c>
      <c r="GG86" s="681">
        <v>101</v>
      </c>
      <c r="GH86" s="681">
        <v>72</v>
      </c>
      <c r="GI86" s="681">
        <v>75</v>
      </c>
      <c r="GJ86" s="681">
        <v>77</v>
      </c>
      <c r="GK86" s="681">
        <v>78</v>
      </c>
      <c r="GL86" s="681">
        <v>80</v>
      </c>
      <c r="GM86" s="681">
        <v>81</v>
      </c>
      <c r="GN86" s="681">
        <v>82</v>
      </c>
      <c r="GO86" s="681">
        <v>83</v>
      </c>
      <c r="GP86" s="681">
        <v>84</v>
      </c>
      <c r="GQ86" s="681">
        <v>85</v>
      </c>
      <c r="GR86" s="681">
        <v>85</v>
      </c>
      <c r="GS86" s="681">
        <v>86</v>
      </c>
      <c r="GT86" s="681">
        <v>87</v>
      </c>
      <c r="GU86" s="681">
        <v>87</v>
      </c>
      <c r="GV86" s="681">
        <v>88</v>
      </c>
      <c r="GW86" s="681">
        <v>89</v>
      </c>
      <c r="GX86" s="681">
        <v>90</v>
      </c>
      <c r="GY86" s="681">
        <v>91</v>
      </c>
      <c r="GZ86" s="681">
        <v>93</v>
      </c>
      <c r="HA86" s="681">
        <v>94</v>
      </c>
      <c r="HB86" s="681">
        <v>95</v>
      </c>
      <c r="HC86" s="681"/>
      <c r="HD86" s="750">
        <v>235</v>
      </c>
      <c r="HE86" s="681"/>
      <c r="HF86" s="681">
        <v>555</v>
      </c>
      <c r="HG86" s="681">
        <v>143</v>
      </c>
      <c r="HH86" s="714">
        <v>90.4</v>
      </c>
      <c r="HI86" s="714">
        <v>36.2</v>
      </c>
      <c r="HJ86" s="753">
        <v>0.248</v>
      </c>
      <c r="HK86" s="681">
        <v>58</v>
      </c>
      <c r="HL86" s="685">
        <v>2.62</v>
      </c>
      <c r="HM86" s="747">
        <v>3.05</v>
      </c>
      <c r="HN86" s="729" t="s">
        <v>753</v>
      </c>
      <c r="HO86" s="729" t="s">
        <v>839</v>
      </c>
      <c r="HP86" s="714">
        <v>0.4</v>
      </c>
      <c r="HQ86" s="754">
        <v>0.954</v>
      </c>
      <c r="HR86" s="754">
        <v>0.968</v>
      </c>
      <c r="HS86" s="754">
        <v>0.99</v>
      </c>
      <c r="HT86" s="754">
        <v>0.993</v>
      </c>
      <c r="HU86" s="754">
        <v>0.998</v>
      </c>
      <c r="HV86" s="754">
        <v>0.998</v>
      </c>
      <c r="HW86" s="754">
        <v>0.998</v>
      </c>
      <c r="HX86" s="754">
        <v>0.998</v>
      </c>
      <c r="HY86" s="754">
        <v>0.998</v>
      </c>
      <c r="HZ86" s="754">
        <v>0.998</v>
      </c>
      <c r="IA86" s="754">
        <v>0.998</v>
      </c>
      <c r="IB86" s="754">
        <v>0.998</v>
      </c>
      <c r="IC86" s="754">
        <v>0.998</v>
      </c>
      <c r="ID86" s="754">
        <v>0.998</v>
      </c>
      <c r="IE86" s="754">
        <v>0.998</v>
      </c>
      <c r="IF86" s="754">
        <v>0.998</v>
      </c>
      <c r="IG86" s="754">
        <v>0.998</v>
      </c>
      <c r="IH86" s="754">
        <v>0.998</v>
      </c>
      <c r="II86" s="754">
        <v>0.996</v>
      </c>
      <c r="IJ86" s="754">
        <v>0.993</v>
      </c>
      <c r="IK86" s="754">
        <v>0.99</v>
      </c>
      <c r="IL86" s="754">
        <v>0.986</v>
      </c>
      <c r="IM86" s="754">
        <v>0.98</v>
      </c>
      <c r="IN86" s="754">
        <v>0.94</v>
      </c>
      <c r="IO86" s="754">
        <v>0.885</v>
      </c>
      <c r="IP86" s="754">
        <v>0.745</v>
      </c>
      <c r="IQ86" s="754">
        <v>0.431</v>
      </c>
      <c r="IR86" s="753"/>
      <c r="IS86" s="754"/>
      <c r="IT86" s="754"/>
      <c r="IU86" s="754"/>
      <c r="IV86" s="754"/>
      <c r="IW86" s="754"/>
      <c r="IX86" s="754"/>
      <c r="IY86" s="754"/>
      <c r="IZ86" s="754"/>
      <c r="JA86" s="754">
        <v>0.908</v>
      </c>
      <c r="JB86" s="754">
        <v>0.941</v>
      </c>
      <c r="JC86" s="754">
        <v>0.98</v>
      </c>
      <c r="JD86" s="754">
        <v>0.986</v>
      </c>
      <c r="JE86" s="754">
        <v>0.996</v>
      </c>
      <c r="JF86" s="754">
        <v>0.996</v>
      </c>
      <c r="JG86" s="754">
        <v>0.996</v>
      </c>
      <c r="JH86" s="754">
        <v>0.996</v>
      </c>
      <c r="JI86" s="754">
        <v>0.996</v>
      </c>
      <c r="JJ86" s="754">
        <v>0.996</v>
      </c>
      <c r="JK86" s="754">
        <v>0.996</v>
      </c>
      <c r="JL86" s="754">
        <v>0.996</v>
      </c>
      <c r="JM86" s="754">
        <v>0.996</v>
      </c>
      <c r="JN86" s="754">
        <v>0.996</v>
      </c>
      <c r="JO86" s="754">
        <v>0.996</v>
      </c>
      <c r="JP86" s="754">
        <v>0.996</v>
      </c>
      <c r="JQ86" s="754">
        <v>0.996</v>
      </c>
      <c r="JR86" s="754">
        <v>0.996</v>
      </c>
      <c r="JS86" s="754">
        <v>0.99</v>
      </c>
      <c r="JT86" s="754">
        <v>0.984</v>
      </c>
      <c r="JU86" s="754">
        <v>0.979</v>
      </c>
      <c r="JV86" s="754">
        <v>0.972</v>
      </c>
      <c r="JW86" s="754">
        <v>0.955</v>
      </c>
      <c r="JX86" s="754">
        <v>0.884</v>
      </c>
      <c r="JY86" s="754">
        <v>0.785</v>
      </c>
      <c r="JZ86" s="754">
        <v>0.554</v>
      </c>
      <c r="KA86" s="754">
        <v>0.185</v>
      </c>
      <c r="KB86" s="753"/>
      <c r="KC86" s="754"/>
      <c r="KD86" s="753"/>
      <c r="KE86" s="753"/>
      <c r="KF86" s="753"/>
      <c r="KG86" s="753"/>
      <c r="KH86" s="753"/>
      <c r="KI86" s="753"/>
      <c r="KJ86" s="753"/>
      <c r="KK86" s="765" t="s">
        <v>281</v>
      </c>
      <c r="KL86" s="738">
        <v>41</v>
      </c>
      <c r="KM86" s="738">
        <v>125</v>
      </c>
      <c r="KN86" s="646" t="s">
        <v>339</v>
      </c>
      <c r="KO86" s="646" t="s">
        <v>838</v>
      </c>
      <c r="KP86" s="679">
        <v>741278</v>
      </c>
      <c r="KQ86" s="766" t="s">
        <v>840</v>
      </c>
      <c r="KR86" s="750" t="s">
        <v>841</v>
      </c>
      <c r="KS86" s="769" t="s">
        <v>838</v>
      </c>
      <c r="KT86" s="770" t="s">
        <v>841</v>
      </c>
      <c r="KU86" s="766" t="s">
        <v>842</v>
      </c>
      <c r="KV86" s="750">
        <v>741278</v>
      </c>
      <c r="KW86" s="771"/>
      <c r="KX86" s="750"/>
      <c r="KY86" s="769"/>
      <c r="KZ86" s="770"/>
    </row>
    <row r="87" s="628" customFormat="1" customHeight="1" spans="1:312">
      <c r="A87" s="682" t="s">
        <v>277</v>
      </c>
      <c r="B87" s="683">
        <v>83</v>
      </c>
      <c r="C87" s="684" t="s">
        <v>843</v>
      </c>
      <c r="D87" s="679">
        <v>741278</v>
      </c>
      <c r="E87" s="685">
        <v>27.76</v>
      </c>
      <c r="F87" s="685">
        <v>27.54</v>
      </c>
      <c r="G87" s="688">
        <v>0.026685</v>
      </c>
      <c r="H87" s="686">
        <v>0.027125</v>
      </c>
      <c r="I87" s="696">
        <v>1.69064</v>
      </c>
      <c r="J87" s="696">
        <v>1.69692</v>
      </c>
      <c r="K87" s="696">
        <v>1.70426</v>
      </c>
      <c r="L87" s="696">
        <v>1.71195</v>
      </c>
      <c r="M87" s="696">
        <v>1.71354</v>
      </c>
      <c r="N87" s="696">
        <v>1.71491</v>
      </c>
      <c r="O87" s="696">
        <v>1.7206</v>
      </c>
      <c r="P87" s="696">
        <v>1.72483</v>
      </c>
      <c r="Q87" s="697">
        <v>1.72888</v>
      </c>
      <c r="R87" s="697">
        <v>1.73307</v>
      </c>
      <c r="S87" s="697">
        <v>1.73427</v>
      </c>
      <c r="T87" s="701">
        <v>1.7354</v>
      </c>
      <c r="U87" s="697">
        <v>1.74054</v>
      </c>
      <c r="V87" s="697">
        <v>1.74077</v>
      </c>
      <c r="W87" s="697">
        <v>1.74707</v>
      </c>
      <c r="X87" s="697">
        <v>1.75976</v>
      </c>
      <c r="Y87" s="697">
        <v>1.76139</v>
      </c>
      <c r="Z87" s="697">
        <v>1.77598</v>
      </c>
      <c r="AA87" s="697">
        <v>1.79059</v>
      </c>
      <c r="AB87" s="697">
        <v>1.8185</v>
      </c>
      <c r="AC87" s="704">
        <v>2.91816811</v>
      </c>
      <c r="AD87" s="705">
        <v>-0.0122621813</v>
      </c>
      <c r="AE87" s="705">
        <v>0.0341878382</v>
      </c>
      <c r="AF87" s="705">
        <v>0.00236117574</v>
      </c>
      <c r="AG87" s="705">
        <v>-0.000168240994</v>
      </c>
      <c r="AH87" s="705">
        <v>2.26673138e-5</v>
      </c>
      <c r="AI87" s="709">
        <v>0.2886</v>
      </c>
      <c r="AJ87" s="709">
        <v>0.2361</v>
      </c>
      <c r="AK87" s="709">
        <v>0.6078</v>
      </c>
      <c r="AL87" s="709">
        <v>0.2396</v>
      </c>
      <c r="AM87" s="709">
        <v>0.2323</v>
      </c>
      <c r="AN87" s="709">
        <v>0.5379</v>
      </c>
      <c r="AO87" s="709">
        <v>0.0007</v>
      </c>
      <c r="AP87" s="709">
        <v>0.0103</v>
      </c>
      <c r="AQ87" s="709">
        <v>0.0059</v>
      </c>
      <c r="AR87" s="709">
        <v>0.0003</v>
      </c>
      <c r="AS87" s="714">
        <v>0.8</v>
      </c>
      <c r="AT87" s="714">
        <v>0.8</v>
      </c>
      <c r="AU87" s="714">
        <v>0.9</v>
      </c>
      <c r="AV87" s="714">
        <v>0.9</v>
      </c>
      <c r="AW87" s="714">
        <v>0.8</v>
      </c>
      <c r="AX87" s="714">
        <v>1</v>
      </c>
      <c r="AY87" s="714">
        <v>1.2</v>
      </c>
      <c r="AZ87" s="714">
        <v>1.4</v>
      </c>
      <c r="BA87" s="714">
        <v>1.4</v>
      </c>
      <c r="BB87" s="714">
        <v>1.5</v>
      </c>
      <c r="BC87" s="714">
        <v>1.7</v>
      </c>
      <c r="BD87" s="714">
        <v>1.4</v>
      </c>
      <c r="BE87" s="714">
        <v>1.4</v>
      </c>
      <c r="BF87" s="714">
        <v>1.5</v>
      </c>
      <c r="BG87" s="714">
        <v>1.5</v>
      </c>
      <c r="BH87" s="714">
        <v>1.6</v>
      </c>
      <c r="BI87" s="714">
        <v>1.7</v>
      </c>
      <c r="BJ87" s="714">
        <v>1.9</v>
      </c>
      <c r="BK87" s="714">
        <v>2</v>
      </c>
      <c r="BL87" s="714">
        <v>2.1</v>
      </c>
      <c r="BM87" s="714">
        <v>2.2</v>
      </c>
      <c r="BN87" s="714">
        <v>2.4</v>
      </c>
      <c r="BO87" s="714">
        <v>1.8</v>
      </c>
      <c r="BP87" s="714">
        <v>1.8</v>
      </c>
      <c r="BQ87" s="714">
        <v>1.9</v>
      </c>
      <c r="BR87" s="714">
        <v>1.9</v>
      </c>
      <c r="BS87" s="714">
        <v>1.9</v>
      </c>
      <c r="BT87" s="714">
        <v>2</v>
      </c>
      <c r="BU87" s="714">
        <v>2.3</v>
      </c>
      <c r="BV87" s="714">
        <v>2.4</v>
      </c>
      <c r="BW87" s="714">
        <v>2.6</v>
      </c>
      <c r="BX87" s="714">
        <v>2.9</v>
      </c>
      <c r="BY87" s="714">
        <v>3</v>
      </c>
      <c r="BZ87" s="714">
        <v>1.8</v>
      </c>
      <c r="CA87" s="714">
        <v>1.8</v>
      </c>
      <c r="CB87" s="714">
        <v>1.9</v>
      </c>
      <c r="CC87" s="714">
        <v>1.9</v>
      </c>
      <c r="CD87" s="714">
        <v>2</v>
      </c>
      <c r="CE87" s="714">
        <v>2.1</v>
      </c>
      <c r="CF87" s="714">
        <v>2.3</v>
      </c>
      <c r="CG87" s="714">
        <v>2.5</v>
      </c>
      <c r="CH87" s="714">
        <v>2.7</v>
      </c>
      <c r="CI87" s="714">
        <v>3</v>
      </c>
      <c r="CJ87" s="714">
        <v>3</v>
      </c>
      <c r="CK87" s="714">
        <v>1.8</v>
      </c>
      <c r="CL87" s="715">
        <v>1.9</v>
      </c>
      <c r="CM87" s="715">
        <v>1.9</v>
      </c>
      <c r="CN87" s="715">
        <v>1.9</v>
      </c>
      <c r="CO87" s="715">
        <v>2.1</v>
      </c>
      <c r="CP87" s="715">
        <v>2.2</v>
      </c>
      <c r="CQ87" s="715">
        <v>2.4</v>
      </c>
      <c r="CR87" s="714">
        <v>2.7</v>
      </c>
      <c r="CS87" s="714">
        <v>2.7</v>
      </c>
      <c r="CT87" s="714">
        <v>3.1</v>
      </c>
      <c r="CU87" s="714">
        <v>3.1</v>
      </c>
      <c r="CV87" s="714">
        <v>2.1</v>
      </c>
      <c r="CW87" s="715">
        <v>2.1</v>
      </c>
      <c r="CX87" s="715">
        <v>2.3</v>
      </c>
      <c r="CY87" s="715">
        <v>2.4</v>
      </c>
      <c r="CZ87" s="715">
        <v>2.6</v>
      </c>
      <c r="DA87" s="715">
        <v>2.6</v>
      </c>
      <c r="DB87" s="715">
        <v>2.9</v>
      </c>
      <c r="DC87" s="714">
        <v>3</v>
      </c>
      <c r="DD87" s="714">
        <v>3.1</v>
      </c>
      <c r="DE87" s="714">
        <v>3.5</v>
      </c>
      <c r="DF87" s="714">
        <v>3.6</v>
      </c>
      <c r="DG87" s="714">
        <v>2.6</v>
      </c>
      <c r="DH87" s="715">
        <v>2.7</v>
      </c>
      <c r="DI87" s="715">
        <v>2.7</v>
      </c>
      <c r="DJ87" s="715">
        <v>2.8</v>
      </c>
      <c r="DK87" s="715">
        <v>3.1</v>
      </c>
      <c r="DL87" s="715">
        <v>3.1</v>
      </c>
      <c r="DM87" s="715">
        <v>3.2</v>
      </c>
      <c r="DN87" s="714">
        <v>3.4</v>
      </c>
      <c r="DO87" s="714">
        <v>3.6</v>
      </c>
      <c r="DP87" s="714">
        <v>3.8</v>
      </c>
      <c r="DQ87" s="714">
        <v>4</v>
      </c>
      <c r="DR87" s="714">
        <v>3.6</v>
      </c>
      <c r="DS87" s="715">
        <v>3.7</v>
      </c>
      <c r="DT87" s="715">
        <v>3.8</v>
      </c>
      <c r="DU87" s="715">
        <v>4</v>
      </c>
      <c r="DV87" s="715">
        <v>4.3</v>
      </c>
      <c r="DW87" s="715">
        <v>4.6</v>
      </c>
      <c r="DX87" s="715">
        <v>4.8</v>
      </c>
      <c r="DY87" s="714">
        <v>4.9</v>
      </c>
      <c r="DZ87" s="714">
        <v>5.1</v>
      </c>
      <c r="EA87" s="714">
        <v>5.4</v>
      </c>
      <c r="EB87" s="714">
        <v>5.6</v>
      </c>
      <c r="EC87" s="714">
        <v>3.6</v>
      </c>
      <c r="ED87" s="715">
        <v>3.7</v>
      </c>
      <c r="EE87" s="715">
        <v>3.8</v>
      </c>
      <c r="EF87" s="715">
        <v>4</v>
      </c>
      <c r="EG87" s="715">
        <v>4.3</v>
      </c>
      <c r="EH87" s="715">
        <v>4.6</v>
      </c>
      <c r="EI87" s="715">
        <v>4.8</v>
      </c>
      <c r="EJ87" s="714">
        <v>4.9</v>
      </c>
      <c r="EK87" s="714">
        <v>5.1</v>
      </c>
      <c r="EL87" s="714">
        <v>5.4</v>
      </c>
      <c r="EM87" s="714">
        <v>5.6</v>
      </c>
      <c r="EN87" s="714">
        <v>4.7</v>
      </c>
      <c r="EO87" s="715">
        <v>5</v>
      </c>
      <c r="EP87" s="715">
        <v>5.2</v>
      </c>
      <c r="EQ87" s="715">
        <v>5.4</v>
      </c>
      <c r="ER87" s="715">
        <v>5.8</v>
      </c>
      <c r="ES87" s="715">
        <v>6</v>
      </c>
      <c r="ET87" s="715">
        <v>6.3</v>
      </c>
      <c r="EU87" s="714">
        <v>6.6</v>
      </c>
      <c r="EV87" s="714">
        <v>6.8</v>
      </c>
      <c r="EW87" s="714">
        <v>7.1</v>
      </c>
      <c r="EX87" s="714">
        <v>7.3</v>
      </c>
      <c r="EY87" s="714">
        <v>-1</v>
      </c>
      <c r="EZ87" s="715">
        <v>-0.5</v>
      </c>
      <c r="FA87" s="715">
        <v>-0.1</v>
      </c>
      <c r="FB87" s="715">
        <v>0.2</v>
      </c>
      <c r="FC87" s="715">
        <v>0.6</v>
      </c>
      <c r="FD87" s="715">
        <v>0.9</v>
      </c>
      <c r="FE87" s="715">
        <v>1.2</v>
      </c>
      <c r="FF87" s="714">
        <v>1.6</v>
      </c>
      <c r="FG87" s="714">
        <v>1.8</v>
      </c>
      <c r="FH87" s="714">
        <v>2.2</v>
      </c>
      <c r="FI87" s="714">
        <v>2.3</v>
      </c>
      <c r="FJ87" s="723">
        <v>-1.87e-6</v>
      </c>
      <c r="FK87" s="723">
        <v>1.3e-8</v>
      </c>
      <c r="FL87" s="723">
        <v>-1.69e-11</v>
      </c>
      <c r="FM87" s="723">
        <v>8.65e-7</v>
      </c>
      <c r="FN87" s="723">
        <v>7.76e-10</v>
      </c>
      <c r="FO87" s="723">
        <v>0.293</v>
      </c>
      <c r="FP87" s="729">
        <v>1</v>
      </c>
      <c r="FQ87" s="729">
        <v>1</v>
      </c>
      <c r="FR87" s="729">
        <v>1</v>
      </c>
      <c r="FS87" s="729">
        <v>1</v>
      </c>
      <c r="FT87" s="729">
        <v>1</v>
      </c>
      <c r="FU87" s="729">
        <v>1</v>
      </c>
      <c r="FV87" s="681">
        <v>1</v>
      </c>
      <c r="FW87" s="729"/>
      <c r="FX87" s="729"/>
      <c r="FY87" s="729"/>
      <c r="FZ87" s="774">
        <v>616</v>
      </c>
      <c r="GA87" s="774">
        <v>650</v>
      </c>
      <c r="GB87" s="681">
        <v>540</v>
      </c>
      <c r="GC87" s="681">
        <v>591</v>
      </c>
      <c r="GD87" s="747">
        <v>1.16</v>
      </c>
      <c r="GE87" s="729"/>
      <c r="GF87" s="681">
        <v>81</v>
      </c>
      <c r="GG87" s="681">
        <v>101</v>
      </c>
      <c r="GH87" s="681">
        <v>72</v>
      </c>
      <c r="GI87" s="681">
        <v>75</v>
      </c>
      <c r="GJ87" s="681">
        <v>77</v>
      </c>
      <c r="GK87" s="681">
        <v>78</v>
      </c>
      <c r="GL87" s="681">
        <v>80</v>
      </c>
      <c r="GM87" s="681">
        <v>81</v>
      </c>
      <c r="GN87" s="681">
        <v>82</v>
      </c>
      <c r="GO87" s="681">
        <v>83</v>
      </c>
      <c r="GP87" s="681">
        <v>84</v>
      </c>
      <c r="GQ87" s="681">
        <v>85</v>
      </c>
      <c r="GR87" s="681">
        <v>85</v>
      </c>
      <c r="GS87" s="681">
        <v>86</v>
      </c>
      <c r="GT87" s="681">
        <v>87</v>
      </c>
      <c r="GU87" s="681">
        <v>87</v>
      </c>
      <c r="GV87" s="681">
        <v>88</v>
      </c>
      <c r="GW87" s="681">
        <v>89</v>
      </c>
      <c r="GX87" s="681">
        <v>90</v>
      </c>
      <c r="GY87" s="681">
        <v>91</v>
      </c>
      <c r="GZ87" s="681">
        <v>93</v>
      </c>
      <c r="HA87" s="681">
        <v>94</v>
      </c>
      <c r="HB87" s="681">
        <v>95</v>
      </c>
      <c r="HC87" s="681"/>
      <c r="HD87" s="750">
        <v>235</v>
      </c>
      <c r="HE87" s="681"/>
      <c r="HF87" s="681">
        <v>555</v>
      </c>
      <c r="HG87" s="681">
        <v>143</v>
      </c>
      <c r="HH87" s="714">
        <v>90.4</v>
      </c>
      <c r="HI87" s="714">
        <v>36.2</v>
      </c>
      <c r="HJ87" s="753">
        <v>0.248</v>
      </c>
      <c r="HK87" s="681">
        <v>58</v>
      </c>
      <c r="HL87" s="685">
        <v>2.62</v>
      </c>
      <c r="HM87" s="747">
        <v>3.05</v>
      </c>
      <c r="HN87" s="729" t="s">
        <v>753</v>
      </c>
      <c r="HO87" s="729" t="s">
        <v>839</v>
      </c>
      <c r="HP87" s="714">
        <v>0.4</v>
      </c>
      <c r="HQ87" s="754">
        <v>0.956</v>
      </c>
      <c r="HR87" s="754">
        <v>0.969</v>
      </c>
      <c r="HS87" s="754">
        <v>0.99</v>
      </c>
      <c r="HT87" s="754">
        <v>0.993</v>
      </c>
      <c r="HU87" s="754">
        <v>0.998</v>
      </c>
      <c r="HV87" s="754">
        <v>0.998</v>
      </c>
      <c r="HW87" s="754">
        <v>0.998</v>
      </c>
      <c r="HX87" s="754">
        <v>0.998</v>
      </c>
      <c r="HY87" s="754">
        <v>0.998</v>
      </c>
      <c r="HZ87" s="754">
        <v>0.998</v>
      </c>
      <c r="IA87" s="754">
        <v>0.998</v>
      </c>
      <c r="IB87" s="754">
        <v>0.998</v>
      </c>
      <c r="IC87" s="754">
        <v>0.998</v>
      </c>
      <c r="ID87" s="754">
        <v>0.998</v>
      </c>
      <c r="IE87" s="754">
        <v>0.998</v>
      </c>
      <c r="IF87" s="754">
        <v>0.998</v>
      </c>
      <c r="IG87" s="754">
        <v>0.998</v>
      </c>
      <c r="IH87" s="754">
        <v>0.998</v>
      </c>
      <c r="II87" s="754">
        <v>0.996</v>
      </c>
      <c r="IJ87" s="754">
        <v>0.993</v>
      </c>
      <c r="IK87" s="754">
        <v>0.99</v>
      </c>
      <c r="IL87" s="754">
        <v>0.987</v>
      </c>
      <c r="IM87" s="754">
        <v>0.982</v>
      </c>
      <c r="IN87" s="754">
        <v>0.955</v>
      </c>
      <c r="IO87" s="754">
        <v>0.914</v>
      </c>
      <c r="IP87" s="754">
        <v>0.79</v>
      </c>
      <c r="IQ87" s="754">
        <v>0.467</v>
      </c>
      <c r="IR87" s="754"/>
      <c r="IS87" s="754"/>
      <c r="IT87" s="754"/>
      <c r="IU87" s="754"/>
      <c r="IV87" s="754"/>
      <c r="IW87" s="754"/>
      <c r="IX87" s="754"/>
      <c r="IY87" s="754"/>
      <c r="IZ87" s="754"/>
      <c r="JA87" s="754">
        <v>0.91</v>
      </c>
      <c r="JB87" s="754">
        <v>0.944</v>
      </c>
      <c r="JC87" s="754">
        <v>0.98</v>
      </c>
      <c r="JD87" s="754">
        <v>0.986</v>
      </c>
      <c r="JE87" s="754">
        <v>0.996</v>
      </c>
      <c r="JF87" s="754">
        <v>0.996</v>
      </c>
      <c r="JG87" s="754">
        <v>0.996</v>
      </c>
      <c r="JH87" s="754">
        <v>0.996</v>
      </c>
      <c r="JI87" s="754">
        <v>0.996</v>
      </c>
      <c r="JJ87" s="754">
        <v>0.996</v>
      </c>
      <c r="JK87" s="754">
        <v>0.996</v>
      </c>
      <c r="JL87" s="754">
        <v>0.996</v>
      </c>
      <c r="JM87" s="754">
        <v>0.996</v>
      </c>
      <c r="JN87" s="754">
        <v>0.996</v>
      </c>
      <c r="JO87" s="754">
        <v>0.996</v>
      </c>
      <c r="JP87" s="754">
        <v>0.996</v>
      </c>
      <c r="JQ87" s="754">
        <v>0.996</v>
      </c>
      <c r="JR87" s="754">
        <v>0.996</v>
      </c>
      <c r="JS87" s="754">
        <v>0.994</v>
      </c>
      <c r="JT87" s="754">
        <v>0.991</v>
      </c>
      <c r="JU87" s="754">
        <v>0.988</v>
      </c>
      <c r="JV87" s="754">
        <v>0.981</v>
      </c>
      <c r="JW87" s="754">
        <v>0.965</v>
      </c>
      <c r="JX87" s="754">
        <v>0.914</v>
      </c>
      <c r="JY87" s="754">
        <v>0.834</v>
      </c>
      <c r="JZ87" s="754">
        <v>0.623</v>
      </c>
      <c r="KA87" s="754">
        <v>0.219</v>
      </c>
      <c r="KB87" s="753"/>
      <c r="KC87" s="753"/>
      <c r="KD87" s="753"/>
      <c r="KE87" s="753"/>
      <c r="KF87" s="753"/>
      <c r="KG87" s="753"/>
      <c r="KH87" s="753"/>
      <c r="KI87" s="753"/>
      <c r="KJ87" s="753"/>
      <c r="KK87" s="765" t="s">
        <v>281</v>
      </c>
      <c r="KL87" s="738">
        <v>43</v>
      </c>
      <c r="KM87" s="738">
        <v>131</v>
      </c>
      <c r="KN87" s="646" t="s">
        <v>339</v>
      </c>
      <c r="KO87" s="646" t="s">
        <v>843</v>
      </c>
      <c r="KP87" s="679">
        <v>741278</v>
      </c>
      <c r="KQ87" s="766"/>
      <c r="KR87" s="750"/>
      <c r="KS87" s="769"/>
      <c r="KT87" s="770"/>
      <c r="KU87" s="766"/>
      <c r="KV87" s="750"/>
      <c r="KW87" s="771"/>
      <c r="KX87" s="750"/>
      <c r="KY87" s="769"/>
      <c r="KZ87" s="770"/>
    </row>
    <row r="88" s="628" customFormat="1" customHeight="1" spans="1:312">
      <c r="A88" s="682" t="s">
        <v>277</v>
      </c>
      <c r="B88" s="683">
        <v>84</v>
      </c>
      <c r="C88" s="689" t="s">
        <v>844</v>
      </c>
      <c r="D88" s="680">
        <v>847238</v>
      </c>
      <c r="E88" s="685">
        <v>23.78</v>
      </c>
      <c r="F88" s="685">
        <v>23.59</v>
      </c>
      <c r="G88" s="688">
        <v>0.035608</v>
      </c>
      <c r="H88" s="686">
        <v>0.036247</v>
      </c>
      <c r="I88" s="696">
        <v>1.78524</v>
      </c>
      <c r="J88" s="696">
        <v>1.79201</v>
      </c>
      <c r="K88" s="696">
        <v>1.8002</v>
      </c>
      <c r="L88" s="696">
        <v>1.80936</v>
      </c>
      <c r="M88" s="696">
        <v>1.81133</v>
      </c>
      <c r="N88" s="696">
        <v>1.81304</v>
      </c>
      <c r="O88" s="696">
        <v>1.82028</v>
      </c>
      <c r="P88" s="696">
        <v>1.82573</v>
      </c>
      <c r="Q88" s="697">
        <v>1.83101</v>
      </c>
      <c r="R88" s="697">
        <v>1.83649</v>
      </c>
      <c r="S88" s="697">
        <v>1.83807</v>
      </c>
      <c r="T88" s="701">
        <v>1.83956</v>
      </c>
      <c r="U88" s="697">
        <v>1.84635</v>
      </c>
      <c r="V88" s="697">
        <v>1.84666</v>
      </c>
      <c r="W88" s="697">
        <v>1.85504</v>
      </c>
      <c r="X88" s="697">
        <v>1.8721</v>
      </c>
      <c r="Y88" s="697">
        <v>1.87431</v>
      </c>
      <c r="Z88" s="697">
        <v>1.89416</v>
      </c>
      <c r="AA88" s="697">
        <v>1.91418</v>
      </c>
      <c r="AB88" s="697">
        <v>1.95237</v>
      </c>
      <c r="AC88" s="704">
        <v>3.25093122</v>
      </c>
      <c r="AD88" s="705">
        <v>-0.0135032313</v>
      </c>
      <c r="AE88" s="705">
        <v>0.0490304607</v>
      </c>
      <c r="AF88" s="705">
        <v>0.00249344608</v>
      </c>
      <c r="AG88" s="705">
        <v>-1.81762799e-5</v>
      </c>
      <c r="AH88" s="705">
        <v>1.9468641e-5</v>
      </c>
      <c r="AI88" s="709">
        <v>0.2856</v>
      </c>
      <c r="AJ88" s="709">
        <v>0.2353</v>
      </c>
      <c r="AK88" s="709">
        <v>0.6195</v>
      </c>
      <c r="AL88" s="709">
        <v>0.237</v>
      </c>
      <c r="AM88" s="709">
        <v>0.2312</v>
      </c>
      <c r="AN88" s="709">
        <v>0.5476</v>
      </c>
      <c r="AO88" s="709">
        <v>0.002</v>
      </c>
      <c r="AP88" s="709">
        <v>0.0154</v>
      </c>
      <c r="AQ88" s="709">
        <v>0.0032</v>
      </c>
      <c r="AR88" s="709">
        <v>-0.0022</v>
      </c>
      <c r="AS88" s="714">
        <v>-1</v>
      </c>
      <c r="AT88" s="715">
        <v>-0.9</v>
      </c>
      <c r="AU88" s="715">
        <v>-0.7</v>
      </c>
      <c r="AV88" s="715">
        <v>-0.7</v>
      </c>
      <c r="AW88" s="715">
        <v>-0.7</v>
      </c>
      <c r="AX88" s="715">
        <v>-0.7</v>
      </c>
      <c r="AY88" s="715">
        <v>-0.7</v>
      </c>
      <c r="AZ88" s="715">
        <v>-0.6</v>
      </c>
      <c r="BA88" s="715">
        <v>-0.6</v>
      </c>
      <c r="BB88" s="715">
        <v>-0.6</v>
      </c>
      <c r="BC88" s="715">
        <v>-0.7</v>
      </c>
      <c r="BD88" s="715">
        <v>-0.9</v>
      </c>
      <c r="BE88" s="715">
        <v>-0.9</v>
      </c>
      <c r="BF88" s="715">
        <v>-0.8</v>
      </c>
      <c r="BG88" s="715">
        <v>-0.7</v>
      </c>
      <c r="BH88" s="715">
        <v>-0.6</v>
      </c>
      <c r="BI88" s="715">
        <v>-0.6</v>
      </c>
      <c r="BJ88" s="715">
        <v>-0.6</v>
      </c>
      <c r="BK88" s="715">
        <v>-0.6</v>
      </c>
      <c r="BL88" s="715">
        <v>-0.5</v>
      </c>
      <c r="BM88" s="715">
        <v>-0.4</v>
      </c>
      <c r="BN88" s="715">
        <v>-0.4</v>
      </c>
      <c r="BO88" s="715">
        <v>0</v>
      </c>
      <c r="BP88" s="715">
        <v>0</v>
      </c>
      <c r="BQ88" s="715">
        <v>0.1</v>
      </c>
      <c r="BR88" s="715">
        <v>0.2</v>
      </c>
      <c r="BS88" s="715">
        <v>0.4</v>
      </c>
      <c r="BT88" s="715">
        <v>0.4</v>
      </c>
      <c r="BU88" s="715">
        <v>0.4</v>
      </c>
      <c r="BV88" s="715">
        <v>0.5</v>
      </c>
      <c r="BW88" s="715">
        <v>0.5</v>
      </c>
      <c r="BX88" s="715">
        <v>0.7</v>
      </c>
      <c r="BY88" s="715">
        <v>0.8</v>
      </c>
      <c r="BZ88" s="715">
        <v>0.5</v>
      </c>
      <c r="CA88" s="715">
        <v>0.5</v>
      </c>
      <c r="CB88" s="715">
        <v>0.5</v>
      </c>
      <c r="CC88" s="715">
        <v>0.6</v>
      </c>
      <c r="CD88" s="715">
        <v>0.7</v>
      </c>
      <c r="CE88" s="715">
        <v>0.7</v>
      </c>
      <c r="CF88" s="715">
        <v>0.7</v>
      </c>
      <c r="CG88" s="715">
        <v>0.7</v>
      </c>
      <c r="CH88" s="715">
        <v>0.8</v>
      </c>
      <c r="CI88" s="715">
        <v>0.8</v>
      </c>
      <c r="CJ88" s="715">
        <v>0.9</v>
      </c>
      <c r="CK88" s="715">
        <v>0.5</v>
      </c>
      <c r="CL88" s="715">
        <v>0.6</v>
      </c>
      <c r="CM88" s="715">
        <v>0.6</v>
      </c>
      <c r="CN88" s="715">
        <v>0.7</v>
      </c>
      <c r="CO88" s="715">
        <v>0.7</v>
      </c>
      <c r="CP88" s="715">
        <v>0.7</v>
      </c>
      <c r="CQ88" s="715">
        <v>0.8</v>
      </c>
      <c r="CR88" s="715">
        <v>0.8</v>
      </c>
      <c r="CS88" s="715">
        <v>0.9</v>
      </c>
      <c r="CT88" s="715">
        <v>1</v>
      </c>
      <c r="CU88" s="715">
        <v>1.1</v>
      </c>
      <c r="CV88" s="715">
        <v>0.7</v>
      </c>
      <c r="CW88" s="715">
        <v>0.8</v>
      </c>
      <c r="CX88" s="715">
        <v>0.9</v>
      </c>
      <c r="CY88" s="715">
        <v>0.9</v>
      </c>
      <c r="CZ88" s="715">
        <v>1</v>
      </c>
      <c r="DA88" s="715">
        <v>1</v>
      </c>
      <c r="DB88" s="715">
        <v>1.2</v>
      </c>
      <c r="DC88" s="715">
        <v>1.3</v>
      </c>
      <c r="DD88" s="715">
        <v>1.3</v>
      </c>
      <c r="DE88" s="715">
        <v>1.5</v>
      </c>
      <c r="DF88" s="715">
        <v>1.9</v>
      </c>
      <c r="DG88" s="715">
        <v>1</v>
      </c>
      <c r="DH88" s="715">
        <v>1.1</v>
      </c>
      <c r="DI88" s="715">
        <v>1.3</v>
      </c>
      <c r="DJ88" s="715">
        <v>1.4</v>
      </c>
      <c r="DK88" s="715">
        <v>1.6</v>
      </c>
      <c r="DL88" s="715">
        <v>1.9</v>
      </c>
      <c r="DM88" s="715">
        <v>2.1</v>
      </c>
      <c r="DN88" s="715">
        <v>2.1</v>
      </c>
      <c r="DO88" s="715">
        <v>2.2</v>
      </c>
      <c r="DP88" s="715">
        <v>2.3</v>
      </c>
      <c r="DQ88" s="715">
        <v>2.5</v>
      </c>
      <c r="DR88" s="715">
        <v>1.6</v>
      </c>
      <c r="DS88" s="715">
        <v>1.9</v>
      </c>
      <c r="DT88" s="715">
        <v>2.4</v>
      </c>
      <c r="DU88" s="715">
        <v>2.7</v>
      </c>
      <c r="DV88" s="715">
        <v>3.1</v>
      </c>
      <c r="DW88" s="715">
        <v>3.5</v>
      </c>
      <c r="DX88" s="715">
        <v>3.8</v>
      </c>
      <c r="DY88" s="715">
        <v>4.1</v>
      </c>
      <c r="DZ88" s="715">
        <v>4.4</v>
      </c>
      <c r="EA88" s="715">
        <v>4.7</v>
      </c>
      <c r="EB88" s="715">
        <v>5.1</v>
      </c>
      <c r="EC88" s="715">
        <v>1.7</v>
      </c>
      <c r="ED88" s="715">
        <v>2</v>
      </c>
      <c r="EE88" s="715">
        <v>2.5</v>
      </c>
      <c r="EF88" s="715">
        <v>3.1</v>
      </c>
      <c r="EG88" s="715">
        <v>3.7</v>
      </c>
      <c r="EH88" s="715">
        <v>4</v>
      </c>
      <c r="EI88" s="715">
        <v>4.3</v>
      </c>
      <c r="EJ88" s="715">
        <v>4.6</v>
      </c>
      <c r="EK88" s="715">
        <v>4.8</v>
      </c>
      <c r="EL88" s="715">
        <v>5</v>
      </c>
      <c r="EM88" s="715">
        <v>5.4</v>
      </c>
      <c r="EN88" s="715">
        <v>3</v>
      </c>
      <c r="EO88" s="715">
        <v>3.6</v>
      </c>
      <c r="EP88" s="715">
        <v>4</v>
      </c>
      <c r="EQ88" s="715">
        <v>4.4</v>
      </c>
      <c r="ER88" s="715">
        <v>4.8</v>
      </c>
      <c r="ES88" s="715">
        <v>5.3</v>
      </c>
      <c r="ET88" s="715">
        <v>5.7</v>
      </c>
      <c r="EU88" s="715">
        <v>6.1</v>
      </c>
      <c r="EV88" s="715">
        <v>6.5</v>
      </c>
      <c r="EW88" s="715">
        <v>6.9</v>
      </c>
      <c r="EX88" s="715">
        <v>7.2</v>
      </c>
      <c r="EY88" s="715">
        <v>-2.5</v>
      </c>
      <c r="EZ88" s="715">
        <v>-1.9</v>
      </c>
      <c r="FA88" s="715">
        <v>-1.5</v>
      </c>
      <c r="FB88" s="715">
        <v>-1.1</v>
      </c>
      <c r="FC88" s="715">
        <v>-0.9</v>
      </c>
      <c r="FD88" s="715">
        <v>-0.7</v>
      </c>
      <c r="FE88" s="715">
        <v>-0.4</v>
      </c>
      <c r="FF88" s="715">
        <v>-0.3</v>
      </c>
      <c r="FG88" s="715">
        <v>-0.1</v>
      </c>
      <c r="FH88" s="715">
        <v>0.1</v>
      </c>
      <c r="FI88" s="715">
        <v>0.3</v>
      </c>
      <c r="FJ88" s="723">
        <v>-5.25e-6</v>
      </c>
      <c r="FK88" s="723">
        <v>7.18e-9</v>
      </c>
      <c r="FL88" s="723">
        <v>-2.89e-11</v>
      </c>
      <c r="FM88" s="723">
        <v>1.16e-6</v>
      </c>
      <c r="FN88" s="723">
        <v>2.39e-9</v>
      </c>
      <c r="FO88" s="723">
        <v>0.261</v>
      </c>
      <c r="FP88" s="729">
        <v>1</v>
      </c>
      <c r="FQ88" s="729">
        <v>1</v>
      </c>
      <c r="FR88" s="729">
        <v>1</v>
      </c>
      <c r="FS88" s="729">
        <v>1</v>
      </c>
      <c r="FT88" s="729">
        <v>1</v>
      </c>
      <c r="FU88" s="729">
        <v>1</v>
      </c>
      <c r="FV88" s="681">
        <v>1</v>
      </c>
      <c r="FW88" s="729"/>
      <c r="FX88" s="729"/>
      <c r="FY88" s="729"/>
      <c r="FZ88" s="774">
        <v>632</v>
      </c>
      <c r="GA88" s="774">
        <v>662</v>
      </c>
      <c r="GB88" s="681">
        <v>582</v>
      </c>
      <c r="GC88" s="681">
        <v>608</v>
      </c>
      <c r="GD88" s="747">
        <v>1.04</v>
      </c>
      <c r="GE88" s="729"/>
      <c r="GF88" s="681">
        <v>83</v>
      </c>
      <c r="GG88" s="681">
        <v>101</v>
      </c>
      <c r="GH88" s="681">
        <v>75</v>
      </c>
      <c r="GI88" s="681">
        <v>78</v>
      </c>
      <c r="GJ88" s="681">
        <v>79</v>
      </c>
      <c r="GK88" s="681">
        <v>81</v>
      </c>
      <c r="GL88" s="681">
        <v>82</v>
      </c>
      <c r="GM88" s="681">
        <v>83</v>
      </c>
      <c r="GN88" s="681">
        <v>84</v>
      </c>
      <c r="GO88" s="681">
        <v>85</v>
      </c>
      <c r="GP88" s="681">
        <v>85</v>
      </c>
      <c r="GQ88" s="681">
        <v>86</v>
      </c>
      <c r="GR88" s="681">
        <v>86</v>
      </c>
      <c r="GS88" s="681">
        <v>87</v>
      </c>
      <c r="GT88" s="681">
        <v>87</v>
      </c>
      <c r="GU88" s="681">
        <v>88</v>
      </c>
      <c r="GV88" s="681">
        <v>89</v>
      </c>
      <c r="GW88" s="681">
        <v>90</v>
      </c>
      <c r="GX88" s="681">
        <v>92</v>
      </c>
      <c r="GY88" s="681">
        <v>93</v>
      </c>
      <c r="GZ88" s="681">
        <v>94</v>
      </c>
      <c r="HA88" s="681">
        <v>96</v>
      </c>
      <c r="HB88" s="681">
        <v>97</v>
      </c>
      <c r="HC88" s="681"/>
      <c r="HD88" s="681">
        <v>260</v>
      </c>
      <c r="HE88" s="681"/>
      <c r="HF88" s="681">
        <v>531</v>
      </c>
      <c r="HG88" s="681">
        <v>176</v>
      </c>
      <c r="HH88" s="714">
        <v>96.1</v>
      </c>
      <c r="HI88" s="714">
        <v>38.1</v>
      </c>
      <c r="HJ88" s="753">
        <v>0.262</v>
      </c>
      <c r="HK88" s="681">
        <v>56</v>
      </c>
      <c r="HL88" s="685">
        <v>2.54</v>
      </c>
      <c r="HM88" s="747">
        <v>3.54</v>
      </c>
      <c r="HN88" s="729" t="s">
        <v>845</v>
      </c>
      <c r="HO88" s="729" t="s">
        <v>846</v>
      </c>
      <c r="HP88" s="714">
        <v>-1.2</v>
      </c>
      <c r="HQ88" s="775">
        <v>0.962</v>
      </c>
      <c r="HR88" s="775">
        <v>0.98</v>
      </c>
      <c r="HS88" s="775">
        <v>0.992</v>
      </c>
      <c r="HT88" s="775">
        <v>0.997</v>
      </c>
      <c r="HU88" s="775">
        <v>0.999</v>
      </c>
      <c r="HV88" s="775">
        <v>0.999</v>
      </c>
      <c r="HW88" s="775">
        <v>0.999</v>
      </c>
      <c r="HX88" s="775">
        <v>0.999</v>
      </c>
      <c r="HY88" s="775">
        <v>0.999</v>
      </c>
      <c r="HZ88" s="775">
        <v>0.999</v>
      </c>
      <c r="IA88" s="775">
        <v>0.999</v>
      </c>
      <c r="IB88" s="775">
        <v>0.999</v>
      </c>
      <c r="IC88" s="775">
        <v>0.999</v>
      </c>
      <c r="ID88" s="775">
        <v>0.999</v>
      </c>
      <c r="IE88" s="775">
        <v>0.999</v>
      </c>
      <c r="IF88" s="775">
        <v>0.999</v>
      </c>
      <c r="IG88" s="775">
        <v>0.999</v>
      </c>
      <c r="IH88" s="775">
        <v>0.997</v>
      </c>
      <c r="II88" s="775">
        <v>0.993</v>
      </c>
      <c r="IJ88" s="775">
        <v>0.99</v>
      </c>
      <c r="IK88" s="775">
        <v>0.985</v>
      </c>
      <c r="IL88" s="775">
        <v>0.977</v>
      </c>
      <c r="IM88" s="775">
        <v>0.958</v>
      </c>
      <c r="IN88" s="775">
        <v>0.911</v>
      </c>
      <c r="IO88" s="775">
        <v>0.843</v>
      </c>
      <c r="IP88" s="775">
        <v>0.671</v>
      </c>
      <c r="IQ88" s="775">
        <v>0.332</v>
      </c>
      <c r="IR88" s="753"/>
      <c r="IS88" s="753"/>
      <c r="IT88" s="753"/>
      <c r="IU88" s="753"/>
      <c r="IV88" s="753"/>
      <c r="IW88" s="754"/>
      <c r="IX88" s="754"/>
      <c r="IY88" s="754"/>
      <c r="IZ88" s="754"/>
      <c r="JA88" s="753">
        <v>0.925</v>
      </c>
      <c r="JB88" s="753">
        <v>0.961</v>
      </c>
      <c r="JC88" s="753">
        <v>0.985</v>
      </c>
      <c r="JD88" s="753">
        <v>0.994</v>
      </c>
      <c r="JE88" s="753">
        <v>0.999</v>
      </c>
      <c r="JF88" s="753">
        <v>0.999</v>
      </c>
      <c r="JG88" s="753">
        <v>0.999</v>
      </c>
      <c r="JH88" s="753">
        <v>0.999</v>
      </c>
      <c r="JI88" s="753">
        <v>0.999</v>
      </c>
      <c r="JJ88" s="753">
        <v>0.999</v>
      </c>
      <c r="JK88" s="753">
        <v>0.999</v>
      </c>
      <c r="JL88" s="753">
        <v>0.999</v>
      </c>
      <c r="JM88" s="753">
        <v>0.999</v>
      </c>
      <c r="JN88" s="753">
        <v>0.999</v>
      </c>
      <c r="JO88" s="753">
        <v>0.999</v>
      </c>
      <c r="JP88" s="753">
        <v>0.999</v>
      </c>
      <c r="JQ88" s="753">
        <v>0.999</v>
      </c>
      <c r="JR88" s="753">
        <v>0.995</v>
      </c>
      <c r="JS88" s="753">
        <v>0.986</v>
      </c>
      <c r="JT88" s="753">
        <v>0.98</v>
      </c>
      <c r="JU88" s="753">
        <v>0.971</v>
      </c>
      <c r="JV88" s="753">
        <v>0.954</v>
      </c>
      <c r="JW88" s="753">
        <v>0.918</v>
      </c>
      <c r="JX88" s="753">
        <v>0.83</v>
      </c>
      <c r="JY88" s="753">
        <v>0.71</v>
      </c>
      <c r="JZ88" s="753">
        <v>0.45</v>
      </c>
      <c r="KA88" s="753">
        <v>0.11</v>
      </c>
      <c r="KB88" s="753"/>
      <c r="KC88" s="753"/>
      <c r="KD88" s="753"/>
      <c r="KE88" s="753"/>
      <c r="KF88" s="753"/>
      <c r="KG88" s="754"/>
      <c r="KH88" s="754"/>
      <c r="KI88" s="754"/>
      <c r="KJ88" s="754"/>
      <c r="KK88" s="765" t="s">
        <v>281</v>
      </c>
      <c r="KL88" s="738">
        <v>50</v>
      </c>
      <c r="KM88" s="738">
        <v>177</v>
      </c>
      <c r="KN88" s="646" t="s">
        <v>282</v>
      </c>
      <c r="KO88" s="646" t="s">
        <v>844</v>
      </c>
      <c r="KP88" s="680">
        <v>847238</v>
      </c>
      <c r="KQ88" s="766" t="s">
        <v>847</v>
      </c>
      <c r="KR88" s="750" t="s">
        <v>848</v>
      </c>
      <c r="KS88" s="769" t="s">
        <v>849</v>
      </c>
      <c r="KT88" s="770" t="s">
        <v>848</v>
      </c>
      <c r="KU88" s="766" t="s">
        <v>850</v>
      </c>
      <c r="KV88" s="750">
        <v>847238</v>
      </c>
      <c r="KW88" s="771" t="s">
        <v>851</v>
      </c>
      <c r="KX88" s="750" t="s">
        <v>848</v>
      </c>
      <c r="KY88" s="769" t="s">
        <v>852</v>
      </c>
      <c r="KZ88" s="770" t="s">
        <v>848</v>
      </c>
    </row>
    <row r="89" s="628" customFormat="1" customHeight="1" spans="1:312">
      <c r="A89" s="682" t="s">
        <v>374</v>
      </c>
      <c r="B89" s="683">
        <v>85</v>
      </c>
      <c r="C89" s="689" t="s">
        <v>853</v>
      </c>
      <c r="D89" s="680">
        <v>847238</v>
      </c>
      <c r="E89" s="685">
        <v>23.78</v>
      </c>
      <c r="F89" s="685">
        <v>23.59</v>
      </c>
      <c r="G89" s="688">
        <v>0.035608</v>
      </c>
      <c r="H89" s="686">
        <v>0.036247</v>
      </c>
      <c r="I89" s="696">
        <v>1.78524</v>
      </c>
      <c r="J89" s="696">
        <v>1.79201</v>
      </c>
      <c r="K89" s="696">
        <v>1.8002</v>
      </c>
      <c r="L89" s="696">
        <v>1.80936</v>
      </c>
      <c r="M89" s="696">
        <v>1.81133</v>
      </c>
      <c r="N89" s="696">
        <v>1.81304</v>
      </c>
      <c r="O89" s="696">
        <v>1.82028</v>
      </c>
      <c r="P89" s="696">
        <v>1.82573</v>
      </c>
      <c r="Q89" s="697">
        <v>1.83101</v>
      </c>
      <c r="R89" s="697">
        <v>1.83649</v>
      </c>
      <c r="S89" s="697">
        <v>1.83807</v>
      </c>
      <c r="T89" s="701">
        <v>1.83956</v>
      </c>
      <c r="U89" s="697">
        <v>1.84635</v>
      </c>
      <c r="V89" s="697">
        <v>1.84666</v>
      </c>
      <c r="W89" s="697">
        <v>1.85504</v>
      </c>
      <c r="X89" s="697">
        <v>1.8721</v>
      </c>
      <c r="Y89" s="697">
        <v>1.87431</v>
      </c>
      <c r="Z89" s="697">
        <v>1.89416</v>
      </c>
      <c r="AA89" s="697">
        <v>1.91418</v>
      </c>
      <c r="AB89" s="697">
        <v>1.95237</v>
      </c>
      <c r="AC89" s="704">
        <v>3.25093122</v>
      </c>
      <c r="AD89" s="705">
        <v>-0.0135032313</v>
      </c>
      <c r="AE89" s="705">
        <v>0.0490304607</v>
      </c>
      <c r="AF89" s="705">
        <v>0.00249344608</v>
      </c>
      <c r="AG89" s="705">
        <v>-1.81762799e-5</v>
      </c>
      <c r="AH89" s="705">
        <v>1.9468641e-5</v>
      </c>
      <c r="AI89" s="709">
        <v>0.2856</v>
      </c>
      <c r="AJ89" s="709">
        <v>0.2353</v>
      </c>
      <c r="AK89" s="709">
        <v>0.6195</v>
      </c>
      <c r="AL89" s="709">
        <v>0.237</v>
      </c>
      <c r="AM89" s="709">
        <v>0.2312</v>
      </c>
      <c r="AN89" s="709">
        <v>0.5476</v>
      </c>
      <c r="AO89" s="709">
        <v>0.002</v>
      </c>
      <c r="AP89" s="709">
        <v>0.0154</v>
      </c>
      <c r="AQ89" s="709">
        <v>0.0032</v>
      </c>
      <c r="AR89" s="709">
        <v>-0.0022</v>
      </c>
      <c r="AS89" s="714">
        <v>-1</v>
      </c>
      <c r="AT89" s="715">
        <v>-0.9</v>
      </c>
      <c r="AU89" s="715">
        <v>-0.7</v>
      </c>
      <c r="AV89" s="715">
        <v>-0.7</v>
      </c>
      <c r="AW89" s="715">
        <v>-0.7</v>
      </c>
      <c r="AX89" s="715">
        <v>-0.7</v>
      </c>
      <c r="AY89" s="715">
        <v>-0.7</v>
      </c>
      <c r="AZ89" s="715">
        <v>-0.6</v>
      </c>
      <c r="BA89" s="715">
        <v>-0.6</v>
      </c>
      <c r="BB89" s="715">
        <v>-0.6</v>
      </c>
      <c r="BC89" s="715">
        <v>-0.7</v>
      </c>
      <c r="BD89" s="715">
        <v>-0.9</v>
      </c>
      <c r="BE89" s="715">
        <v>-0.9</v>
      </c>
      <c r="BF89" s="715">
        <v>-0.8</v>
      </c>
      <c r="BG89" s="715">
        <v>-0.7</v>
      </c>
      <c r="BH89" s="715">
        <v>-0.6</v>
      </c>
      <c r="BI89" s="715">
        <v>-0.6</v>
      </c>
      <c r="BJ89" s="715">
        <v>-0.6</v>
      </c>
      <c r="BK89" s="715">
        <v>-0.6</v>
      </c>
      <c r="BL89" s="715">
        <v>-0.5</v>
      </c>
      <c r="BM89" s="715">
        <v>-0.4</v>
      </c>
      <c r="BN89" s="715">
        <v>-0.4</v>
      </c>
      <c r="BO89" s="715">
        <v>0</v>
      </c>
      <c r="BP89" s="715">
        <v>0</v>
      </c>
      <c r="BQ89" s="715">
        <v>0.1</v>
      </c>
      <c r="BR89" s="715">
        <v>0.2</v>
      </c>
      <c r="BS89" s="715">
        <v>0.4</v>
      </c>
      <c r="BT89" s="715">
        <v>0.4</v>
      </c>
      <c r="BU89" s="715">
        <v>0.4</v>
      </c>
      <c r="BV89" s="715">
        <v>0.5</v>
      </c>
      <c r="BW89" s="715">
        <v>0.5</v>
      </c>
      <c r="BX89" s="715">
        <v>0.7</v>
      </c>
      <c r="BY89" s="715">
        <v>0.8</v>
      </c>
      <c r="BZ89" s="715">
        <v>0.5</v>
      </c>
      <c r="CA89" s="715">
        <v>0.5</v>
      </c>
      <c r="CB89" s="715">
        <v>0.5</v>
      </c>
      <c r="CC89" s="715">
        <v>0.6</v>
      </c>
      <c r="CD89" s="715">
        <v>0.7</v>
      </c>
      <c r="CE89" s="715">
        <v>0.7</v>
      </c>
      <c r="CF89" s="715">
        <v>0.7</v>
      </c>
      <c r="CG89" s="715">
        <v>0.7</v>
      </c>
      <c r="CH89" s="715">
        <v>0.8</v>
      </c>
      <c r="CI89" s="715">
        <v>0.8</v>
      </c>
      <c r="CJ89" s="715">
        <v>0.9</v>
      </c>
      <c r="CK89" s="715">
        <v>0.5</v>
      </c>
      <c r="CL89" s="715">
        <v>0.6</v>
      </c>
      <c r="CM89" s="715">
        <v>0.6</v>
      </c>
      <c r="CN89" s="715">
        <v>0.7</v>
      </c>
      <c r="CO89" s="715">
        <v>0.7</v>
      </c>
      <c r="CP89" s="715">
        <v>0.7</v>
      </c>
      <c r="CQ89" s="715">
        <v>0.8</v>
      </c>
      <c r="CR89" s="715">
        <v>0.8</v>
      </c>
      <c r="CS89" s="715">
        <v>0.9</v>
      </c>
      <c r="CT89" s="715">
        <v>1</v>
      </c>
      <c r="CU89" s="715">
        <v>1.1</v>
      </c>
      <c r="CV89" s="715">
        <v>0.7</v>
      </c>
      <c r="CW89" s="715">
        <v>0.8</v>
      </c>
      <c r="CX89" s="715">
        <v>0.9</v>
      </c>
      <c r="CY89" s="715">
        <v>0.9</v>
      </c>
      <c r="CZ89" s="715">
        <v>1</v>
      </c>
      <c r="DA89" s="715">
        <v>1</v>
      </c>
      <c r="DB89" s="715">
        <v>1.2</v>
      </c>
      <c r="DC89" s="715">
        <v>1.3</v>
      </c>
      <c r="DD89" s="715">
        <v>1.3</v>
      </c>
      <c r="DE89" s="715">
        <v>1.5</v>
      </c>
      <c r="DF89" s="715">
        <v>1.9</v>
      </c>
      <c r="DG89" s="715">
        <v>1</v>
      </c>
      <c r="DH89" s="715">
        <v>1.1</v>
      </c>
      <c r="DI89" s="715">
        <v>1.3</v>
      </c>
      <c r="DJ89" s="715">
        <v>1.4</v>
      </c>
      <c r="DK89" s="715">
        <v>1.6</v>
      </c>
      <c r="DL89" s="715">
        <v>1.9</v>
      </c>
      <c r="DM89" s="715">
        <v>2.1</v>
      </c>
      <c r="DN89" s="715">
        <v>2.1</v>
      </c>
      <c r="DO89" s="715">
        <v>2.2</v>
      </c>
      <c r="DP89" s="715">
        <v>2.3</v>
      </c>
      <c r="DQ89" s="715">
        <v>2.5</v>
      </c>
      <c r="DR89" s="715">
        <v>1.6</v>
      </c>
      <c r="DS89" s="715">
        <v>1.9</v>
      </c>
      <c r="DT89" s="715">
        <v>2.4</v>
      </c>
      <c r="DU89" s="715">
        <v>2.7</v>
      </c>
      <c r="DV89" s="715">
        <v>3.1</v>
      </c>
      <c r="DW89" s="715">
        <v>3.5</v>
      </c>
      <c r="DX89" s="715">
        <v>3.8</v>
      </c>
      <c r="DY89" s="715">
        <v>4.1</v>
      </c>
      <c r="DZ89" s="715">
        <v>4.4</v>
      </c>
      <c r="EA89" s="715">
        <v>4.7</v>
      </c>
      <c r="EB89" s="715">
        <v>5.1</v>
      </c>
      <c r="EC89" s="715">
        <v>1.7</v>
      </c>
      <c r="ED89" s="715">
        <v>2</v>
      </c>
      <c r="EE89" s="715">
        <v>2.5</v>
      </c>
      <c r="EF89" s="715">
        <v>3.1</v>
      </c>
      <c r="EG89" s="715">
        <v>3.7</v>
      </c>
      <c r="EH89" s="715">
        <v>4</v>
      </c>
      <c r="EI89" s="715">
        <v>4.3</v>
      </c>
      <c r="EJ89" s="715">
        <v>4.6</v>
      </c>
      <c r="EK89" s="715">
        <v>4.8</v>
      </c>
      <c r="EL89" s="715">
        <v>5</v>
      </c>
      <c r="EM89" s="715">
        <v>5.4</v>
      </c>
      <c r="EN89" s="715">
        <v>3</v>
      </c>
      <c r="EO89" s="715">
        <v>3.6</v>
      </c>
      <c r="EP89" s="715">
        <v>4</v>
      </c>
      <c r="EQ89" s="715">
        <v>4.4</v>
      </c>
      <c r="ER89" s="715">
        <v>4.8</v>
      </c>
      <c r="ES89" s="715">
        <v>5.3</v>
      </c>
      <c r="ET89" s="715">
        <v>5.7</v>
      </c>
      <c r="EU89" s="715">
        <v>6.1</v>
      </c>
      <c r="EV89" s="715">
        <v>6.5</v>
      </c>
      <c r="EW89" s="715">
        <v>6.9</v>
      </c>
      <c r="EX89" s="715">
        <v>7.2</v>
      </c>
      <c r="EY89" s="715">
        <v>-2.5</v>
      </c>
      <c r="EZ89" s="715">
        <v>-1.9</v>
      </c>
      <c r="FA89" s="715">
        <v>-1.5</v>
      </c>
      <c r="FB89" s="715">
        <v>-1.1</v>
      </c>
      <c r="FC89" s="715">
        <v>-0.9</v>
      </c>
      <c r="FD89" s="715">
        <v>-0.7</v>
      </c>
      <c r="FE89" s="715">
        <v>-0.4</v>
      </c>
      <c r="FF89" s="715">
        <v>-0.3</v>
      </c>
      <c r="FG89" s="715">
        <v>-0.1</v>
      </c>
      <c r="FH89" s="715">
        <v>0.1</v>
      </c>
      <c r="FI89" s="715">
        <v>0.3</v>
      </c>
      <c r="FJ89" s="723">
        <v>-5.25e-6</v>
      </c>
      <c r="FK89" s="723">
        <v>7.18e-9</v>
      </c>
      <c r="FL89" s="723">
        <v>-2.89e-11</v>
      </c>
      <c r="FM89" s="723">
        <v>1.16e-6</v>
      </c>
      <c r="FN89" s="723">
        <v>2.39e-9</v>
      </c>
      <c r="FO89" s="723">
        <v>0.261</v>
      </c>
      <c r="FP89" s="729">
        <v>1</v>
      </c>
      <c r="FQ89" s="729">
        <v>1</v>
      </c>
      <c r="FR89" s="729">
        <v>1</v>
      </c>
      <c r="FS89" s="729">
        <v>1</v>
      </c>
      <c r="FT89" s="729">
        <v>1</v>
      </c>
      <c r="FU89" s="729">
        <v>1</v>
      </c>
      <c r="FV89" s="681">
        <v>1</v>
      </c>
      <c r="FW89" s="729"/>
      <c r="FX89" s="729"/>
      <c r="FY89" s="729"/>
      <c r="FZ89" s="774">
        <v>632</v>
      </c>
      <c r="GA89" s="774">
        <v>662</v>
      </c>
      <c r="GB89" s="681">
        <v>582</v>
      </c>
      <c r="GC89" s="681">
        <v>608</v>
      </c>
      <c r="GD89" s="747">
        <v>1.04</v>
      </c>
      <c r="GE89" s="729"/>
      <c r="GF89" s="681">
        <v>83</v>
      </c>
      <c r="GG89" s="681">
        <v>101</v>
      </c>
      <c r="GH89" s="681">
        <v>75</v>
      </c>
      <c r="GI89" s="681">
        <v>78</v>
      </c>
      <c r="GJ89" s="681">
        <v>79</v>
      </c>
      <c r="GK89" s="681">
        <v>81</v>
      </c>
      <c r="GL89" s="681">
        <v>82</v>
      </c>
      <c r="GM89" s="681">
        <v>83</v>
      </c>
      <c r="GN89" s="681">
        <v>84</v>
      </c>
      <c r="GO89" s="681">
        <v>85</v>
      </c>
      <c r="GP89" s="681">
        <v>85</v>
      </c>
      <c r="GQ89" s="681">
        <v>86</v>
      </c>
      <c r="GR89" s="681">
        <v>86</v>
      </c>
      <c r="GS89" s="681">
        <v>87</v>
      </c>
      <c r="GT89" s="681">
        <v>87</v>
      </c>
      <c r="GU89" s="681">
        <v>88</v>
      </c>
      <c r="GV89" s="681">
        <v>89</v>
      </c>
      <c r="GW89" s="681">
        <v>90</v>
      </c>
      <c r="GX89" s="681">
        <v>92</v>
      </c>
      <c r="GY89" s="681">
        <v>93</v>
      </c>
      <c r="GZ89" s="681">
        <v>94</v>
      </c>
      <c r="HA89" s="681">
        <v>96</v>
      </c>
      <c r="HB89" s="681">
        <v>97</v>
      </c>
      <c r="HC89" s="681"/>
      <c r="HD89" s="681">
        <v>260</v>
      </c>
      <c r="HE89" s="681"/>
      <c r="HF89" s="681">
        <v>531</v>
      </c>
      <c r="HG89" s="681">
        <v>176</v>
      </c>
      <c r="HH89" s="714">
        <v>96.1</v>
      </c>
      <c r="HI89" s="714">
        <v>38.1</v>
      </c>
      <c r="HJ89" s="753">
        <v>0.262</v>
      </c>
      <c r="HK89" s="681">
        <v>56</v>
      </c>
      <c r="HL89" s="685">
        <v>2.54</v>
      </c>
      <c r="HM89" s="747">
        <v>3.54</v>
      </c>
      <c r="HN89" s="729" t="s">
        <v>854</v>
      </c>
      <c r="HO89" s="729" t="s">
        <v>855</v>
      </c>
      <c r="HP89" s="714">
        <v>-1.1</v>
      </c>
      <c r="HQ89" s="775">
        <v>0.893</v>
      </c>
      <c r="HR89" s="775">
        <v>0.954</v>
      </c>
      <c r="HS89" s="775">
        <v>0.994</v>
      </c>
      <c r="HT89" s="775">
        <v>0.999</v>
      </c>
      <c r="HU89" s="775">
        <v>0.999</v>
      </c>
      <c r="HV89" s="775">
        <v>0.999</v>
      </c>
      <c r="HW89" s="775">
        <v>0.999</v>
      </c>
      <c r="HX89" s="775">
        <v>0.999</v>
      </c>
      <c r="HY89" s="775">
        <v>0.999</v>
      </c>
      <c r="HZ89" s="775">
        <v>0.999</v>
      </c>
      <c r="IA89" s="775">
        <v>0.999</v>
      </c>
      <c r="IB89" s="775">
        <v>0.999</v>
      </c>
      <c r="IC89" s="775">
        <v>0.999</v>
      </c>
      <c r="ID89" s="775">
        <v>0.999</v>
      </c>
      <c r="IE89" s="775">
        <v>0.998</v>
      </c>
      <c r="IF89" s="775">
        <v>0.998</v>
      </c>
      <c r="IG89" s="775">
        <v>0.997</v>
      </c>
      <c r="IH89" s="775">
        <v>0.996</v>
      </c>
      <c r="II89" s="775">
        <v>0.991</v>
      </c>
      <c r="IJ89" s="775">
        <v>0.988</v>
      </c>
      <c r="IK89" s="775">
        <v>0.985</v>
      </c>
      <c r="IL89" s="775">
        <v>0.978</v>
      </c>
      <c r="IM89" s="775">
        <v>0.964</v>
      </c>
      <c r="IN89" s="775">
        <v>0.925</v>
      </c>
      <c r="IO89" s="775">
        <v>0.863</v>
      </c>
      <c r="IP89" s="775">
        <v>0.695</v>
      </c>
      <c r="IQ89" s="775">
        <v>0.346</v>
      </c>
      <c r="IR89" s="753"/>
      <c r="IS89" s="753"/>
      <c r="IT89" s="753"/>
      <c r="IU89" s="753"/>
      <c r="IV89" s="753"/>
      <c r="IW89" s="754"/>
      <c r="IX89" s="754"/>
      <c r="IY89" s="754"/>
      <c r="IZ89" s="754"/>
      <c r="JA89" s="753">
        <v>0.928</v>
      </c>
      <c r="JB89" s="753">
        <v>0.953</v>
      </c>
      <c r="JC89" s="753">
        <v>0.977</v>
      </c>
      <c r="JD89" s="753">
        <v>0.985</v>
      </c>
      <c r="JE89" s="753">
        <v>0.994</v>
      </c>
      <c r="JF89" s="753">
        <v>0.995</v>
      </c>
      <c r="JG89" s="753">
        <v>0.996</v>
      </c>
      <c r="JH89" s="753">
        <v>0.998</v>
      </c>
      <c r="JI89" s="753">
        <v>0.998</v>
      </c>
      <c r="JJ89" s="753">
        <v>0.998</v>
      </c>
      <c r="JK89" s="753">
        <v>0.998</v>
      </c>
      <c r="JL89" s="753">
        <v>0.998</v>
      </c>
      <c r="JM89" s="753">
        <v>0.998</v>
      </c>
      <c r="JN89" s="753">
        <v>0.998</v>
      </c>
      <c r="JO89" s="753">
        <v>0.997</v>
      </c>
      <c r="JP89" s="753">
        <v>0.996</v>
      </c>
      <c r="JQ89" s="753">
        <v>0.994</v>
      </c>
      <c r="JR89" s="753">
        <v>0.992</v>
      </c>
      <c r="JS89" s="753">
        <v>0.983</v>
      </c>
      <c r="JT89" s="753">
        <v>0.977</v>
      </c>
      <c r="JU89" s="753">
        <v>0.97</v>
      </c>
      <c r="JV89" s="753">
        <v>0.957</v>
      </c>
      <c r="JW89" s="753">
        <v>0.93</v>
      </c>
      <c r="JX89" s="753">
        <v>0.855</v>
      </c>
      <c r="JY89" s="753">
        <v>0.745</v>
      </c>
      <c r="JZ89" s="753">
        <v>0.483</v>
      </c>
      <c r="KA89" s="753">
        <v>0.12</v>
      </c>
      <c r="KB89" s="753"/>
      <c r="KC89" s="753"/>
      <c r="KD89" s="753"/>
      <c r="KE89" s="753"/>
      <c r="KF89" s="753"/>
      <c r="KG89" s="754"/>
      <c r="KH89" s="754"/>
      <c r="KI89" s="754"/>
      <c r="KJ89" s="754"/>
      <c r="KK89" s="765" t="s">
        <v>281</v>
      </c>
      <c r="KL89" s="738">
        <v>55</v>
      </c>
      <c r="KM89" s="738">
        <v>195</v>
      </c>
      <c r="KN89" s="646" t="s">
        <v>282</v>
      </c>
      <c r="KO89" s="646" t="s">
        <v>853</v>
      </c>
      <c r="KP89" s="680">
        <v>847238</v>
      </c>
      <c r="KQ89" s="766" t="s">
        <v>847</v>
      </c>
      <c r="KR89" s="750" t="s">
        <v>848</v>
      </c>
      <c r="KS89" s="769" t="s">
        <v>856</v>
      </c>
      <c r="KT89" s="770" t="s">
        <v>848</v>
      </c>
      <c r="KU89" s="766" t="s">
        <v>850</v>
      </c>
      <c r="KV89" s="750">
        <v>847238</v>
      </c>
      <c r="KW89" s="771" t="s">
        <v>851</v>
      </c>
      <c r="KX89" s="750" t="s">
        <v>848</v>
      </c>
      <c r="KY89" s="769" t="s">
        <v>857</v>
      </c>
      <c r="KZ89" s="770" t="s">
        <v>848</v>
      </c>
    </row>
    <row r="90" s="628" customFormat="1" customHeight="1" spans="1:312">
      <c r="A90" s="682" t="s">
        <v>345</v>
      </c>
      <c r="B90" s="683">
        <v>86</v>
      </c>
      <c r="C90" s="689" t="s">
        <v>858</v>
      </c>
      <c r="D90" s="680">
        <v>847238</v>
      </c>
      <c r="E90" s="685">
        <v>23.78</v>
      </c>
      <c r="F90" s="685">
        <v>23.59</v>
      </c>
      <c r="G90" s="688">
        <v>0.035608</v>
      </c>
      <c r="H90" s="686">
        <v>0.036247</v>
      </c>
      <c r="I90" s="696"/>
      <c r="J90" s="696"/>
      <c r="K90" s="696"/>
      <c r="L90" s="696">
        <v>1.8093</v>
      </c>
      <c r="M90" s="696">
        <v>1.81131</v>
      </c>
      <c r="N90" s="696">
        <v>1.81304</v>
      </c>
      <c r="O90" s="696">
        <v>1.82033</v>
      </c>
      <c r="P90" s="696">
        <v>1.82578</v>
      </c>
      <c r="Q90" s="697">
        <v>1.83105</v>
      </c>
      <c r="R90" s="697">
        <v>1.83653</v>
      </c>
      <c r="S90" s="697">
        <v>1.83811</v>
      </c>
      <c r="T90" s="701">
        <v>1.83959</v>
      </c>
      <c r="U90" s="697">
        <v>1.84636</v>
      </c>
      <c r="V90" s="697">
        <v>1.84666</v>
      </c>
      <c r="W90" s="697">
        <v>1.85504</v>
      </c>
      <c r="X90" s="697">
        <v>1.87213</v>
      </c>
      <c r="Y90" s="697">
        <v>1.87435</v>
      </c>
      <c r="Z90" s="697">
        <v>1.89448</v>
      </c>
      <c r="AA90" s="697">
        <v>1.91508</v>
      </c>
      <c r="AB90" s="697"/>
      <c r="AC90" s="704">
        <v>3.25501075</v>
      </c>
      <c r="AD90" s="705">
        <v>-0.0155546766</v>
      </c>
      <c r="AE90" s="705">
        <v>0.0462097153</v>
      </c>
      <c r="AF90" s="705">
        <v>0.0035444035</v>
      </c>
      <c r="AG90" s="705">
        <v>-0.000241943734</v>
      </c>
      <c r="AH90" s="705">
        <v>4.01197414e-5</v>
      </c>
      <c r="AI90" s="709">
        <v>0.2845</v>
      </c>
      <c r="AJ90" s="709">
        <v>0.2353</v>
      </c>
      <c r="AK90" s="709">
        <v>0.6277</v>
      </c>
      <c r="AL90" s="709">
        <v>0.2359</v>
      </c>
      <c r="AM90" s="709">
        <v>0.2312</v>
      </c>
      <c r="AN90" s="709">
        <v>0.5554</v>
      </c>
      <c r="AO90" s="709">
        <v>0.0029</v>
      </c>
      <c r="AP90" s="709">
        <v>0.0236</v>
      </c>
      <c r="AQ90" s="709">
        <v>0.0043</v>
      </c>
      <c r="AR90" s="709">
        <v>-0.0025</v>
      </c>
      <c r="AS90" s="714">
        <v>-2.8</v>
      </c>
      <c r="AT90" s="714">
        <v>-2.7</v>
      </c>
      <c r="AU90" s="714">
        <v>-2.7</v>
      </c>
      <c r="AV90" s="714">
        <v>-2.6</v>
      </c>
      <c r="AW90" s="714">
        <v>-2.5</v>
      </c>
      <c r="AX90" s="714">
        <v>-2.3</v>
      </c>
      <c r="AY90" s="714">
        <v>-2.3</v>
      </c>
      <c r="AZ90" s="714">
        <v>-2.3</v>
      </c>
      <c r="BA90" s="714">
        <v>-2.1</v>
      </c>
      <c r="BB90" s="714">
        <v>-2</v>
      </c>
      <c r="BC90" s="714">
        <v>-1.9</v>
      </c>
      <c r="BD90" s="714">
        <v>-2.6</v>
      </c>
      <c r="BE90" s="714">
        <v>-2.6</v>
      </c>
      <c r="BF90" s="714">
        <v>-2.4</v>
      </c>
      <c r="BG90" s="714">
        <v>-2.3</v>
      </c>
      <c r="BH90" s="714">
        <v>-2.2</v>
      </c>
      <c r="BI90" s="714">
        <v>-2</v>
      </c>
      <c r="BJ90" s="714">
        <v>-1.9</v>
      </c>
      <c r="BK90" s="714">
        <v>-1.7</v>
      </c>
      <c r="BL90" s="714">
        <v>-1.5</v>
      </c>
      <c r="BM90" s="714">
        <v>-1.1</v>
      </c>
      <c r="BN90" s="714">
        <v>-0.9</v>
      </c>
      <c r="BO90" s="714">
        <v>-2.4</v>
      </c>
      <c r="BP90" s="714">
        <v>-2.3</v>
      </c>
      <c r="BQ90" s="714">
        <v>-2.1</v>
      </c>
      <c r="BR90" s="714">
        <v>-1.9</v>
      </c>
      <c r="BS90" s="714">
        <v>-1.8</v>
      </c>
      <c r="BT90" s="714">
        <v>-1.6</v>
      </c>
      <c r="BU90" s="714">
        <v>-1.6</v>
      </c>
      <c r="BV90" s="714">
        <v>-1.3</v>
      </c>
      <c r="BW90" s="714">
        <v>-1.1</v>
      </c>
      <c r="BX90" s="714">
        <v>-0.9</v>
      </c>
      <c r="BY90" s="714">
        <v>-0.7</v>
      </c>
      <c r="BZ90" s="714">
        <v>-2.3</v>
      </c>
      <c r="CA90" s="714">
        <v>-2.3</v>
      </c>
      <c r="CB90" s="714">
        <v>-2</v>
      </c>
      <c r="CC90" s="714">
        <v>-1.9</v>
      </c>
      <c r="CD90" s="714">
        <v>-1.8</v>
      </c>
      <c r="CE90" s="714">
        <v>-1.6</v>
      </c>
      <c r="CF90" s="714">
        <v>-1.6</v>
      </c>
      <c r="CG90" s="714">
        <v>-1.3</v>
      </c>
      <c r="CH90" s="714">
        <v>-1.1</v>
      </c>
      <c r="CI90" s="714">
        <v>-0.8</v>
      </c>
      <c r="CJ90" s="714">
        <v>-0.6</v>
      </c>
      <c r="CK90" s="714">
        <v>-2.2</v>
      </c>
      <c r="CL90" s="715">
        <v>-2.2</v>
      </c>
      <c r="CM90" s="715">
        <v>-2</v>
      </c>
      <c r="CN90" s="715">
        <v>-1.9</v>
      </c>
      <c r="CO90" s="715">
        <v>-1.7</v>
      </c>
      <c r="CP90" s="715">
        <v>-1.5</v>
      </c>
      <c r="CQ90" s="715">
        <v>-1.5</v>
      </c>
      <c r="CR90" s="714">
        <v>-1.2</v>
      </c>
      <c r="CS90" s="714">
        <v>-1</v>
      </c>
      <c r="CT90" s="714">
        <v>-0.8</v>
      </c>
      <c r="CU90" s="714">
        <v>-0.6</v>
      </c>
      <c r="CV90" s="714">
        <v>-2.1</v>
      </c>
      <c r="CW90" s="715">
        <v>-2</v>
      </c>
      <c r="CX90" s="715">
        <v>-1.9</v>
      </c>
      <c r="CY90" s="715">
        <v>-1.7</v>
      </c>
      <c r="CZ90" s="715">
        <v>-1.5</v>
      </c>
      <c r="DA90" s="715">
        <v>-1.3</v>
      </c>
      <c r="DB90" s="715">
        <v>-1.2</v>
      </c>
      <c r="DC90" s="714">
        <v>-1</v>
      </c>
      <c r="DD90" s="714">
        <v>-0.8</v>
      </c>
      <c r="DE90" s="714">
        <v>-0.6</v>
      </c>
      <c r="DF90" s="714">
        <v>-0.4</v>
      </c>
      <c r="DG90" s="714">
        <v>-1.9</v>
      </c>
      <c r="DH90" s="715">
        <v>-1.8</v>
      </c>
      <c r="DI90" s="715">
        <v>-1.6</v>
      </c>
      <c r="DJ90" s="715">
        <v>-1.5</v>
      </c>
      <c r="DK90" s="715">
        <v>-1.4</v>
      </c>
      <c r="DL90" s="715">
        <v>-1.2</v>
      </c>
      <c r="DM90" s="715">
        <v>-1.1</v>
      </c>
      <c r="DN90" s="714">
        <v>-0.9</v>
      </c>
      <c r="DO90" s="714">
        <v>-0.7</v>
      </c>
      <c r="DP90" s="714">
        <v>-0.3</v>
      </c>
      <c r="DQ90" s="714">
        <v>-0.1</v>
      </c>
      <c r="DR90" s="714">
        <v>-1.7</v>
      </c>
      <c r="DS90" s="715">
        <v>-1.6</v>
      </c>
      <c r="DT90" s="715">
        <v>-1.4</v>
      </c>
      <c r="DU90" s="715">
        <v>-1.2</v>
      </c>
      <c r="DV90" s="715">
        <v>-1.1</v>
      </c>
      <c r="DW90" s="715">
        <v>-0.9</v>
      </c>
      <c r="DX90" s="715">
        <v>-0.7</v>
      </c>
      <c r="DY90" s="714">
        <v>-0.5</v>
      </c>
      <c r="DZ90" s="714">
        <v>-0.4</v>
      </c>
      <c r="EA90" s="714">
        <v>-0.1</v>
      </c>
      <c r="EB90" s="714">
        <v>0.1</v>
      </c>
      <c r="EC90" s="714">
        <v>-1.5</v>
      </c>
      <c r="ED90" s="715">
        <v>-1.4</v>
      </c>
      <c r="EE90" s="715">
        <v>-1.3</v>
      </c>
      <c r="EF90" s="715">
        <v>-1.2</v>
      </c>
      <c r="EG90" s="715">
        <v>-0.8</v>
      </c>
      <c r="EH90" s="715">
        <v>-0.6</v>
      </c>
      <c r="EI90" s="715">
        <v>-0.3</v>
      </c>
      <c r="EJ90" s="714">
        <v>-0.1</v>
      </c>
      <c r="EK90" s="714">
        <v>0.1</v>
      </c>
      <c r="EL90" s="714">
        <v>0.3</v>
      </c>
      <c r="EM90" s="714">
        <v>0.4</v>
      </c>
      <c r="EN90" s="714">
        <v>-1</v>
      </c>
      <c r="EO90" s="715">
        <v>-0.8</v>
      </c>
      <c r="EP90" s="715">
        <v>-0.5</v>
      </c>
      <c r="EQ90" s="715">
        <v>-0.4</v>
      </c>
      <c r="ER90" s="715">
        <v>-0.1</v>
      </c>
      <c r="ES90" s="715">
        <v>0.2</v>
      </c>
      <c r="ET90" s="715">
        <v>0.6</v>
      </c>
      <c r="EU90" s="714">
        <v>0.9</v>
      </c>
      <c r="EV90" s="714">
        <v>1.1</v>
      </c>
      <c r="EW90" s="714">
        <v>1.4</v>
      </c>
      <c r="EX90" s="714">
        <v>1.6</v>
      </c>
      <c r="EY90" s="714">
        <v>-5.2</v>
      </c>
      <c r="EZ90" s="715">
        <v>-4.7</v>
      </c>
      <c r="FA90" s="715">
        <v>-4.1</v>
      </c>
      <c r="FB90" s="715">
        <v>-3.7</v>
      </c>
      <c r="FC90" s="715">
        <v>-3.3</v>
      </c>
      <c r="FD90" s="715">
        <v>-2.9</v>
      </c>
      <c r="FE90" s="715">
        <v>-2.7</v>
      </c>
      <c r="FF90" s="714">
        <v>-2.3</v>
      </c>
      <c r="FG90" s="714">
        <v>-2</v>
      </c>
      <c r="FH90" s="714">
        <v>-1.7</v>
      </c>
      <c r="FI90" s="714">
        <v>-1.4</v>
      </c>
      <c r="FJ90" s="723">
        <v>-7.08e-6</v>
      </c>
      <c r="FK90" s="723">
        <v>1.39e-8</v>
      </c>
      <c r="FL90" s="723">
        <v>-1.78e-11</v>
      </c>
      <c r="FM90" s="723">
        <v>5.17e-7</v>
      </c>
      <c r="FN90" s="723">
        <v>6.08e-10</v>
      </c>
      <c r="FO90" s="723">
        <v>0.248</v>
      </c>
      <c r="FP90" s="729">
        <v>1</v>
      </c>
      <c r="FQ90" s="729">
        <v>1</v>
      </c>
      <c r="FR90" s="729">
        <v>1</v>
      </c>
      <c r="FS90" s="729">
        <v>1</v>
      </c>
      <c r="FT90" s="729">
        <v>1</v>
      </c>
      <c r="FU90" s="729">
        <v>1</v>
      </c>
      <c r="FV90" s="681">
        <v>1</v>
      </c>
      <c r="FW90" s="729"/>
      <c r="FX90" s="729"/>
      <c r="FY90" s="729"/>
      <c r="FZ90" s="746">
        <v>551</v>
      </c>
      <c r="GA90" s="746">
        <v>591</v>
      </c>
      <c r="GB90" s="681">
        <v>507</v>
      </c>
      <c r="GC90" s="681">
        <v>540</v>
      </c>
      <c r="GD90" s="747">
        <v>0.82</v>
      </c>
      <c r="GE90" s="729"/>
      <c r="GF90" s="681">
        <v>83</v>
      </c>
      <c r="GG90" s="681">
        <v>99</v>
      </c>
      <c r="GH90" s="681">
        <v>67</v>
      </c>
      <c r="GI90" s="681">
        <v>75</v>
      </c>
      <c r="GJ90" s="681">
        <v>84</v>
      </c>
      <c r="GK90" s="681">
        <v>85</v>
      </c>
      <c r="GL90" s="681">
        <v>85</v>
      </c>
      <c r="GM90" s="681">
        <v>86</v>
      </c>
      <c r="GN90" s="681">
        <v>86</v>
      </c>
      <c r="GO90" s="681">
        <v>86</v>
      </c>
      <c r="GP90" s="681">
        <v>87</v>
      </c>
      <c r="GQ90" s="681">
        <v>87</v>
      </c>
      <c r="GR90" s="681">
        <v>88</v>
      </c>
      <c r="GS90" s="681">
        <v>89</v>
      </c>
      <c r="GT90" s="681">
        <v>89</v>
      </c>
      <c r="GU90" s="681">
        <v>90</v>
      </c>
      <c r="GV90" s="681">
        <v>91</v>
      </c>
      <c r="GW90" s="681">
        <v>93</v>
      </c>
      <c r="GX90" s="681">
        <v>95</v>
      </c>
      <c r="GY90" s="681">
        <v>98</v>
      </c>
      <c r="GZ90" s="681">
        <v>99</v>
      </c>
      <c r="HA90" s="681">
        <v>101</v>
      </c>
      <c r="HB90" s="681">
        <v>103</v>
      </c>
      <c r="HC90" s="681"/>
      <c r="HD90" s="750"/>
      <c r="HE90" s="681"/>
      <c r="HF90" s="681">
        <v>450</v>
      </c>
      <c r="HG90" s="681">
        <v>195</v>
      </c>
      <c r="HH90" s="714">
        <v>96.7</v>
      </c>
      <c r="HI90" s="714">
        <v>37.9</v>
      </c>
      <c r="HJ90" s="753">
        <v>0.276</v>
      </c>
      <c r="HK90" s="681"/>
      <c r="HL90" s="685">
        <v>2.53</v>
      </c>
      <c r="HM90" s="747">
        <v>3.71</v>
      </c>
      <c r="HN90" s="729" t="s">
        <v>859</v>
      </c>
      <c r="HO90" s="729" t="s">
        <v>860</v>
      </c>
      <c r="HP90" s="714">
        <v>-0.5</v>
      </c>
      <c r="HQ90" s="753">
        <v>0.957</v>
      </c>
      <c r="HR90" s="753">
        <v>0.978</v>
      </c>
      <c r="HS90" s="753">
        <v>0.993</v>
      </c>
      <c r="HT90" s="753">
        <v>0.997</v>
      </c>
      <c r="HU90" s="753">
        <v>0.998</v>
      </c>
      <c r="HV90" s="753">
        <v>0.999</v>
      </c>
      <c r="HW90" s="753">
        <v>0.999</v>
      </c>
      <c r="HX90" s="753">
        <v>0.999</v>
      </c>
      <c r="HY90" s="753">
        <v>0.999</v>
      </c>
      <c r="HZ90" s="753">
        <v>0.999</v>
      </c>
      <c r="IA90" s="753">
        <v>0.999</v>
      </c>
      <c r="IB90" s="753">
        <v>0.999</v>
      </c>
      <c r="IC90" s="753">
        <v>0.998</v>
      </c>
      <c r="ID90" s="753">
        <v>0.998</v>
      </c>
      <c r="IE90" s="753">
        <v>0.998</v>
      </c>
      <c r="IF90" s="753">
        <v>0.997</v>
      </c>
      <c r="IG90" s="753">
        <v>0.996</v>
      </c>
      <c r="IH90" s="753">
        <v>0.993</v>
      </c>
      <c r="II90" s="753">
        <v>0.985</v>
      </c>
      <c r="IJ90" s="753">
        <v>0.979</v>
      </c>
      <c r="IK90" s="753">
        <v>0.968</v>
      </c>
      <c r="IL90" s="753">
        <v>0.952</v>
      </c>
      <c r="IM90" s="753">
        <v>0.919</v>
      </c>
      <c r="IN90" s="753">
        <v>0.839</v>
      </c>
      <c r="IO90" s="753">
        <v>0.729</v>
      </c>
      <c r="IP90" s="753">
        <v>0.455</v>
      </c>
      <c r="IQ90" s="753">
        <v>0.135</v>
      </c>
      <c r="IR90" s="753"/>
      <c r="IS90" s="753"/>
      <c r="IT90" s="753"/>
      <c r="IU90" s="753"/>
      <c r="IV90" s="753"/>
      <c r="IW90" s="753"/>
      <c r="IX90" s="753"/>
      <c r="IY90" s="753"/>
      <c r="IZ90" s="753"/>
      <c r="JA90" s="754">
        <v>0.915</v>
      </c>
      <c r="JB90" s="754">
        <v>0.957</v>
      </c>
      <c r="JC90" s="754">
        <v>0.987</v>
      </c>
      <c r="JD90" s="754">
        <v>0.994</v>
      </c>
      <c r="JE90" s="754">
        <v>0.997</v>
      </c>
      <c r="JF90" s="754">
        <v>0.998</v>
      </c>
      <c r="JG90" s="754">
        <v>0.998</v>
      </c>
      <c r="JH90" s="754">
        <v>0.998</v>
      </c>
      <c r="JI90" s="754">
        <v>0.998</v>
      </c>
      <c r="JJ90" s="754">
        <v>0.998</v>
      </c>
      <c r="JK90" s="754">
        <v>0.998</v>
      </c>
      <c r="JL90" s="754">
        <v>0.998</v>
      </c>
      <c r="JM90" s="754">
        <v>0.997</v>
      </c>
      <c r="JN90" s="754">
        <v>0.997</v>
      </c>
      <c r="JO90" s="754">
        <v>0.996</v>
      </c>
      <c r="JP90" s="754">
        <v>0.994</v>
      </c>
      <c r="JQ90" s="754">
        <v>0.993</v>
      </c>
      <c r="JR90" s="754">
        <v>0.987</v>
      </c>
      <c r="JS90" s="754">
        <v>0.971</v>
      </c>
      <c r="JT90" s="754">
        <v>0.958</v>
      </c>
      <c r="JU90" s="754">
        <v>0.937</v>
      </c>
      <c r="JV90" s="754">
        <v>0.906</v>
      </c>
      <c r="JW90" s="754">
        <v>0.845</v>
      </c>
      <c r="JX90" s="754">
        <v>0.704</v>
      </c>
      <c r="JY90" s="754">
        <v>0.532</v>
      </c>
      <c r="JZ90" s="754">
        <v>0.207</v>
      </c>
      <c r="KA90" s="754">
        <v>0.018</v>
      </c>
      <c r="KB90" s="754"/>
      <c r="KC90" s="754"/>
      <c r="KD90" s="754"/>
      <c r="KE90" s="754"/>
      <c r="KF90" s="754"/>
      <c r="KG90" s="754"/>
      <c r="KH90" s="754"/>
      <c r="KI90" s="754"/>
      <c r="KJ90" s="754"/>
      <c r="KK90" s="765"/>
      <c r="KL90" s="738">
        <v>227</v>
      </c>
      <c r="KM90" s="738">
        <v>842</v>
      </c>
      <c r="KN90" s="646" t="s">
        <v>339</v>
      </c>
      <c r="KO90" s="646" t="s">
        <v>858</v>
      </c>
      <c r="KP90" s="680">
        <v>847238</v>
      </c>
      <c r="KQ90" s="766"/>
      <c r="KR90" s="750"/>
      <c r="KS90" s="769"/>
      <c r="KT90" s="770"/>
      <c r="KU90" s="766"/>
      <c r="KV90" s="750"/>
      <c r="KW90" s="771"/>
      <c r="KX90" s="750"/>
      <c r="KY90" s="769"/>
      <c r="KZ90" s="770"/>
    </row>
    <row r="91" s="628" customFormat="1" customHeight="1" spans="1:312">
      <c r="A91" s="682" t="s">
        <v>277</v>
      </c>
      <c r="B91" s="683">
        <v>87</v>
      </c>
      <c r="C91" s="689" t="s">
        <v>861</v>
      </c>
      <c r="D91" s="680">
        <v>855248</v>
      </c>
      <c r="E91" s="685">
        <v>24.8</v>
      </c>
      <c r="F91" s="685">
        <v>24.61</v>
      </c>
      <c r="G91" s="688">
        <v>0.034469</v>
      </c>
      <c r="H91" s="686">
        <v>0.035057</v>
      </c>
      <c r="I91" s="696">
        <v>1.79256</v>
      </c>
      <c r="J91" s="696">
        <v>1.79984</v>
      </c>
      <c r="K91" s="696">
        <v>1.80851</v>
      </c>
      <c r="L91" s="696">
        <v>1.81792</v>
      </c>
      <c r="M91" s="696">
        <v>1.81992</v>
      </c>
      <c r="N91" s="696">
        <v>1.82165</v>
      </c>
      <c r="O91" s="696">
        <v>1.82888</v>
      </c>
      <c r="P91" s="696">
        <v>1.83428</v>
      </c>
      <c r="Q91" s="697">
        <v>1.83948</v>
      </c>
      <c r="R91" s="697">
        <v>1.84488</v>
      </c>
      <c r="S91" s="697">
        <v>1.84642</v>
      </c>
      <c r="T91" s="701">
        <v>1.84787</v>
      </c>
      <c r="U91" s="697">
        <v>1.85448</v>
      </c>
      <c r="V91" s="697">
        <v>1.85478</v>
      </c>
      <c r="W91" s="697">
        <v>1.8629</v>
      </c>
      <c r="X91" s="697">
        <v>1.87935</v>
      </c>
      <c r="Y91" s="697">
        <v>1.88147</v>
      </c>
      <c r="Z91" s="697">
        <v>1.90044</v>
      </c>
      <c r="AA91" s="697">
        <v>1.91945</v>
      </c>
      <c r="AB91" s="697">
        <v>1.95583</v>
      </c>
      <c r="AC91" s="704">
        <v>3.28426529</v>
      </c>
      <c r="AD91" s="705">
        <v>-0.0147934043</v>
      </c>
      <c r="AE91" s="705">
        <v>0.0481498133</v>
      </c>
      <c r="AF91" s="705">
        <v>0.00274086829</v>
      </c>
      <c r="AG91" s="705">
        <v>-0.000133744832</v>
      </c>
      <c r="AH91" s="705">
        <v>2.63779943e-5</v>
      </c>
      <c r="AI91" s="709">
        <v>0.2872</v>
      </c>
      <c r="AJ91" s="709">
        <v>0.2356</v>
      </c>
      <c r="AK91" s="709">
        <v>0.6119</v>
      </c>
      <c r="AL91" s="709">
        <v>0.2385</v>
      </c>
      <c r="AM91" s="709">
        <v>0.2316</v>
      </c>
      <c r="AN91" s="709">
        <v>0.5411</v>
      </c>
      <c r="AO91" s="709">
        <v>0.0007</v>
      </c>
      <c r="AP91" s="709">
        <v>0.0094</v>
      </c>
      <c r="AQ91" s="709">
        <v>0.0137</v>
      </c>
      <c r="AR91" s="709">
        <v>0.0043</v>
      </c>
      <c r="AS91" s="714">
        <v>0.3</v>
      </c>
      <c r="AT91" s="714">
        <v>0.6</v>
      </c>
      <c r="AU91" s="714">
        <v>0.8</v>
      </c>
      <c r="AV91" s="714">
        <v>1</v>
      </c>
      <c r="AW91" s="714">
        <v>1.1</v>
      </c>
      <c r="AX91" s="714">
        <v>1.2</v>
      </c>
      <c r="AY91" s="714">
        <v>1.4</v>
      </c>
      <c r="AZ91" s="714">
        <v>1.5</v>
      </c>
      <c r="BA91" s="714">
        <v>1.7</v>
      </c>
      <c r="BB91" s="714">
        <v>1.8</v>
      </c>
      <c r="BC91" s="714">
        <v>1.9</v>
      </c>
      <c r="BD91" s="714">
        <v>0.7</v>
      </c>
      <c r="BE91" s="714">
        <v>1</v>
      </c>
      <c r="BF91" s="714">
        <v>1.2</v>
      </c>
      <c r="BG91" s="714">
        <v>1.3</v>
      </c>
      <c r="BH91" s="714">
        <v>1.5</v>
      </c>
      <c r="BI91" s="714">
        <v>1.8</v>
      </c>
      <c r="BJ91" s="714">
        <v>2.1</v>
      </c>
      <c r="BK91" s="714">
        <v>2.4</v>
      </c>
      <c r="BL91" s="714">
        <v>2.6</v>
      </c>
      <c r="BM91" s="714">
        <v>2.7</v>
      </c>
      <c r="BN91" s="714">
        <v>2.8</v>
      </c>
      <c r="BO91" s="714">
        <v>1.3</v>
      </c>
      <c r="BP91" s="714">
        <v>1.6</v>
      </c>
      <c r="BQ91" s="714">
        <v>1.8</v>
      </c>
      <c r="BR91" s="714">
        <v>2</v>
      </c>
      <c r="BS91" s="714">
        <v>2.3</v>
      </c>
      <c r="BT91" s="714">
        <v>2.6</v>
      </c>
      <c r="BU91" s="714">
        <v>2.8</v>
      </c>
      <c r="BV91" s="714">
        <v>3</v>
      </c>
      <c r="BW91" s="714">
        <v>3.2</v>
      </c>
      <c r="BX91" s="714">
        <v>3.5</v>
      </c>
      <c r="BY91" s="714">
        <v>3.8</v>
      </c>
      <c r="BZ91" s="714">
        <v>1.4</v>
      </c>
      <c r="CA91" s="714">
        <v>1.6</v>
      </c>
      <c r="CB91" s="714">
        <v>1.8</v>
      </c>
      <c r="CC91" s="714">
        <v>2.1</v>
      </c>
      <c r="CD91" s="714">
        <v>2.4</v>
      </c>
      <c r="CE91" s="714">
        <v>2.6</v>
      </c>
      <c r="CF91" s="714">
        <v>2.9</v>
      </c>
      <c r="CG91" s="714">
        <v>3.1</v>
      </c>
      <c r="CH91" s="714">
        <v>3.3</v>
      </c>
      <c r="CI91" s="714">
        <v>3.6</v>
      </c>
      <c r="CJ91" s="714">
        <v>3.8</v>
      </c>
      <c r="CK91" s="714">
        <v>1.5</v>
      </c>
      <c r="CL91" s="715">
        <v>1.8</v>
      </c>
      <c r="CM91" s="715">
        <v>1.9</v>
      </c>
      <c r="CN91" s="715">
        <v>2.2</v>
      </c>
      <c r="CO91" s="715">
        <v>2.5</v>
      </c>
      <c r="CP91" s="715">
        <v>2.7</v>
      </c>
      <c r="CQ91" s="715">
        <v>3.1</v>
      </c>
      <c r="CR91" s="714">
        <v>3.3</v>
      </c>
      <c r="CS91" s="714">
        <v>3.5</v>
      </c>
      <c r="CT91" s="714">
        <v>3.7</v>
      </c>
      <c r="CU91" s="714">
        <v>3.9</v>
      </c>
      <c r="CV91" s="714">
        <v>1.7</v>
      </c>
      <c r="CW91" s="715">
        <v>2.1</v>
      </c>
      <c r="CX91" s="715">
        <v>2.3</v>
      </c>
      <c r="CY91" s="715">
        <v>2.6</v>
      </c>
      <c r="CZ91" s="715">
        <v>2.9</v>
      </c>
      <c r="DA91" s="715">
        <v>3.2</v>
      </c>
      <c r="DB91" s="715">
        <v>3.5</v>
      </c>
      <c r="DC91" s="714">
        <v>3.7</v>
      </c>
      <c r="DD91" s="714">
        <v>3.9</v>
      </c>
      <c r="DE91" s="714">
        <v>4.1</v>
      </c>
      <c r="DF91" s="714">
        <v>4.3</v>
      </c>
      <c r="DG91" s="714">
        <v>2.1</v>
      </c>
      <c r="DH91" s="715">
        <v>2.6</v>
      </c>
      <c r="DI91" s="715">
        <v>2.9</v>
      </c>
      <c r="DJ91" s="715">
        <v>3.1</v>
      </c>
      <c r="DK91" s="715">
        <v>3.4</v>
      </c>
      <c r="DL91" s="715">
        <v>3.6</v>
      </c>
      <c r="DM91" s="715">
        <v>4</v>
      </c>
      <c r="DN91" s="714">
        <v>4.3</v>
      </c>
      <c r="DO91" s="714">
        <v>4.6</v>
      </c>
      <c r="DP91" s="714">
        <v>4.8</v>
      </c>
      <c r="DQ91" s="714">
        <v>5.1</v>
      </c>
      <c r="DR91" s="714">
        <v>2.6</v>
      </c>
      <c r="DS91" s="715">
        <v>3.1</v>
      </c>
      <c r="DT91" s="715">
        <v>3.3</v>
      </c>
      <c r="DU91" s="715">
        <v>3.5</v>
      </c>
      <c r="DV91" s="715">
        <v>3.8</v>
      </c>
      <c r="DW91" s="715">
        <v>4.2</v>
      </c>
      <c r="DX91" s="715">
        <v>4.6</v>
      </c>
      <c r="DY91" s="714">
        <v>4.9</v>
      </c>
      <c r="DZ91" s="714">
        <v>5.2</v>
      </c>
      <c r="EA91" s="714">
        <v>5.4</v>
      </c>
      <c r="EB91" s="714">
        <v>5.6</v>
      </c>
      <c r="EC91" s="714">
        <v>2.8</v>
      </c>
      <c r="ED91" s="715">
        <v>3.2</v>
      </c>
      <c r="EE91" s="715">
        <v>3.4</v>
      </c>
      <c r="EF91" s="715">
        <v>3.7</v>
      </c>
      <c r="EG91" s="715">
        <v>4</v>
      </c>
      <c r="EH91" s="715">
        <v>4.3</v>
      </c>
      <c r="EI91" s="715">
        <v>4.7</v>
      </c>
      <c r="EJ91" s="714">
        <v>5.1</v>
      </c>
      <c r="EK91" s="714">
        <v>5.3</v>
      </c>
      <c r="EL91" s="714">
        <v>5.6</v>
      </c>
      <c r="EM91" s="714">
        <v>5.7</v>
      </c>
      <c r="EN91" s="714">
        <v>4.7</v>
      </c>
      <c r="EO91" s="715">
        <v>5.3</v>
      </c>
      <c r="EP91" s="715">
        <v>5.7</v>
      </c>
      <c r="EQ91" s="715">
        <v>6</v>
      </c>
      <c r="ER91" s="715">
        <v>6.5</v>
      </c>
      <c r="ES91" s="715">
        <v>6.9</v>
      </c>
      <c r="ET91" s="715">
        <v>7.3</v>
      </c>
      <c r="EU91" s="714">
        <v>7.6</v>
      </c>
      <c r="EV91" s="714">
        <v>8</v>
      </c>
      <c r="EW91" s="714">
        <v>8.2</v>
      </c>
      <c r="EX91" s="714">
        <v>8.5</v>
      </c>
      <c r="EY91" s="714">
        <v>-1.5</v>
      </c>
      <c r="EZ91" s="715">
        <v>-0.7</v>
      </c>
      <c r="FA91" s="715">
        <v>-0.2</v>
      </c>
      <c r="FB91" s="715">
        <v>0.4</v>
      </c>
      <c r="FC91" s="715">
        <v>0.9</v>
      </c>
      <c r="FD91" s="715">
        <v>1.3</v>
      </c>
      <c r="FE91" s="715">
        <v>1.8</v>
      </c>
      <c r="FF91" s="714">
        <v>2.2</v>
      </c>
      <c r="FG91" s="714">
        <v>2.5</v>
      </c>
      <c r="FH91" s="714">
        <v>2.8</v>
      </c>
      <c r="FI91" s="714">
        <v>3.1</v>
      </c>
      <c r="FJ91" s="723">
        <v>-1.6e-6</v>
      </c>
      <c r="FK91" s="723">
        <v>1.75e-8</v>
      </c>
      <c r="FL91" s="723">
        <v>-2.6e-11</v>
      </c>
      <c r="FM91" s="723">
        <v>6.93e-7</v>
      </c>
      <c r="FN91" s="723">
        <v>5.83e-10</v>
      </c>
      <c r="FO91" s="723">
        <v>0.315</v>
      </c>
      <c r="FP91" s="729">
        <v>1</v>
      </c>
      <c r="FQ91" s="729">
        <v>1</v>
      </c>
      <c r="FR91" s="729">
        <v>1</v>
      </c>
      <c r="FS91" s="729">
        <v>1</v>
      </c>
      <c r="FT91" s="729">
        <v>1</v>
      </c>
      <c r="FU91" s="729">
        <v>1</v>
      </c>
      <c r="FV91" s="681">
        <v>2</v>
      </c>
      <c r="FW91" s="729"/>
      <c r="FX91" s="729"/>
      <c r="FY91" s="729"/>
      <c r="FZ91" s="746">
        <v>585</v>
      </c>
      <c r="GA91" s="746">
        <v>623</v>
      </c>
      <c r="GB91" s="681">
        <v>530</v>
      </c>
      <c r="GC91" s="681">
        <v>563</v>
      </c>
      <c r="GD91" s="747">
        <v>1.23</v>
      </c>
      <c r="GE91" s="729"/>
      <c r="GF91" s="681">
        <v>76</v>
      </c>
      <c r="GG91" s="681">
        <v>97</v>
      </c>
      <c r="GH91" s="681">
        <v>64</v>
      </c>
      <c r="GI91" s="681">
        <v>67</v>
      </c>
      <c r="GJ91" s="681">
        <v>73</v>
      </c>
      <c r="GK91" s="681">
        <v>73</v>
      </c>
      <c r="GL91" s="681">
        <v>74</v>
      </c>
      <c r="GM91" s="681">
        <v>74</v>
      </c>
      <c r="GN91" s="681">
        <v>77</v>
      </c>
      <c r="GO91" s="681">
        <v>80</v>
      </c>
      <c r="GP91" s="681">
        <v>80</v>
      </c>
      <c r="GQ91" s="681">
        <v>80</v>
      </c>
      <c r="GR91" s="681">
        <v>83</v>
      </c>
      <c r="GS91" s="681">
        <v>85</v>
      </c>
      <c r="GT91" s="681">
        <v>85</v>
      </c>
      <c r="GU91" s="681">
        <v>86</v>
      </c>
      <c r="GV91" s="681">
        <v>88</v>
      </c>
      <c r="GW91" s="681">
        <v>88</v>
      </c>
      <c r="GX91" s="681">
        <v>89</v>
      </c>
      <c r="GY91" s="681">
        <v>89</v>
      </c>
      <c r="GZ91" s="681">
        <v>93</v>
      </c>
      <c r="HA91" s="681">
        <v>93</v>
      </c>
      <c r="HB91" s="681">
        <v>95</v>
      </c>
      <c r="HC91" s="681"/>
      <c r="HD91" s="750">
        <v>205</v>
      </c>
      <c r="HE91" s="681"/>
      <c r="HF91" s="681">
        <v>572</v>
      </c>
      <c r="HG91" s="681">
        <v>201</v>
      </c>
      <c r="HH91" s="714">
        <v>106.5</v>
      </c>
      <c r="HI91" s="714">
        <v>42.3</v>
      </c>
      <c r="HJ91" s="753">
        <v>0.257</v>
      </c>
      <c r="HK91" s="681">
        <v>105.9</v>
      </c>
      <c r="HL91" s="685">
        <v>3.06</v>
      </c>
      <c r="HM91" s="747">
        <v>3.49</v>
      </c>
      <c r="HN91" s="729" t="s">
        <v>862</v>
      </c>
      <c r="HO91" s="729" t="s">
        <v>863</v>
      </c>
      <c r="HP91" s="714">
        <v>-1.7</v>
      </c>
      <c r="HQ91" s="753">
        <v>0.971</v>
      </c>
      <c r="HR91" s="753">
        <v>0.982</v>
      </c>
      <c r="HS91" s="753">
        <v>0.992</v>
      </c>
      <c r="HT91" s="753">
        <v>0.994</v>
      </c>
      <c r="HU91" s="753">
        <v>0.997</v>
      </c>
      <c r="HV91" s="753">
        <v>0.998</v>
      </c>
      <c r="HW91" s="753">
        <v>0.999</v>
      </c>
      <c r="HX91" s="753">
        <v>0.999</v>
      </c>
      <c r="HY91" s="753">
        <v>0.999</v>
      </c>
      <c r="HZ91" s="753">
        <v>0.999</v>
      </c>
      <c r="IA91" s="753">
        <v>0.999</v>
      </c>
      <c r="IB91" s="753">
        <v>0.999</v>
      </c>
      <c r="IC91" s="753">
        <v>0.999</v>
      </c>
      <c r="ID91" s="753">
        <v>0.999</v>
      </c>
      <c r="IE91" s="753">
        <v>0.999</v>
      </c>
      <c r="IF91" s="753">
        <v>0.998</v>
      </c>
      <c r="IG91" s="753">
        <v>0.998</v>
      </c>
      <c r="IH91" s="753">
        <v>0.996</v>
      </c>
      <c r="II91" s="753">
        <v>0.991</v>
      </c>
      <c r="IJ91" s="753">
        <v>0.988</v>
      </c>
      <c r="IK91" s="753">
        <v>0.983</v>
      </c>
      <c r="IL91" s="753">
        <v>0.976</v>
      </c>
      <c r="IM91" s="753">
        <v>0.961</v>
      </c>
      <c r="IN91" s="753">
        <v>0.929</v>
      </c>
      <c r="IO91" s="753">
        <v>0.897</v>
      </c>
      <c r="IP91" s="753">
        <v>0.835</v>
      </c>
      <c r="IQ91" s="753">
        <v>0.683</v>
      </c>
      <c r="IR91" s="753">
        <v>0.361</v>
      </c>
      <c r="IS91" s="753"/>
      <c r="IT91" s="753"/>
      <c r="IU91" s="753"/>
      <c r="IV91" s="753"/>
      <c r="IW91" s="753"/>
      <c r="IX91" s="753"/>
      <c r="IY91" s="753"/>
      <c r="IZ91" s="753"/>
      <c r="JA91" s="754">
        <v>0.943</v>
      </c>
      <c r="JB91" s="754">
        <v>0.964</v>
      </c>
      <c r="JC91" s="754">
        <v>0.985</v>
      </c>
      <c r="JD91" s="754">
        <v>0.988</v>
      </c>
      <c r="JE91" s="754">
        <v>0.995</v>
      </c>
      <c r="JF91" s="754">
        <v>0.996</v>
      </c>
      <c r="JG91" s="754">
        <v>0.998</v>
      </c>
      <c r="JH91" s="754">
        <v>0.998</v>
      </c>
      <c r="JI91" s="754">
        <v>0.998</v>
      </c>
      <c r="JJ91" s="754">
        <v>0.998</v>
      </c>
      <c r="JK91" s="754">
        <v>0.998</v>
      </c>
      <c r="JL91" s="754">
        <v>0.998</v>
      </c>
      <c r="JM91" s="754">
        <v>0.998</v>
      </c>
      <c r="JN91" s="754">
        <v>0.998</v>
      </c>
      <c r="JO91" s="754">
        <v>0.997</v>
      </c>
      <c r="JP91" s="754">
        <v>0.996</v>
      </c>
      <c r="JQ91" s="754">
        <v>0.995</v>
      </c>
      <c r="JR91" s="754">
        <v>0.992</v>
      </c>
      <c r="JS91" s="754">
        <v>0.982</v>
      </c>
      <c r="JT91" s="754">
        <v>0.975</v>
      </c>
      <c r="JU91" s="754">
        <v>0.967</v>
      </c>
      <c r="JV91" s="754">
        <v>0.953</v>
      </c>
      <c r="JW91" s="754">
        <v>0.924</v>
      </c>
      <c r="JX91" s="754">
        <v>0.862</v>
      </c>
      <c r="JY91" s="754">
        <v>0.804</v>
      </c>
      <c r="JZ91" s="754">
        <v>0.697</v>
      </c>
      <c r="KA91" s="754">
        <v>0.466</v>
      </c>
      <c r="KB91" s="754">
        <v>0.131</v>
      </c>
      <c r="KC91" s="754"/>
      <c r="KD91" s="754"/>
      <c r="KE91" s="754"/>
      <c r="KF91" s="754"/>
      <c r="KG91" s="754"/>
      <c r="KH91" s="754"/>
      <c r="KI91" s="754"/>
      <c r="KJ91" s="754"/>
      <c r="KK91" s="765" t="s">
        <v>281</v>
      </c>
      <c r="KL91" s="738">
        <v>182</v>
      </c>
      <c r="KM91" s="738">
        <v>635</v>
      </c>
      <c r="KN91" s="646" t="s">
        <v>282</v>
      </c>
      <c r="KO91" s="646" t="s">
        <v>861</v>
      </c>
      <c r="KP91" s="680">
        <v>855248</v>
      </c>
      <c r="KQ91" s="766" t="s">
        <v>864</v>
      </c>
      <c r="KR91" s="750" t="s">
        <v>865</v>
      </c>
      <c r="KS91" s="769"/>
      <c r="KT91" s="770"/>
      <c r="KU91" s="766" t="s">
        <v>866</v>
      </c>
      <c r="KV91" s="750">
        <v>855252</v>
      </c>
      <c r="KW91" s="771"/>
      <c r="KX91" s="750"/>
      <c r="KY91" s="769"/>
      <c r="KZ91" s="770"/>
    </row>
    <row r="92" s="628" customFormat="1" customHeight="1" spans="1:312">
      <c r="A92" s="682" t="s">
        <v>300</v>
      </c>
      <c r="B92" s="683">
        <v>88</v>
      </c>
      <c r="C92" s="689" t="s">
        <v>867</v>
      </c>
      <c r="D92" s="680">
        <v>923209</v>
      </c>
      <c r="E92" s="685">
        <v>20.88</v>
      </c>
      <c r="F92" s="685">
        <v>20.71</v>
      </c>
      <c r="G92" s="688">
        <v>0.044198</v>
      </c>
      <c r="H92" s="686">
        <v>0.045071</v>
      </c>
      <c r="I92" s="696">
        <v>1.84761</v>
      </c>
      <c r="J92" s="696">
        <v>1.85605</v>
      </c>
      <c r="K92" s="696">
        <v>1.86617</v>
      </c>
      <c r="L92" s="696">
        <v>1.87734</v>
      </c>
      <c r="M92" s="696">
        <v>1.87974</v>
      </c>
      <c r="N92" s="696">
        <v>1.88181</v>
      </c>
      <c r="O92" s="696">
        <v>1.89061</v>
      </c>
      <c r="P92" s="696">
        <v>1.89723</v>
      </c>
      <c r="Q92" s="697">
        <v>1.90366</v>
      </c>
      <c r="R92" s="697">
        <v>1.91038</v>
      </c>
      <c r="S92" s="697">
        <v>1.91231</v>
      </c>
      <c r="T92" s="701">
        <v>1.91413</v>
      </c>
      <c r="U92" s="697">
        <v>1.92248</v>
      </c>
      <c r="V92" s="697">
        <v>1.92286</v>
      </c>
      <c r="W92" s="697">
        <v>1.93323</v>
      </c>
      <c r="X92" s="697">
        <v>1.95457</v>
      </c>
      <c r="Y92" s="697">
        <v>1.95738</v>
      </c>
      <c r="Z92" s="697">
        <v>1.98274</v>
      </c>
      <c r="AA92" s="697">
        <v>2.00892</v>
      </c>
      <c r="AB92" s="697"/>
      <c r="AC92" s="704">
        <v>3.49733468</v>
      </c>
      <c r="AD92" s="705">
        <v>-0.0175493772</v>
      </c>
      <c r="AE92" s="705">
        <v>0.0599594355</v>
      </c>
      <c r="AF92" s="705">
        <v>0.00390005481</v>
      </c>
      <c r="AG92" s="705">
        <v>-0.000139531497</v>
      </c>
      <c r="AH92" s="705">
        <v>4.41807948e-5</v>
      </c>
      <c r="AI92" s="709">
        <v>0.2824</v>
      </c>
      <c r="AJ92" s="709">
        <v>0.2346</v>
      </c>
      <c r="AK92" s="709">
        <v>0.6374</v>
      </c>
      <c r="AL92" s="709">
        <v>0.2341</v>
      </c>
      <c r="AM92" s="709">
        <v>0.2301</v>
      </c>
      <c r="AN92" s="709">
        <v>0.5627</v>
      </c>
      <c r="AO92" s="709">
        <v>0.0042</v>
      </c>
      <c r="AP92" s="709">
        <v>0.0284</v>
      </c>
      <c r="AQ92" s="709">
        <v>0.0051</v>
      </c>
      <c r="AR92" s="709">
        <v>-0.0032</v>
      </c>
      <c r="AS92" s="714">
        <v>-0.4</v>
      </c>
      <c r="AT92" s="714">
        <v>0.1</v>
      </c>
      <c r="AU92" s="714">
        <v>0.4</v>
      </c>
      <c r="AV92" s="714">
        <v>0.5</v>
      </c>
      <c r="AW92" s="714">
        <v>0.5</v>
      </c>
      <c r="AX92" s="714">
        <v>0.6</v>
      </c>
      <c r="AY92" s="714">
        <v>0.8</v>
      </c>
      <c r="AZ92" s="714">
        <v>1</v>
      </c>
      <c r="BA92" s="714">
        <v>1.3</v>
      </c>
      <c r="BB92" s="714">
        <v>1.5</v>
      </c>
      <c r="BC92" s="714">
        <v>1.7</v>
      </c>
      <c r="BD92" s="714">
        <v>0.1</v>
      </c>
      <c r="BE92" s="714">
        <v>0.5</v>
      </c>
      <c r="BF92" s="714">
        <v>0.7</v>
      </c>
      <c r="BG92" s="714">
        <v>1</v>
      </c>
      <c r="BH92" s="714">
        <v>1.2</v>
      </c>
      <c r="BI92" s="714">
        <v>1.3</v>
      </c>
      <c r="BJ92" s="714">
        <v>1.5</v>
      </c>
      <c r="BK92" s="714">
        <v>1.7</v>
      </c>
      <c r="BL92" s="714">
        <v>1.9</v>
      </c>
      <c r="BM92" s="714">
        <v>2</v>
      </c>
      <c r="BN92" s="714">
        <v>2.1</v>
      </c>
      <c r="BO92" s="714">
        <v>0.7</v>
      </c>
      <c r="BP92" s="714">
        <v>1</v>
      </c>
      <c r="BQ92" s="714">
        <v>1</v>
      </c>
      <c r="BR92" s="714">
        <v>1.2</v>
      </c>
      <c r="BS92" s="714">
        <v>1.5</v>
      </c>
      <c r="BT92" s="714">
        <v>1.6</v>
      </c>
      <c r="BU92" s="714">
        <v>1.9</v>
      </c>
      <c r="BV92" s="714">
        <v>2.2</v>
      </c>
      <c r="BW92" s="714">
        <v>2.3</v>
      </c>
      <c r="BX92" s="714">
        <v>2.4</v>
      </c>
      <c r="BY92" s="714">
        <v>2.6</v>
      </c>
      <c r="BZ92" s="714">
        <v>0.7</v>
      </c>
      <c r="CA92" s="714">
        <v>1.1</v>
      </c>
      <c r="CB92" s="714">
        <v>1.2</v>
      </c>
      <c r="CC92" s="714">
        <v>1.3</v>
      </c>
      <c r="CD92" s="714">
        <v>1.6</v>
      </c>
      <c r="CE92" s="714">
        <v>1.7</v>
      </c>
      <c r="CF92" s="714">
        <v>2</v>
      </c>
      <c r="CG92" s="714">
        <v>2.3</v>
      </c>
      <c r="CH92" s="714">
        <v>2.3</v>
      </c>
      <c r="CI92" s="714">
        <v>2.5</v>
      </c>
      <c r="CJ92" s="714">
        <v>2.8</v>
      </c>
      <c r="CK92" s="714">
        <v>0.8</v>
      </c>
      <c r="CL92" s="715">
        <v>1.2</v>
      </c>
      <c r="CM92" s="715">
        <v>1.3</v>
      </c>
      <c r="CN92" s="715">
        <v>1.5</v>
      </c>
      <c r="CO92" s="715">
        <v>1.7</v>
      </c>
      <c r="CP92" s="715">
        <v>1.8</v>
      </c>
      <c r="CQ92" s="715">
        <v>2.2</v>
      </c>
      <c r="CR92" s="714">
        <v>2.5</v>
      </c>
      <c r="CS92" s="714">
        <v>2.5</v>
      </c>
      <c r="CT92" s="714">
        <v>2.6</v>
      </c>
      <c r="CU92" s="714">
        <v>2.9</v>
      </c>
      <c r="CV92" s="714">
        <v>1</v>
      </c>
      <c r="CW92" s="715">
        <v>1.5</v>
      </c>
      <c r="CX92" s="715">
        <v>1.7</v>
      </c>
      <c r="CY92" s="715">
        <v>1.8</v>
      </c>
      <c r="CZ92" s="715">
        <v>1.9</v>
      </c>
      <c r="DA92" s="715">
        <v>2.2</v>
      </c>
      <c r="DB92" s="715">
        <v>2.6</v>
      </c>
      <c r="DC92" s="714">
        <v>3</v>
      </c>
      <c r="DD92" s="714">
        <v>3.2</v>
      </c>
      <c r="DE92" s="714">
        <v>3.4</v>
      </c>
      <c r="DF92" s="714">
        <v>3.7</v>
      </c>
      <c r="DG92" s="714">
        <v>1.6</v>
      </c>
      <c r="DH92" s="715">
        <v>2.2</v>
      </c>
      <c r="DI92" s="715">
        <v>2.6</v>
      </c>
      <c r="DJ92" s="715">
        <v>2.8</v>
      </c>
      <c r="DK92" s="715">
        <v>3.1</v>
      </c>
      <c r="DL92" s="715">
        <v>3.4</v>
      </c>
      <c r="DM92" s="715">
        <v>3.7</v>
      </c>
      <c r="DN92" s="714">
        <v>4</v>
      </c>
      <c r="DO92" s="714">
        <v>4.3</v>
      </c>
      <c r="DP92" s="714">
        <v>4.5</v>
      </c>
      <c r="DQ92" s="714">
        <v>4.7</v>
      </c>
      <c r="DR92" s="714">
        <v>3.3</v>
      </c>
      <c r="DS92" s="715">
        <v>3.9</v>
      </c>
      <c r="DT92" s="715">
        <v>4.4</v>
      </c>
      <c r="DU92" s="715">
        <v>4.8</v>
      </c>
      <c r="DV92" s="715">
        <v>5.2</v>
      </c>
      <c r="DW92" s="715">
        <v>5.7</v>
      </c>
      <c r="DX92" s="715">
        <v>6.2</v>
      </c>
      <c r="DY92" s="714">
        <v>6.5</v>
      </c>
      <c r="DZ92" s="714">
        <v>6.7</v>
      </c>
      <c r="EA92" s="714">
        <v>6.9</v>
      </c>
      <c r="EB92" s="714">
        <v>7.1</v>
      </c>
      <c r="EC92" s="714">
        <v>3.5</v>
      </c>
      <c r="ED92" s="715">
        <v>4.1</v>
      </c>
      <c r="EE92" s="715">
        <v>4.6</v>
      </c>
      <c r="EF92" s="715">
        <v>4.9</v>
      </c>
      <c r="EG92" s="715">
        <v>5.3</v>
      </c>
      <c r="EH92" s="715">
        <v>5.9</v>
      </c>
      <c r="EI92" s="715">
        <v>6.3</v>
      </c>
      <c r="EJ92" s="714">
        <v>6.7</v>
      </c>
      <c r="EK92" s="714">
        <v>6.9</v>
      </c>
      <c r="EL92" s="714">
        <v>7.1</v>
      </c>
      <c r="EM92" s="714">
        <v>7.2</v>
      </c>
      <c r="EN92" s="714">
        <v>6.2</v>
      </c>
      <c r="EO92" s="715">
        <v>6.7</v>
      </c>
      <c r="EP92" s="715">
        <v>7.1</v>
      </c>
      <c r="EQ92" s="715">
        <v>7.6</v>
      </c>
      <c r="ER92" s="715">
        <v>8.2</v>
      </c>
      <c r="ES92" s="715">
        <v>8.8</v>
      </c>
      <c r="ET92" s="715">
        <v>9.3</v>
      </c>
      <c r="EU92" s="714">
        <v>9.7</v>
      </c>
      <c r="EV92" s="714">
        <v>10.1</v>
      </c>
      <c r="EW92" s="714">
        <v>10.5</v>
      </c>
      <c r="EX92" s="714">
        <v>10.9</v>
      </c>
      <c r="EY92" s="714">
        <v>-2.3</v>
      </c>
      <c r="EZ92" s="715">
        <v>-1.4</v>
      </c>
      <c r="FA92" s="715">
        <v>-0.9</v>
      </c>
      <c r="FB92" s="715">
        <v>-0.4</v>
      </c>
      <c r="FC92" s="715">
        <v>0</v>
      </c>
      <c r="FD92" s="715">
        <v>0.3</v>
      </c>
      <c r="FE92" s="715">
        <v>0.9</v>
      </c>
      <c r="FF92" s="714">
        <v>1.3</v>
      </c>
      <c r="FG92" s="714">
        <v>1.5</v>
      </c>
      <c r="FH92" s="714">
        <v>1.7</v>
      </c>
      <c r="FI92" s="714">
        <v>2</v>
      </c>
      <c r="FJ92" s="723">
        <v>-2.92e-6</v>
      </c>
      <c r="FK92" s="723">
        <v>1.58e-8</v>
      </c>
      <c r="FL92" s="723">
        <v>-3.18e-11</v>
      </c>
      <c r="FM92" s="723">
        <v>8.11e-7</v>
      </c>
      <c r="FN92" s="723">
        <v>8.16e-10</v>
      </c>
      <c r="FO92" s="723">
        <v>0.344</v>
      </c>
      <c r="FP92" s="729">
        <v>1</v>
      </c>
      <c r="FQ92" s="729">
        <v>1</v>
      </c>
      <c r="FR92" s="729">
        <v>1</v>
      </c>
      <c r="FS92" s="729">
        <v>1</v>
      </c>
      <c r="FT92" s="729">
        <v>1</v>
      </c>
      <c r="FU92" s="729">
        <v>1</v>
      </c>
      <c r="FV92" s="681">
        <v>1</v>
      </c>
      <c r="FW92" s="729"/>
      <c r="FX92" s="729"/>
      <c r="FY92" s="729"/>
      <c r="FZ92" s="746">
        <v>690</v>
      </c>
      <c r="GA92" s="746">
        <v>725</v>
      </c>
      <c r="GB92" s="681">
        <v>625</v>
      </c>
      <c r="GC92" s="681">
        <v>664</v>
      </c>
      <c r="GD92" s="747">
        <v>0.99</v>
      </c>
      <c r="GE92" s="729"/>
      <c r="GF92" s="681">
        <v>61</v>
      </c>
      <c r="GG92" s="681">
        <v>74</v>
      </c>
      <c r="GH92" s="681">
        <v>54</v>
      </c>
      <c r="GI92" s="681">
        <v>56</v>
      </c>
      <c r="GJ92" s="681">
        <v>58</v>
      </c>
      <c r="GK92" s="681">
        <v>60</v>
      </c>
      <c r="GL92" s="681">
        <v>61</v>
      </c>
      <c r="GM92" s="681">
        <v>62</v>
      </c>
      <c r="GN92" s="681">
        <v>62</v>
      </c>
      <c r="GO92" s="681">
        <v>63</v>
      </c>
      <c r="GP92" s="681">
        <v>63</v>
      </c>
      <c r="GQ92" s="681">
        <v>64</v>
      </c>
      <c r="GR92" s="681">
        <v>64</v>
      </c>
      <c r="GS92" s="681">
        <v>65</v>
      </c>
      <c r="GT92" s="681">
        <v>65</v>
      </c>
      <c r="GU92" s="681">
        <v>65</v>
      </c>
      <c r="GV92" s="681">
        <v>67</v>
      </c>
      <c r="GW92" s="681">
        <v>67</v>
      </c>
      <c r="GX92" s="681">
        <v>68</v>
      </c>
      <c r="GY92" s="681">
        <v>70</v>
      </c>
      <c r="GZ92" s="681">
        <v>70</v>
      </c>
      <c r="HA92" s="681">
        <v>72</v>
      </c>
      <c r="HB92" s="681">
        <v>72</v>
      </c>
      <c r="HC92" s="681"/>
      <c r="HD92" s="750">
        <v>290</v>
      </c>
      <c r="HE92" s="681"/>
      <c r="HF92" s="681">
        <v>485</v>
      </c>
      <c r="HG92" s="681">
        <v>228</v>
      </c>
      <c r="HH92" s="714">
        <v>98</v>
      </c>
      <c r="HI92" s="714">
        <v>39</v>
      </c>
      <c r="HJ92" s="753">
        <v>0.257</v>
      </c>
      <c r="HK92" s="681">
        <v>71</v>
      </c>
      <c r="HL92" s="685">
        <v>2.85</v>
      </c>
      <c r="HM92" s="747">
        <v>3.93</v>
      </c>
      <c r="HN92" s="729" t="s">
        <v>868</v>
      </c>
      <c r="HO92" s="729" t="s">
        <v>869</v>
      </c>
      <c r="HP92" s="714">
        <v>-0.4</v>
      </c>
      <c r="HQ92" s="753">
        <v>0.957</v>
      </c>
      <c r="HR92" s="753">
        <v>0.978</v>
      </c>
      <c r="HS92" s="753">
        <v>0.999</v>
      </c>
      <c r="HT92" s="753">
        <v>0.999</v>
      </c>
      <c r="HU92" s="753">
        <v>0.999</v>
      </c>
      <c r="HV92" s="753">
        <v>0.999</v>
      </c>
      <c r="HW92" s="753">
        <v>0.999</v>
      </c>
      <c r="HX92" s="753">
        <v>0.999</v>
      </c>
      <c r="HY92" s="753">
        <v>0.999</v>
      </c>
      <c r="HZ92" s="753">
        <v>0.999</v>
      </c>
      <c r="IA92" s="753">
        <v>0.999</v>
      </c>
      <c r="IB92" s="753">
        <v>0.999</v>
      </c>
      <c r="IC92" s="753">
        <v>0.999</v>
      </c>
      <c r="ID92" s="753">
        <v>0.999</v>
      </c>
      <c r="IE92" s="753">
        <v>0.999</v>
      </c>
      <c r="IF92" s="753">
        <v>0.998</v>
      </c>
      <c r="IG92" s="753">
        <v>0.997</v>
      </c>
      <c r="IH92" s="753">
        <v>0.993</v>
      </c>
      <c r="II92" s="753">
        <v>0.983</v>
      </c>
      <c r="IJ92" s="753">
        <v>0.976</v>
      </c>
      <c r="IK92" s="753">
        <v>0.966</v>
      </c>
      <c r="IL92" s="753">
        <v>0.95</v>
      </c>
      <c r="IM92" s="753">
        <v>0.917</v>
      </c>
      <c r="IN92" s="753">
        <v>0.791</v>
      </c>
      <c r="IO92" s="753">
        <v>0.586</v>
      </c>
      <c r="IP92" s="753">
        <v>0.21</v>
      </c>
      <c r="IQ92" s="753"/>
      <c r="IR92" s="753"/>
      <c r="IS92" s="753"/>
      <c r="IT92" s="753"/>
      <c r="IU92" s="753"/>
      <c r="IV92" s="753"/>
      <c r="IW92" s="753"/>
      <c r="IX92" s="753"/>
      <c r="IY92" s="753"/>
      <c r="IZ92" s="753"/>
      <c r="JA92" s="754">
        <v>0.916</v>
      </c>
      <c r="JB92" s="754">
        <v>0.956</v>
      </c>
      <c r="JC92" s="754">
        <v>0.998</v>
      </c>
      <c r="JD92" s="754">
        <v>0.998</v>
      </c>
      <c r="JE92" s="754">
        <v>0.998</v>
      </c>
      <c r="JF92" s="754">
        <v>0.998</v>
      </c>
      <c r="JG92" s="754">
        <v>0.998</v>
      </c>
      <c r="JH92" s="754">
        <v>0.998</v>
      </c>
      <c r="JI92" s="754">
        <v>0.998</v>
      </c>
      <c r="JJ92" s="754">
        <v>0.998</v>
      </c>
      <c r="JK92" s="754">
        <v>0.998</v>
      </c>
      <c r="JL92" s="754">
        <v>0.998</v>
      </c>
      <c r="JM92" s="754">
        <v>0.998</v>
      </c>
      <c r="JN92" s="754">
        <v>0.998</v>
      </c>
      <c r="JO92" s="754">
        <v>0.998</v>
      </c>
      <c r="JP92" s="754">
        <v>0.997</v>
      </c>
      <c r="JQ92" s="754">
        <v>0.995</v>
      </c>
      <c r="JR92" s="754">
        <v>0.986</v>
      </c>
      <c r="JS92" s="754">
        <v>0.965</v>
      </c>
      <c r="JT92" s="754">
        <v>0.952</v>
      </c>
      <c r="JU92" s="754">
        <v>0.934</v>
      </c>
      <c r="JV92" s="754">
        <v>0.902</v>
      </c>
      <c r="JW92" s="754">
        <v>0.84</v>
      </c>
      <c r="JX92" s="754">
        <v>0.625</v>
      </c>
      <c r="JY92" s="754">
        <v>0.343</v>
      </c>
      <c r="JZ92" s="754">
        <v>0.044</v>
      </c>
      <c r="KA92" s="754"/>
      <c r="KB92" s="754"/>
      <c r="KC92" s="754"/>
      <c r="KD92" s="754"/>
      <c r="KE92" s="754"/>
      <c r="KF92" s="754"/>
      <c r="KG92" s="754"/>
      <c r="KH92" s="754"/>
      <c r="KI92" s="754"/>
      <c r="KJ92" s="754"/>
      <c r="KK92" s="765" t="s">
        <v>281</v>
      </c>
      <c r="KL92" s="738">
        <v>152</v>
      </c>
      <c r="KM92" s="738">
        <v>597</v>
      </c>
      <c r="KN92" s="646" t="s">
        <v>282</v>
      </c>
      <c r="KO92" s="646" t="s">
        <v>867</v>
      </c>
      <c r="KP92" s="680">
        <v>923209</v>
      </c>
      <c r="KQ92" s="766"/>
      <c r="KR92" s="750"/>
      <c r="KS92" s="769" t="s">
        <v>867</v>
      </c>
      <c r="KT92" s="770" t="s">
        <v>870</v>
      </c>
      <c r="KU92" s="766" t="s">
        <v>871</v>
      </c>
      <c r="KV92" s="750">
        <v>923209</v>
      </c>
      <c r="KW92" s="771"/>
      <c r="KX92" s="750"/>
      <c r="KY92" s="769" t="s">
        <v>872</v>
      </c>
      <c r="KZ92" s="770" t="s">
        <v>870</v>
      </c>
    </row>
    <row r="93" s="628" customFormat="1" customHeight="1" spans="1:312">
      <c r="A93" s="682" t="s">
        <v>277</v>
      </c>
      <c r="B93" s="683">
        <v>89</v>
      </c>
      <c r="C93" s="689" t="s">
        <v>873</v>
      </c>
      <c r="D93" s="680">
        <v>923209</v>
      </c>
      <c r="E93" s="685">
        <v>20.88</v>
      </c>
      <c r="F93" s="685">
        <v>20.71</v>
      </c>
      <c r="G93" s="688">
        <v>0.044198</v>
      </c>
      <c r="H93" s="686">
        <v>0.045071</v>
      </c>
      <c r="I93" s="696">
        <v>1.84761</v>
      </c>
      <c r="J93" s="696">
        <v>1.85605</v>
      </c>
      <c r="K93" s="696">
        <v>1.86617</v>
      </c>
      <c r="L93" s="696">
        <v>1.87734</v>
      </c>
      <c r="M93" s="696">
        <v>1.87974</v>
      </c>
      <c r="N93" s="696">
        <v>1.88181</v>
      </c>
      <c r="O93" s="696">
        <v>1.89061</v>
      </c>
      <c r="P93" s="696">
        <v>1.89723</v>
      </c>
      <c r="Q93" s="697">
        <v>1.90366</v>
      </c>
      <c r="R93" s="697">
        <v>1.91038</v>
      </c>
      <c r="S93" s="697">
        <v>1.91231</v>
      </c>
      <c r="T93" s="701">
        <v>1.91413</v>
      </c>
      <c r="U93" s="697">
        <v>1.92248</v>
      </c>
      <c r="V93" s="697">
        <v>1.92286</v>
      </c>
      <c r="W93" s="697">
        <v>1.93323</v>
      </c>
      <c r="X93" s="697">
        <v>1.95457</v>
      </c>
      <c r="Y93" s="697">
        <v>1.95738</v>
      </c>
      <c r="Z93" s="697">
        <v>1.98274</v>
      </c>
      <c r="AA93" s="697">
        <v>2.00892</v>
      </c>
      <c r="AB93" s="697"/>
      <c r="AC93" s="704">
        <v>3.49733468</v>
      </c>
      <c r="AD93" s="705">
        <v>-0.0175493772</v>
      </c>
      <c r="AE93" s="705">
        <v>0.0599594355</v>
      </c>
      <c r="AF93" s="705">
        <v>0.00390005481</v>
      </c>
      <c r="AG93" s="705">
        <v>-0.000139531497</v>
      </c>
      <c r="AH93" s="705">
        <v>4.41807948e-5</v>
      </c>
      <c r="AI93" s="709">
        <v>0.2824</v>
      </c>
      <c r="AJ93" s="709">
        <v>0.2346</v>
      </c>
      <c r="AK93" s="709">
        <v>0.6374</v>
      </c>
      <c r="AL93" s="709">
        <v>0.2341</v>
      </c>
      <c r="AM93" s="709">
        <v>0.2301</v>
      </c>
      <c r="AN93" s="709">
        <v>0.5627</v>
      </c>
      <c r="AO93" s="709">
        <v>0.0042</v>
      </c>
      <c r="AP93" s="709">
        <v>0.0284</v>
      </c>
      <c r="AQ93" s="709">
        <v>0.0051</v>
      </c>
      <c r="AR93" s="709">
        <v>-0.0032</v>
      </c>
      <c r="AS93" s="714">
        <v>-0.4</v>
      </c>
      <c r="AT93" s="714">
        <v>0.1</v>
      </c>
      <c r="AU93" s="714">
        <v>0.4</v>
      </c>
      <c r="AV93" s="714">
        <v>0.5</v>
      </c>
      <c r="AW93" s="714">
        <v>0.5</v>
      </c>
      <c r="AX93" s="714">
        <v>0.6</v>
      </c>
      <c r="AY93" s="714">
        <v>0.8</v>
      </c>
      <c r="AZ93" s="714">
        <v>1</v>
      </c>
      <c r="BA93" s="714">
        <v>1.3</v>
      </c>
      <c r="BB93" s="714">
        <v>1.5</v>
      </c>
      <c r="BC93" s="714">
        <v>1.7</v>
      </c>
      <c r="BD93" s="714">
        <v>0.1</v>
      </c>
      <c r="BE93" s="714">
        <v>0.5</v>
      </c>
      <c r="BF93" s="714">
        <v>0.7</v>
      </c>
      <c r="BG93" s="714">
        <v>1</v>
      </c>
      <c r="BH93" s="714">
        <v>1.2</v>
      </c>
      <c r="BI93" s="714">
        <v>1.3</v>
      </c>
      <c r="BJ93" s="714">
        <v>1.5</v>
      </c>
      <c r="BK93" s="714">
        <v>1.7</v>
      </c>
      <c r="BL93" s="714">
        <v>1.9</v>
      </c>
      <c r="BM93" s="714">
        <v>2</v>
      </c>
      <c r="BN93" s="714">
        <v>2.1</v>
      </c>
      <c r="BO93" s="714">
        <v>0.7</v>
      </c>
      <c r="BP93" s="714">
        <v>1</v>
      </c>
      <c r="BQ93" s="714">
        <v>1</v>
      </c>
      <c r="BR93" s="714">
        <v>1.2</v>
      </c>
      <c r="BS93" s="714">
        <v>1.5</v>
      </c>
      <c r="BT93" s="714">
        <v>1.6</v>
      </c>
      <c r="BU93" s="714">
        <v>1.9</v>
      </c>
      <c r="BV93" s="714">
        <v>2.2</v>
      </c>
      <c r="BW93" s="714">
        <v>2.3</v>
      </c>
      <c r="BX93" s="714">
        <v>2.4</v>
      </c>
      <c r="BY93" s="714">
        <v>2.6</v>
      </c>
      <c r="BZ93" s="714">
        <v>0.7</v>
      </c>
      <c r="CA93" s="714">
        <v>1.1</v>
      </c>
      <c r="CB93" s="714">
        <v>1.2</v>
      </c>
      <c r="CC93" s="714">
        <v>1.3</v>
      </c>
      <c r="CD93" s="714">
        <v>1.6</v>
      </c>
      <c r="CE93" s="714">
        <v>1.7</v>
      </c>
      <c r="CF93" s="714">
        <v>2</v>
      </c>
      <c r="CG93" s="714">
        <v>2.3</v>
      </c>
      <c r="CH93" s="714">
        <v>2.3</v>
      </c>
      <c r="CI93" s="714">
        <v>2.5</v>
      </c>
      <c r="CJ93" s="714">
        <v>2.8</v>
      </c>
      <c r="CK93" s="714">
        <v>0.8</v>
      </c>
      <c r="CL93" s="715">
        <v>1.2</v>
      </c>
      <c r="CM93" s="715">
        <v>1.3</v>
      </c>
      <c r="CN93" s="715">
        <v>1.5</v>
      </c>
      <c r="CO93" s="715">
        <v>1.7</v>
      </c>
      <c r="CP93" s="715">
        <v>1.8</v>
      </c>
      <c r="CQ93" s="715">
        <v>2.2</v>
      </c>
      <c r="CR93" s="714">
        <v>2.5</v>
      </c>
      <c r="CS93" s="714">
        <v>2.5</v>
      </c>
      <c r="CT93" s="714">
        <v>2.6</v>
      </c>
      <c r="CU93" s="714">
        <v>2.9</v>
      </c>
      <c r="CV93" s="714">
        <v>1</v>
      </c>
      <c r="CW93" s="715">
        <v>1.5</v>
      </c>
      <c r="CX93" s="715">
        <v>1.7</v>
      </c>
      <c r="CY93" s="715">
        <v>1.8</v>
      </c>
      <c r="CZ93" s="715">
        <v>1.9</v>
      </c>
      <c r="DA93" s="715">
        <v>2.2</v>
      </c>
      <c r="DB93" s="715">
        <v>2.6</v>
      </c>
      <c r="DC93" s="714">
        <v>3</v>
      </c>
      <c r="DD93" s="714">
        <v>3.2</v>
      </c>
      <c r="DE93" s="714">
        <v>3.4</v>
      </c>
      <c r="DF93" s="714">
        <v>3.7</v>
      </c>
      <c r="DG93" s="714">
        <v>1.6</v>
      </c>
      <c r="DH93" s="715">
        <v>2.2</v>
      </c>
      <c r="DI93" s="715">
        <v>2.6</v>
      </c>
      <c r="DJ93" s="715">
        <v>2.8</v>
      </c>
      <c r="DK93" s="715">
        <v>3.1</v>
      </c>
      <c r="DL93" s="715">
        <v>3.4</v>
      </c>
      <c r="DM93" s="715">
        <v>3.7</v>
      </c>
      <c r="DN93" s="714">
        <v>4</v>
      </c>
      <c r="DO93" s="714">
        <v>4.3</v>
      </c>
      <c r="DP93" s="714">
        <v>4.5</v>
      </c>
      <c r="DQ93" s="714">
        <v>4.7</v>
      </c>
      <c r="DR93" s="714">
        <v>3.3</v>
      </c>
      <c r="DS93" s="715">
        <v>3.9</v>
      </c>
      <c r="DT93" s="715">
        <v>4.4</v>
      </c>
      <c r="DU93" s="715">
        <v>4.8</v>
      </c>
      <c r="DV93" s="715">
        <v>5.2</v>
      </c>
      <c r="DW93" s="715">
        <v>5.7</v>
      </c>
      <c r="DX93" s="715">
        <v>6.2</v>
      </c>
      <c r="DY93" s="714">
        <v>6.5</v>
      </c>
      <c r="DZ93" s="714">
        <v>6.7</v>
      </c>
      <c r="EA93" s="714">
        <v>6.9</v>
      </c>
      <c r="EB93" s="714">
        <v>7.1</v>
      </c>
      <c r="EC93" s="714">
        <v>3.5</v>
      </c>
      <c r="ED93" s="715">
        <v>4.1</v>
      </c>
      <c r="EE93" s="715">
        <v>4.6</v>
      </c>
      <c r="EF93" s="715">
        <v>4.9</v>
      </c>
      <c r="EG93" s="715">
        <v>5.3</v>
      </c>
      <c r="EH93" s="715">
        <v>5.9</v>
      </c>
      <c r="EI93" s="715">
        <v>6.3</v>
      </c>
      <c r="EJ93" s="714">
        <v>6.7</v>
      </c>
      <c r="EK93" s="714">
        <v>6.9</v>
      </c>
      <c r="EL93" s="714">
        <v>7.1</v>
      </c>
      <c r="EM93" s="714">
        <v>7.2</v>
      </c>
      <c r="EN93" s="714">
        <v>6.2</v>
      </c>
      <c r="EO93" s="715">
        <v>6.7</v>
      </c>
      <c r="EP93" s="715">
        <v>7.1</v>
      </c>
      <c r="EQ93" s="715">
        <v>7.6</v>
      </c>
      <c r="ER93" s="715">
        <v>8.2</v>
      </c>
      <c r="ES93" s="715">
        <v>8.8</v>
      </c>
      <c r="ET93" s="715">
        <v>9.3</v>
      </c>
      <c r="EU93" s="714">
        <v>9.7</v>
      </c>
      <c r="EV93" s="714">
        <v>10.1</v>
      </c>
      <c r="EW93" s="714">
        <v>10.5</v>
      </c>
      <c r="EX93" s="714">
        <v>10.9</v>
      </c>
      <c r="EY93" s="714">
        <v>-2.3</v>
      </c>
      <c r="EZ93" s="715">
        <v>-1.4</v>
      </c>
      <c r="FA93" s="715">
        <v>-0.9</v>
      </c>
      <c r="FB93" s="715">
        <v>-0.4</v>
      </c>
      <c r="FC93" s="715">
        <v>0</v>
      </c>
      <c r="FD93" s="715">
        <v>0.3</v>
      </c>
      <c r="FE93" s="715">
        <v>0.9</v>
      </c>
      <c r="FF93" s="714">
        <v>1.3</v>
      </c>
      <c r="FG93" s="714">
        <v>1.5</v>
      </c>
      <c r="FH93" s="714">
        <v>1.7</v>
      </c>
      <c r="FI93" s="714">
        <v>2</v>
      </c>
      <c r="FJ93" s="723">
        <v>-2.92e-6</v>
      </c>
      <c r="FK93" s="723">
        <v>1.58e-8</v>
      </c>
      <c r="FL93" s="723">
        <v>-3.18e-11</v>
      </c>
      <c r="FM93" s="723">
        <v>8.11e-7</v>
      </c>
      <c r="FN93" s="723">
        <v>8.16e-10</v>
      </c>
      <c r="FO93" s="723">
        <v>0.344</v>
      </c>
      <c r="FP93" s="729">
        <v>1</v>
      </c>
      <c r="FQ93" s="729">
        <v>1</v>
      </c>
      <c r="FR93" s="729">
        <v>1</v>
      </c>
      <c r="FS93" s="729">
        <v>1</v>
      </c>
      <c r="FT93" s="729">
        <v>1</v>
      </c>
      <c r="FU93" s="729">
        <v>1</v>
      </c>
      <c r="FV93" s="681">
        <v>1</v>
      </c>
      <c r="FW93" s="729"/>
      <c r="FX93" s="729"/>
      <c r="FY93" s="729"/>
      <c r="FZ93" s="746">
        <v>690</v>
      </c>
      <c r="GA93" s="746">
        <v>725</v>
      </c>
      <c r="GB93" s="681">
        <v>625</v>
      </c>
      <c r="GC93" s="681">
        <v>664</v>
      </c>
      <c r="GD93" s="747">
        <v>0.99</v>
      </c>
      <c r="GE93" s="729"/>
      <c r="GF93" s="681">
        <v>61</v>
      </c>
      <c r="GG93" s="681">
        <v>74</v>
      </c>
      <c r="GH93" s="681">
        <v>54</v>
      </c>
      <c r="GI93" s="681">
        <v>56</v>
      </c>
      <c r="GJ93" s="681">
        <v>58</v>
      </c>
      <c r="GK93" s="681">
        <v>60</v>
      </c>
      <c r="GL93" s="681">
        <v>61</v>
      </c>
      <c r="GM93" s="681">
        <v>62</v>
      </c>
      <c r="GN93" s="681">
        <v>62</v>
      </c>
      <c r="GO93" s="681">
        <v>63</v>
      </c>
      <c r="GP93" s="681">
        <v>63</v>
      </c>
      <c r="GQ93" s="681">
        <v>64</v>
      </c>
      <c r="GR93" s="681">
        <v>64</v>
      </c>
      <c r="GS93" s="681">
        <v>65</v>
      </c>
      <c r="GT93" s="681">
        <v>65</v>
      </c>
      <c r="GU93" s="681">
        <v>65</v>
      </c>
      <c r="GV93" s="681">
        <v>67</v>
      </c>
      <c r="GW93" s="681">
        <v>67</v>
      </c>
      <c r="GX93" s="681">
        <v>68</v>
      </c>
      <c r="GY93" s="681">
        <v>70</v>
      </c>
      <c r="GZ93" s="681">
        <v>70</v>
      </c>
      <c r="HA93" s="681">
        <v>72</v>
      </c>
      <c r="HB93" s="681">
        <v>72</v>
      </c>
      <c r="HC93" s="681"/>
      <c r="HD93" s="750">
        <v>290</v>
      </c>
      <c r="HE93" s="681"/>
      <c r="HF93" s="681">
        <v>485</v>
      </c>
      <c r="HG93" s="681">
        <v>228</v>
      </c>
      <c r="HH93" s="714">
        <v>98</v>
      </c>
      <c r="HI93" s="714">
        <v>39</v>
      </c>
      <c r="HJ93" s="753">
        <v>0.257</v>
      </c>
      <c r="HK93" s="681">
        <v>71</v>
      </c>
      <c r="HL93" s="685">
        <v>2.85</v>
      </c>
      <c r="HM93" s="747">
        <v>3.93</v>
      </c>
      <c r="HN93" s="729" t="s">
        <v>874</v>
      </c>
      <c r="HO93" s="729" t="s">
        <v>875</v>
      </c>
      <c r="HP93" s="714">
        <v>-0.4</v>
      </c>
      <c r="HQ93" s="753">
        <v>0.961</v>
      </c>
      <c r="HR93" s="753">
        <v>0.984</v>
      </c>
      <c r="HS93" s="753">
        <v>0.999</v>
      </c>
      <c r="HT93" s="753">
        <v>0.999</v>
      </c>
      <c r="HU93" s="753">
        <v>0.999</v>
      </c>
      <c r="HV93" s="753">
        <v>0.999</v>
      </c>
      <c r="HW93" s="753">
        <v>0.999</v>
      </c>
      <c r="HX93" s="753">
        <v>0.999</v>
      </c>
      <c r="HY93" s="753">
        <v>0.999</v>
      </c>
      <c r="HZ93" s="753">
        <v>0.999</v>
      </c>
      <c r="IA93" s="753">
        <v>0.999</v>
      </c>
      <c r="IB93" s="753">
        <v>0.999</v>
      </c>
      <c r="IC93" s="753">
        <v>0.999</v>
      </c>
      <c r="ID93" s="753">
        <v>0.999</v>
      </c>
      <c r="IE93" s="753">
        <v>0.999</v>
      </c>
      <c r="IF93" s="753">
        <v>0.998</v>
      </c>
      <c r="IG93" s="753">
        <v>0.997</v>
      </c>
      <c r="IH93" s="753">
        <v>0.997</v>
      </c>
      <c r="II93" s="753">
        <v>0.991</v>
      </c>
      <c r="IJ93" s="753">
        <v>0.988</v>
      </c>
      <c r="IK93" s="753">
        <v>0.983</v>
      </c>
      <c r="IL93" s="753">
        <v>0.974</v>
      </c>
      <c r="IM93" s="753">
        <v>0.945</v>
      </c>
      <c r="IN93" s="753">
        <v>0.836</v>
      </c>
      <c r="IO93" s="753">
        <v>0.615</v>
      </c>
      <c r="IP93" s="753">
        <v>0.245</v>
      </c>
      <c r="IQ93" s="753"/>
      <c r="IR93" s="753"/>
      <c r="IS93" s="753"/>
      <c r="IT93" s="753"/>
      <c r="IU93" s="753"/>
      <c r="IV93" s="753"/>
      <c r="IW93" s="753"/>
      <c r="IX93" s="753"/>
      <c r="IY93" s="753"/>
      <c r="IZ93" s="753"/>
      <c r="JA93" s="754">
        <v>0.924</v>
      </c>
      <c r="JB93" s="754">
        <v>0.969</v>
      </c>
      <c r="JC93" s="754">
        <v>0.998</v>
      </c>
      <c r="JD93" s="754">
        <v>0.998</v>
      </c>
      <c r="JE93" s="754">
        <v>0.998</v>
      </c>
      <c r="JF93" s="754">
        <v>0.998</v>
      </c>
      <c r="JG93" s="754">
        <v>0.998</v>
      </c>
      <c r="JH93" s="754">
        <v>0.998</v>
      </c>
      <c r="JI93" s="754">
        <v>0.998</v>
      </c>
      <c r="JJ93" s="754">
        <v>0.998</v>
      </c>
      <c r="JK93" s="754">
        <v>0.998</v>
      </c>
      <c r="JL93" s="754">
        <v>0.998</v>
      </c>
      <c r="JM93" s="754">
        <v>0.998</v>
      </c>
      <c r="JN93" s="754">
        <v>0.998</v>
      </c>
      <c r="JO93" s="754">
        <v>0.998</v>
      </c>
      <c r="JP93" s="754">
        <v>0.997</v>
      </c>
      <c r="JQ93" s="754">
        <v>0.995</v>
      </c>
      <c r="JR93" s="754">
        <v>0.994</v>
      </c>
      <c r="JS93" s="754">
        <v>0.983</v>
      </c>
      <c r="JT93" s="754">
        <v>0.975</v>
      </c>
      <c r="JU93" s="754">
        <v>0.965</v>
      </c>
      <c r="JV93" s="754">
        <v>0.949</v>
      </c>
      <c r="JW93" s="754">
        <v>0.894</v>
      </c>
      <c r="JX93" s="754">
        <v>0.7</v>
      </c>
      <c r="JY93" s="754">
        <v>0.378</v>
      </c>
      <c r="JZ93" s="754">
        <v>0.06</v>
      </c>
      <c r="KA93" s="754"/>
      <c r="KB93" s="754"/>
      <c r="KC93" s="754"/>
      <c r="KD93" s="754"/>
      <c r="KE93" s="754"/>
      <c r="KF93" s="754"/>
      <c r="KG93" s="754"/>
      <c r="KH93" s="754"/>
      <c r="KI93" s="754"/>
      <c r="KJ93" s="754"/>
      <c r="KK93" s="765" t="s">
        <v>281</v>
      </c>
      <c r="KL93" s="738">
        <v>165</v>
      </c>
      <c r="KM93" s="738">
        <v>648</v>
      </c>
      <c r="KN93" s="646" t="s">
        <v>282</v>
      </c>
      <c r="KO93" s="646" t="s">
        <v>873</v>
      </c>
      <c r="KP93" s="680">
        <v>923209</v>
      </c>
      <c r="KQ93" s="766"/>
      <c r="KR93" s="750"/>
      <c r="KS93" s="769" t="s">
        <v>873</v>
      </c>
      <c r="KT93" s="770" t="s">
        <v>870</v>
      </c>
      <c r="KU93" s="766" t="s">
        <v>876</v>
      </c>
      <c r="KV93" s="750">
        <v>923209</v>
      </c>
      <c r="KW93" s="771"/>
      <c r="KX93" s="750"/>
      <c r="KY93" s="769"/>
      <c r="KZ93" s="770"/>
    </row>
    <row r="94" s="628" customFormat="1" customHeight="1" spans="1:312">
      <c r="A94" s="682" t="s">
        <v>300</v>
      </c>
      <c r="B94" s="683">
        <v>90</v>
      </c>
      <c r="C94" s="689" t="s">
        <v>877</v>
      </c>
      <c r="D94" s="680">
        <v>923189</v>
      </c>
      <c r="E94" s="685">
        <v>18.9</v>
      </c>
      <c r="F94" s="685">
        <v>18.74</v>
      </c>
      <c r="G94" s="688">
        <v>0.048837</v>
      </c>
      <c r="H94" s="686">
        <v>0.049853</v>
      </c>
      <c r="I94" s="696">
        <v>1.84193</v>
      </c>
      <c r="J94" s="696">
        <v>1.85076</v>
      </c>
      <c r="K94" s="696">
        <v>1.8614</v>
      </c>
      <c r="L94" s="696">
        <v>1.8733</v>
      </c>
      <c r="M94" s="696">
        <v>1.87587</v>
      </c>
      <c r="N94" s="696">
        <v>1.87811</v>
      </c>
      <c r="O94" s="696">
        <v>1.88761</v>
      </c>
      <c r="P94" s="696">
        <v>1.89481</v>
      </c>
      <c r="Q94" s="697">
        <v>1.90181</v>
      </c>
      <c r="R94" s="697">
        <v>1.90916</v>
      </c>
      <c r="S94" s="697">
        <v>1.91127</v>
      </c>
      <c r="T94" s="701">
        <v>1.91327</v>
      </c>
      <c r="U94" s="697">
        <v>1.92245</v>
      </c>
      <c r="V94" s="697">
        <v>1.92286</v>
      </c>
      <c r="W94" s="697">
        <v>1.93429</v>
      </c>
      <c r="X94" s="697">
        <v>1.958</v>
      </c>
      <c r="Y94" s="697">
        <v>1.96112</v>
      </c>
      <c r="Z94" s="697">
        <v>1.98974</v>
      </c>
      <c r="AA94" s="697">
        <v>2.0197</v>
      </c>
      <c r="AB94" s="697"/>
      <c r="AC94" s="704">
        <v>3.47907547</v>
      </c>
      <c r="AD94" s="705">
        <v>-0.0182056514</v>
      </c>
      <c r="AE94" s="705">
        <v>0.0644069814</v>
      </c>
      <c r="AF94" s="705">
        <v>0.00467488595</v>
      </c>
      <c r="AG94" s="705">
        <v>-0.000234014347</v>
      </c>
      <c r="AH94" s="705">
        <v>6.37833754e-5</v>
      </c>
      <c r="AI94" s="709">
        <v>0.2805</v>
      </c>
      <c r="AJ94" s="709">
        <v>0.234</v>
      </c>
      <c r="AK94" s="709">
        <v>0.6499</v>
      </c>
      <c r="AL94" s="709">
        <v>0.2325</v>
      </c>
      <c r="AM94" s="709">
        <v>0.2293</v>
      </c>
      <c r="AN94" s="709">
        <v>0.5741</v>
      </c>
      <c r="AO94" s="709">
        <v>0.0057</v>
      </c>
      <c r="AP94" s="709">
        <v>0.0377</v>
      </c>
      <c r="AQ94" s="709">
        <v>0.0041</v>
      </c>
      <c r="AR94" s="709">
        <v>-0.0045</v>
      </c>
      <c r="AS94" s="714">
        <v>-0.5</v>
      </c>
      <c r="AT94" s="714">
        <v>-0.3</v>
      </c>
      <c r="AU94" s="714">
        <v>-0.1</v>
      </c>
      <c r="AV94" s="714">
        <v>-0.1</v>
      </c>
      <c r="AW94" s="714">
        <v>0</v>
      </c>
      <c r="AX94" s="714">
        <v>0.2</v>
      </c>
      <c r="AY94" s="714">
        <v>0.3</v>
      </c>
      <c r="AZ94" s="714">
        <v>0.5</v>
      </c>
      <c r="BA94" s="714">
        <v>0.6</v>
      </c>
      <c r="BB94" s="714">
        <v>0.6</v>
      </c>
      <c r="BC94" s="714">
        <v>0.7</v>
      </c>
      <c r="BD94" s="714">
        <v>0.3</v>
      </c>
      <c r="BE94" s="714">
        <v>0.3</v>
      </c>
      <c r="BF94" s="714">
        <v>0.4</v>
      </c>
      <c r="BG94" s="714">
        <v>0.5</v>
      </c>
      <c r="BH94" s="714">
        <v>0.6</v>
      </c>
      <c r="BI94" s="714">
        <v>0.8</v>
      </c>
      <c r="BJ94" s="714">
        <v>1</v>
      </c>
      <c r="BK94" s="714">
        <v>1.2</v>
      </c>
      <c r="BL94" s="714">
        <v>1.4</v>
      </c>
      <c r="BM94" s="714">
        <v>1.5</v>
      </c>
      <c r="BN94" s="714">
        <v>1.7</v>
      </c>
      <c r="BO94" s="714">
        <v>0.8</v>
      </c>
      <c r="BP94" s="714">
        <v>0.9</v>
      </c>
      <c r="BQ94" s="714">
        <v>1.1</v>
      </c>
      <c r="BR94" s="714">
        <v>1.2</v>
      </c>
      <c r="BS94" s="714">
        <v>1.6</v>
      </c>
      <c r="BT94" s="714">
        <v>1.8</v>
      </c>
      <c r="BU94" s="714">
        <v>1.9</v>
      </c>
      <c r="BV94" s="714">
        <v>2.1</v>
      </c>
      <c r="BW94" s="714">
        <v>2.3</v>
      </c>
      <c r="BX94" s="714">
        <v>2.5</v>
      </c>
      <c r="BY94" s="714">
        <v>2.7</v>
      </c>
      <c r="BZ94" s="714">
        <v>0.9</v>
      </c>
      <c r="CA94" s="714">
        <v>1</v>
      </c>
      <c r="CB94" s="714">
        <v>1.2</v>
      </c>
      <c r="CC94" s="714">
        <v>1.3</v>
      </c>
      <c r="CD94" s="714">
        <v>1.7</v>
      </c>
      <c r="CE94" s="714">
        <v>1.8</v>
      </c>
      <c r="CF94" s="714">
        <v>2</v>
      </c>
      <c r="CG94" s="714">
        <v>2.3</v>
      </c>
      <c r="CH94" s="714">
        <v>2.4</v>
      </c>
      <c r="CI94" s="714">
        <v>2.6</v>
      </c>
      <c r="CJ94" s="714">
        <v>2.9</v>
      </c>
      <c r="CK94" s="714">
        <v>1</v>
      </c>
      <c r="CL94" s="715">
        <v>1.1</v>
      </c>
      <c r="CM94" s="715">
        <v>1.3</v>
      </c>
      <c r="CN94" s="715">
        <v>1.6</v>
      </c>
      <c r="CO94" s="715">
        <v>1.8</v>
      </c>
      <c r="CP94" s="715">
        <v>2</v>
      </c>
      <c r="CQ94" s="715">
        <v>2.2</v>
      </c>
      <c r="CR94" s="714">
        <v>2.4</v>
      </c>
      <c r="CS94" s="714">
        <v>2.5</v>
      </c>
      <c r="CT94" s="714">
        <v>2.8</v>
      </c>
      <c r="CU94" s="714">
        <v>3</v>
      </c>
      <c r="CV94" s="714">
        <v>1.4</v>
      </c>
      <c r="CW94" s="715">
        <v>1.6</v>
      </c>
      <c r="CX94" s="715">
        <v>1.9</v>
      </c>
      <c r="CY94" s="715">
        <v>2.1</v>
      </c>
      <c r="CZ94" s="715">
        <v>2.4</v>
      </c>
      <c r="DA94" s="715">
        <v>2.6</v>
      </c>
      <c r="DB94" s="715">
        <v>2.9</v>
      </c>
      <c r="DC94" s="714">
        <v>3.1</v>
      </c>
      <c r="DD94" s="714">
        <v>3.3</v>
      </c>
      <c r="DE94" s="714">
        <v>3.6</v>
      </c>
      <c r="DF94" s="714">
        <v>3.8</v>
      </c>
      <c r="DG94" s="714">
        <v>2.2</v>
      </c>
      <c r="DH94" s="715">
        <v>2.5</v>
      </c>
      <c r="DI94" s="715">
        <v>2.9</v>
      </c>
      <c r="DJ94" s="715">
        <v>3.1</v>
      </c>
      <c r="DK94" s="715">
        <v>3.3</v>
      </c>
      <c r="DL94" s="715">
        <v>3.6</v>
      </c>
      <c r="DM94" s="715">
        <v>4</v>
      </c>
      <c r="DN94" s="714">
        <v>4.3</v>
      </c>
      <c r="DO94" s="714">
        <v>4.6</v>
      </c>
      <c r="DP94" s="714">
        <v>4.8</v>
      </c>
      <c r="DQ94" s="714">
        <v>5.1</v>
      </c>
      <c r="DR94" s="714">
        <v>4.3</v>
      </c>
      <c r="DS94" s="715">
        <v>4.5</v>
      </c>
      <c r="DT94" s="715">
        <v>4.9</v>
      </c>
      <c r="DU94" s="715">
        <v>5.3</v>
      </c>
      <c r="DV94" s="715">
        <v>5.7</v>
      </c>
      <c r="DW94" s="715">
        <v>6.3</v>
      </c>
      <c r="DX94" s="715">
        <v>6.8</v>
      </c>
      <c r="DY94" s="714">
        <v>7.3</v>
      </c>
      <c r="DZ94" s="714">
        <v>7.8</v>
      </c>
      <c r="EA94" s="714">
        <v>8.2</v>
      </c>
      <c r="EB94" s="714">
        <v>8.6</v>
      </c>
      <c r="EC94" s="714">
        <v>4.4</v>
      </c>
      <c r="ED94" s="715">
        <v>4.6</v>
      </c>
      <c r="EE94" s="715">
        <v>5</v>
      </c>
      <c r="EF94" s="715">
        <v>5.5</v>
      </c>
      <c r="EG94" s="715">
        <v>6</v>
      </c>
      <c r="EH94" s="715">
        <v>6.5</v>
      </c>
      <c r="EI94" s="715">
        <v>7</v>
      </c>
      <c r="EJ94" s="714">
        <v>7.5</v>
      </c>
      <c r="EK94" s="714">
        <v>8</v>
      </c>
      <c r="EL94" s="714">
        <v>8.3</v>
      </c>
      <c r="EM94" s="714">
        <v>8.7</v>
      </c>
      <c r="EN94" s="714">
        <v>6.7</v>
      </c>
      <c r="EO94" s="715">
        <v>7</v>
      </c>
      <c r="EP94" s="715">
        <v>8</v>
      </c>
      <c r="EQ94" s="715">
        <v>8.6</v>
      </c>
      <c r="ER94" s="715">
        <v>9.4</v>
      </c>
      <c r="ES94" s="715">
        <v>9.9</v>
      </c>
      <c r="ET94" s="715">
        <v>10.7</v>
      </c>
      <c r="EU94" s="714">
        <v>11.1</v>
      </c>
      <c r="EV94" s="714">
        <v>11.9</v>
      </c>
      <c r="EW94" s="714">
        <v>12.4</v>
      </c>
      <c r="EX94" s="714">
        <v>12.8</v>
      </c>
      <c r="EY94" s="714">
        <v>-2.1</v>
      </c>
      <c r="EZ94" s="715">
        <v>-1.5</v>
      </c>
      <c r="FA94" s="715">
        <v>-0.9</v>
      </c>
      <c r="FB94" s="715">
        <v>-0.3</v>
      </c>
      <c r="FC94" s="715">
        <v>0.1</v>
      </c>
      <c r="FD94" s="715">
        <v>0.5</v>
      </c>
      <c r="FE94" s="715">
        <v>0.9</v>
      </c>
      <c r="FF94" s="714">
        <v>1.2</v>
      </c>
      <c r="FG94" s="714">
        <v>1.5</v>
      </c>
      <c r="FH94" s="714">
        <v>1.9</v>
      </c>
      <c r="FI94" s="714">
        <v>2.1</v>
      </c>
      <c r="FJ94" s="723">
        <v>-3.91e-6</v>
      </c>
      <c r="FK94" s="723">
        <v>1.21e-8</v>
      </c>
      <c r="FL94" s="723">
        <v>-2.37e-11</v>
      </c>
      <c r="FM94" s="723">
        <v>1.14e-6</v>
      </c>
      <c r="FN94" s="723">
        <v>1.61e-9</v>
      </c>
      <c r="FO94" s="723">
        <v>0.325</v>
      </c>
      <c r="FP94" s="729">
        <v>1</v>
      </c>
      <c r="FQ94" s="729">
        <v>1</v>
      </c>
      <c r="FR94" s="729">
        <v>1</v>
      </c>
      <c r="FS94" s="729">
        <v>1</v>
      </c>
      <c r="FT94" s="729">
        <v>1</v>
      </c>
      <c r="FU94" s="729">
        <v>1</v>
      </c>
      <c r="FV94" s="681">
        <v>1</v>
      </c>
      <c r="FW94" s="729"/>
      <c r="FX94" s="729"/>
      <c r="FY94" s="729"/>
      <c r="FZ94" s="746">
        <v>656</v>
      </c>
      <c r="GA94" s="746">
        <v>684</v>
      </c>
      <c r="GB94" s="681">
        <v>585</v>
      </c>
      <c r="GC94" s="681">
        <v>634</v>
      </c>
      <c r="GD94" s="747">
        <v>1.13</v>
      </c>
      <c r="GE94" s="729"/>
      <c r="GF94" s="681">
        <v>66</v>
      </c>
      <c r="GG94" s="681">
        <v>82</v>
      </c>
      <c r="GH94" s="681">
        <v>57</v>
      </c>
      <c r="GI94" s="681">
        <v>60</v>
      </c>
      <c r="GJ94" s="681">
        <v>62</v>
      </c>
      <c r="GK94" s="681">
        <v>64</v>
      </c>
      <c r="GL94" s="681">
        <v>66</v>
      </c>
      <c r="GM94" s="681">
        <v>67</v>
      </c>
      <c r="GN94" s="681">
        <v>68</v>
      </c>
      <c r="GO94" s="681">
        <v>69</v>
      </c>
      <c r="GP94" s="681">
        <v>70</v>
      </c>
      <c r="GQ94" s="681">
        <v>71</v>
      </c>
      <c r="GR94" s="681">
        <v>71</v>
      </c>
      <c r="GS94" s="681">
        <v>72</v>
      </c>
      <c r="GT94" s="681">
        <v>72</v>
      </c>
      <c r="GU94" s="681">
        <v>73</v>
      </c>
      <c r="GV94" s="681">
        <v>73</v>
      </c>
      <c r="GW94" s="681">
        <v>74</v>
      </c>
      <c r="GX94" s="681">
        <v>74</v>
      </c>
      <c r="GY94" s="681">
        <v>75</v>
      </c>
      <c r="GZ94" s="681">
        <v>76</v>
      </c>
      <c r="HA94" s="681">
        <v>77</v>
      </c>
      <c r="HB94" s="681">
        <v>78</v>
      </c>
      <c r="HC94" s="681"/>
      <c r="HD94" s="750">
        <v>297</v>
      </c>
      <c r="HE94" s="681"/>
      <c r="HF94" s="681">
        <v>488</v>
      </c>
      <c r="HG94" s="681">
        <v>206</v>
      </c>
      <c r="HH94" s="714">
        <v>100.3</v>
      </c>
      <c r="HI94" s="714">
        <v>40.3</v>
      </c>
      <c r="HJ94" s="753">
        <v>0.243</v>
      </c>
      <c r="HK94" s="681">
        <v>56</v>
      </c>
      <c r="HL94" s="685">
        <v>3.24</v>
      </c>
      <c r="HM94" s="747">
        <v>3.57</v>
      </c>
      <c r="HN94" s="729" t="s">
        <v>878</v>
      </c>
      <c r="HO94" s="729" t="s">
        <v>879</v>
      </c>
      <c r="HP94" s="714">
        <v>-0.4</v>
      </c>
      <c r="HQ94" s="753">
        <v>0.983</v>
      </c>
      <c r="HR94" s="753">
        <v>0.995</v>
      </c>
      <c r="HS94" s="753">
        <v>0.997</v>
      </c>
      <c r="HT94" s="753">
        <v>0.997</v>
      </c>
      <c r="HU94" s="753">
        <v>0.997</v>
      </c>
      <c r="HV94" s="753">
        <v>0.997</v>
      </c>
      <c r="HW94" s="753">
        <v>0.997</v>
      </c>
      <c r="HX94" s="753">
        <v>0.997</v>
      </c>
      <c r="HY94" s="753">
        <v>0.997</v>
      </c>
      <c r="HZ94" s="753">
        <v>0.997</v>
      </c>
      <c r="IA94" s="753">
        <v>0.997</v>
      </c>
      <c r="IB94" s="753">
        <v>0.997</v>
      </c>
      <c r="IC94" s="753">
        <v>0.997</v>
      </c>
      <c r="ID94" s="753">
        <v>0.997</v>
      </c>
      <c r="IE94" s="753">
        <v>0.997</v>
      </c>
      <c r="IF94" s="753">
        <v>0.997</v>
      </c>
      <c r="IG94" s="753">
        <v>0.997</v>
      </c>
      <c r="IH94" s="753">
        <v>0.99</v>
      </c>
      <c r="II94" s="753">
        <v>0.973</v>
      </c>
      <c r="IJ94" s="753">
        <v>0.966</v>
      </c>
      <c r="IK94" s="753">
        <v>0.954</v>
      </c>
      <c r="IL94" s="753">
        <v>0.933</v>
      </c>
      <c r="IM94" s="753">
        <v>0.89</v>
      </c>
      <c r="IN94" s="753">
        <v>0.642</v>
      </c>
      <c r="IO94" s="753">
        <v>0.253</v>
      </c>
      <c r="IP94" s="753"/>
      <c r="IQ94" s="753"/>
      <c r="IR94" s="753"/>
      <c r="IS94" s="753"/>
      <c r="IT94" s="753"/>
      <c r="IU94" s="753"/>
      <c r="IV94" s="753"/>
      <c r="IW94" s="753"/>
      <c r="IX94" s="753"/>
      <c r="IY94" s="753"/>
      <c r="IZ94" s="753"/>
      <c r="JA94" s="754">
        <v>0.966</v>
      </c>
      <c r="JB94" s="754">
        <v>0.99</v>
      </c>
      <c r="JC94" s="754">
        <v>0.994</v>
      </c>
      <c r="JD94" s="754">
        <v>0.994</v>
      </c>
      <c r="JE94" s="754">
        <v>0.994</v>
      </c>
      <c r="JF94" s="754">
        <v>0.994</v>
      </c>
      <c r="JG94" s="754">
        <v>0.994</v>
      </c>
      <c r="JH94" s="754">
        <v>0.994</v>
      </c>
      <c r="JI94" s="754">
        <v>0.994</v>
      </c>
      <c r="JJ94" s="754">
        <v>0.994</v>
      </c>
      <c r="JK94" s="754">
        <v>0.994</v>
      </c>
      <c r="JL94" s="754">
        <v>0.994</v>
      </c>
      <c r="JM94" s="754">
        <v>0.994</v>
      </c>
      <c r="JN94" s="754">
        <v>0.994</v>
      </c>
      <c r="JO94" s="754">
        <v>0.994</v>
      </c>
      <c r="JP94" s="754">
        <v>0.994</v>
      </c>
      <c r="JQ94" s="754">
        <v>0.994</v>
      </c>
      <c r="JR94" s="754">
        <v>0.981</v>
      </c>
      <c r="JS94" s="754">
        <v>0.954</v>
      </c>
      <c r="JT94" s="754">
        <v>0.938</v>
      </c>
      <c r="JU94" s="754">
        <v>0.915</v>
      </c>
      <c r="JV94" s="754">
        <v>0.875</v>
      </c>
      <c r="JW94" s="754">
        <v>0.788</v>
      </c>
      <c r="JX94" s="754">
        <v>0.41</v>
      </c>
      <c r="JY94" s="754">
        <v>0.066</v>
      </c>
      <c r="JZ94" s="754"/>
      <c r="KA94" s="754"/>
      <c r="KB94" s="754"/>
      <c r="KC94" s="754"/>
      <c r="KD94" s="754"/>
      <c r="KE94" s="754"/>
      <c r="KF94" s="754"/>
      <c r="KG94" s="754"/>
      <c r="KH94" s="754"/>
      <c r="KI94" s="754"/>
      <c r="KJ94" s="754"/>
      <c r="KK94" s="765" t="s">
        <v>281</v>
      </c>
      <c r="KL94" s="738">
        <v>152</v>
      </c>
      <c r="KM94" s="738">
        <v>543</v>
      </c>
      <c r="KN94" s="646" t="s">
        <v>282</v>
      </c>
      <c r="KO94" s="646" t="s">
        <v>877</v>
      </c>
      <c r="KP94" s="680">
        <v>923189</v>
      </c>
      <c r="KQ94" s="766" t="s">
        <v>880</v>
      </c>
      <c r="KR94" s="750" t="s">
        <v>881</v>
      </c>
      <c r="KS94" s="769" t="s">
        <v>882</v>
      </c>
      <c r="KT94" s="770" t="s">
        <v>881</v>
      </c>
      <c r="KU94" s="766"/>
      <c r="KV94" s="750"/>
      <c r="KW94" s="771"/>
      <c r="KX94" s="750"/>
      <c r="KY94" s="769"/>
      <c r="KZ94" s="770"/>
    </row>
    <row r="95" s="628" customFormat="1" customHeight="1" spans="1:312">
      <c r="A95" s="682" t="s">
        <v>277</v>
      </c>
      <c r="B95" s="683">
        <v>91</v>
      </c>
      <c r="C95" s="689" t="s">
        <v>883</v>
      </c>
      <c r="D95" s="680">
        <v>923189</v>
      </c>
      <c r="E95" s="685">
        <v>18.9</v>
      </c>
      <c r="F95" s="685">
        <v>18.74</v>
      </c>
      <c r="G95" s="688">
        <v>0.048837</v>
      </c>
      <c r="H95" s="686">
        <v>0.049853</v>
      </c>
      <c r="I95" s="696">
        <v>1.84193</v>
      </c>
      <c r="J95" s="696">
        <v>1.85076</v>
      </c>
      <c r="K95" s="696">
        <v>1.8614</v>
      </c>
      <c r="L95" s="696">
        <v>1.8733</v>
      </c>
      <c r="M95" s="696">
        <v>1.87587</v>
      </c>
      <c r="N95" s="696">
        <v>1.87811</v>
      </c>
      <c r="O95" s="696">
        <v>1.88761</v>
      </c>
      <c r="P95" s="696">
        <v>1.89481</v>
      </c>
      <c r="Q95" s="697">
        <v>1.90181</v>
      </c>
      <c r="R95" s="697">
        <v>1.90916</v>
      </c>
      <c r="S95" s="697">
        <v>1.91127</v>
      </c>
      <c r="T95" s="701">
        <v>1.91327</v>
      </c>
      <c r="U95" s="697">
        <v>1.92245</v>
      </c>
      <c r="V95" s="697">
        <v>1.92286</v>
      </c>
      <c r="W95" s="697">
        <v>1.93429</v>
      </c>
      <c r="X95" s="697">
        <v>1.958</v>
      </c>
      <c r="Y95" s="697">
        <v>1.96112</v>
      </c>
      <c r="Z95" s="697">
        <v>1.98974</v>
      </c>
      <c r="AA95" s="697">
        <v>2.0197</v>
      </c>
      <c r="AB95" s="697"/>
      <c r="AC95" s="704">
        <v>3.47907547</v>
      </c>
      <c r="AD95" s="705">
        <v>-0.0182056514</v>
      </c>
      <c r="AE95" s="705">
        <v>0.0644069814</v>
      </c>
      <c r="AF95" s="705">
        <v>0.00467488595</v>
      </c>
      <c r="AG95" s="705">
        <v>-0.000234014347</v>
      </c>
      <c r="AH95" s="705">
        <v>6.37833754e-5</v>
      </c>
      <c r="AI95" s="709">
        <v>0.2805</v>
      </c>
      <c r="AJ95" s="709">
        <v>0.234</v>
      </c>
      <c r="AK95" s="709">
        <v>0.6499</v>
      </c>
      <c r="AL95" s="709">
        <v>0.2325</v>
      </c>
      <c r="AM95" s="709">
        <v>0.2293</v>
      </c>
      <c r="AN95" s="709">
        <v>0.5741</v>
      </c>
      <c r="AO95" s="709">
        <v>0.0057</v>
      </c>
      <c r="AP95" s="709">
        <v>0.0377</v>
      </c>
      <c r="AQ95" s="709">
        <v>0.0041</v>
      </c>
      <c r="AR95" s="709">
        <v>-0.0045</v>
      </c>
      <c r="AS95" s="714">
        <v>-0.5</v>
      </c>
      <c r="AT95" s="714">
        <v>-0.3</v>
      </c>
      <c r="AU95" s="714">
        <v>-0.1</v>
      </c>
      <c r="AV95" s="714">
        <v>-0.1</v>
      </c>
      <c r="AW95" s="714">
        <v>0</v>
      </c>
      <c r="AX95" s="714">
        <v>0.2</v>
      </c>
      <c r="AY95" s="714">
        <v>0.3</v>
      </c>
      <c r="AZ95" s="714">
        <v>0.5</v>
      </c>
      <c r="BA95" s="714">
        <v>0.6</v>
      </c>
      <c r="BB95" s="714">
        <v>0.6</v>
      </c>
      <c r="BC95" s="714">
        <v>0.7</v>
      </c>
      <c r="BD95" s="714">
        <v>0.3</v>
      </c>
      <c r="BE95" s="714">
        <v>0.3</v>
      </c>
      <c r="BF95" s="714">
        <v>0.4</v>
      </c>
      <c r="BG95" s="714">
        <v>0.5</v>
      </c>
      <c r="BH95" s="714">
        <v>0.6</v>
      </c>
      <c r="BI95" s="714">
        <v>0.8</v>
      </c>
      <c r="BJ95" s="714">
        <v>1</v>
      </c>
      <c r="BK95" s="714">
        <v>1.2</v>
      </c>
      <c r="BL95" s="714">
        <v>1.4</v>
      </c>
      <c r="BM95" s="714">
        <v>1.5</v>
      </c>
      <c r="BN95" s="714">
        <v>1.7</v>
      </c>
      <c r="BO95" s="714">
        <v>0.8</v>
      </c>
      <c r="BP95" s="714">
        <v>0.9</v>
      </c>
      <c r="BQ95" s="714">
        <v>1.1</v>
      </c>
      <c r="BR95" s="714">
        <v>1.2</v>
      </c>
      <c r="BS95" s="714">
        <v>1.6</v>
      </c>
      <c r="BT95" s="714">
        <v>1.8</v>
      </c>
      <c r="BU95" s="714">
        <v>1.9</v>
      </c>
      <c r="BV95" s="714">
        <v>2.1</v>
      </c>
      <c r="BW95" s="714">
        <v>2.3</v>
      </c>
      <c r="BX95" s="714">
        <v>2.5</v>
      </c>
      <c r="BY95" s="714">
        <v>2.7</v>
      </c>
      <c r="BZ95" s="714">
        <v>0.9</v>
      </c>
      <c r="CA95" s="714">
        <v>1</v>
      </c>
      <c r="CB95" s="714">
        <v>1.2</v>
      </c>
      <c r="CC95" s="714">
        <v>1.3</v>
      </c>
      <c r="CD95" s="714">
        <v>1.7</v>
      </c>
      <c r="CE95" s="714">
        <v>1.8</v>
      </c>
      <c r="CF95" s="714">
        <v>2</v>
      </c>
      <c r="CG95" s="714">
        <v>2.3</v>
      </c>
      <c r="CH95" s="714">
        <v>2.4</v>
      </c>
      <c r="CI95" s="714">
        <v>2.6</v>
      </c>
      <c r="CJ95" s="714">
        <v>2.9</v>
      </c>
      <c r="CK95" s="714">
        <v>1</v>
      </c>
      <c r="CL95" s="715">
        <v>1.1</v>
      </c>
      <c r="CM95" s="715">
        <v>1.3</v>
      </c>
      <c r="CN95" s="715">
        <v>1.6</v>
      </c>
      <c r="CO95" s="715">
        <v>1.8</v>
      </c>
      <c r="CP95" s="715">
        <v>2</v>
      </c>
      <c r="CQ95" s="715">
        <v>2.2</v>
      </c>
      <c r="CR95" s="714">
        <v>2.4</v>
      </c>
      <c r="CS95" s="714">
        <v>2.5</v>
      </c>
      <c r="CT95" s="714">
        <v>2.8</v>
      </c>
      <c r="CU95" s="714">
        <v>3</v>
      </c>
      <c r="CV95" s="714">
        <v>1.4</v>
      </c>
      <c r="CW95" s="715">
        <v>1.6</v>
      </c>
      <c r="CX95" s="715">
        <v>1.9</v>
      </c>
      <c r="CY95" s="715">
        <v>2.1</v>
      </c>
      <c r="CZ95" s="715">
        <v>2.4</v>
      </c>
      <c r="DA95" s="715">
        <v>2.6</v>
      </c>
      <c r="DB95" s="715">
        <v>2.9</v>
      </c>
      <c r="DC95" s="714">
        <v>3.1</v>
      </c>
      <c r="DD95" s="714">
        <v>3.3</v>
      </c>
      <c r="DE95" s="714">
        <v>3.6</v>
      </c>
      <c r="DF95" s="714">
        <v>3.8</v>
      </c>
      <c r="DG95" s="714">
        <v>2.2</v>
      </c>
      <c r="DH95" s="715">
        <v>2.5</v>
      </c>
      <c r="DI95" s="715">
        <v>2.9</v>
      </c>
      <c r="DJ95" s="715">
        <v>3.1</v>
      </c>
      <c r="DK95" s="715">
        <v>3.3</v>
      </c>
      <c r="DL95" s="715">
        <v>3.6</v>
      </c>
      <c r="DM95" s="715">
        <v>4</v>
      </c>
      <c r="DN95" s="714">
        <v>4.3</v>
      </c>
      <c r="DO95" s="714">
        <v>4.6</v>
      </c>
      <c r="DP95" s="714">
        <v>4.8</v>
      </c>
      <c r="DQ95" s="714">
        <v>5.1</v>
      </c>
      <c r="DR95" s="714">
        <v>4.3</v>
      </c>
      <c r="DS95" s="715">
        <v>4.5</v>
      </c>
      <c r="DT95" s="715">
        <v>4.9</v>
      </c>
      <c r="DU95" s="715">
        <v>5.3</v>
      </c>
      <c r="DV95" s="715">
        <v>5.7</v>
      </c>
      <c r="DW95" s="715">
        <v>6.3</v>
      </c>
      <c r="DX95" s="715">
        <v>6.8</v>
      </c>
      <c r="DY95" s="714">
        <v>7.3</v>
      </c>
      <c r="DZ95" s="714">
        <v>7.8</v>
      </c>
      <c r="EA95" s="714">
        <v>8.2</v>
      </c>
      <c r="EB95" s="714">
        <v>8.6</v>
      </c>
      <c r="EC95" s="714">
        <v>4.4</v>
      </c>
      <c r="ED95" s="715">
        <v>4.6</v>
      </c>
      <c r="EE95" s="715">
        <v>5</v>
      </c>
      <c r="EF95" s="715">
        <v>5.5</v>
      </c>
      <c r="EG95" s="715">
        <v>6</v>
      </c>
      <c r="EH95" s="715">
        <v>6.5</v>
      </c>
      <c r="EI95" s="715">
        <v>7</v>
      </c>
      <c r="EJ95" s="714">
        <v>7.5</v>
      </c>
      <c r="EK95" s="714">
        <v>8</v>
      </c>
      <c r="EL95" s="714">
        <v>8.3</v>
      </c>
      <c r="EM95" s="714">
        <v>8.7</v>
      </c>
      <c r="EN95" s="714">
        <v>6.7</v>
      </c>
      <c r="EO95" s="715">
        <v>7</v>
      </c>
      <c r="EP95" s="715">
        <v>8</v>
      </c>
      <c r="EQ95" s="715">
        <v>8.6</v>
      </c>
      <c r="ER95" s="715">
        <v>9.4</v>
      </c>
      <c r="ES95" s="715">
        <v>9.9</v>
      </c>
      <c r="ET95" s="715">
        <v>10.7</v>
      </c>
      <c r="EU95" s="714">
        <v>11.1</v>
      </c>
      <c r="EV95" s="714">
        <v>11.9</v>
      </c>
      <c r="EW95" s="714">
        <v>12.4</v>
      </c>
      <c r="EX95" s="714">
        <v>12.8</v>
      </c>
      <c r="EY95" s="714">
        <v>-2.1</v>
      </c>
      <c r="EZ95" s="715">
        <v>-1.5</v>
      </c>
      <c r="FA95" s="715">
        <v>-0.9</v>
      </c>
      <c r="FB95" s="715">
        <v>-0.3</v>
      </c>
      <c r="FC95" s="715">
        <v>0.1</v>
      </c>
      <c r="FD95" s="715">
        <v>0.5</v>
      </c>
      <c r="FE95" s="715">
        <v>0.9</v>
      </c>
      <c r="FF95" s="714">
        <v>1.2</v>
      </c>
      <c r="FG95" s="714">
        <v>1.5</v>
      </c>
      <c r="FH95" s="714">
        <v>1.9</v>
      </c>
      <c r="FI95" s="714">
        <v>2.1</v>
      </c>
      <c r="FJ95" s="723">
        <v>-3.91e-6</v>
      </c>
      <c r="FK95" s="723">
        <v>1.21e-8</v>
      </c>
      <c r="FL95" s="723">
        <v>-2.37e-11</v>
      </c>
      <c r="FM95" s="723">
        <v>1.14e-6</v>
      </c>
      <c r="FN95" s="723">
        <v>1.61e-9</v>
      </c>
      <c r="FO95" s="723">
        <v>0.325</v>
      </c>
      <c r="FP95" s="729">
        <v>1</v>
      </c>
      <c r="FQ95" s="729">
        <v>1</v>
      </c>
      <c r="FR95" s="729">
        <v>1</v>
      </c>
      <c r="FS95" s="729">
        <v>1</v>
      </c>
      <c r="FT95" s="729">
        <v>1</v>
      </c>
      <c r="FU95" s="729">
        <v>1</v>
      </c>
      <c r="FV95" s="681">
        <v>1</v>
      </c>
      <c r="FW95" s="729"/>
      <c r="FX95" s="729"/>
      <c r="FY95" s="729"/>
      <c r="FZ95" s="746">
        <v>656</v>
      </c>
      <c r="GA95" s="746">
        <v>684</v>
      </c>
      <c r="GB95" s="681">
        <v>585</v>
      </c>
      <c r="GC95" s="681">
        <v>634</v>
      </c>
      <c r="GD95" s="747">
        <v>1.13</v>
      </c>
      <c r="GE95" s="729"/>
      <c r="GF95" s="681">
        <v>65</v>
      </c>
      <c r="GG95" s="681">
        <v>81</v>
      </c>
      <c r="GH95" s="681">
        <v>57</v>
      </c>
      <c r="GI95" s="681">
        <v>60</v>
      </c>
      <c r="GJ95" s="681">
        <v>62</v>
      </c>
      <c r="GK95" s="681">
        <v>65</v>
      </c>
      <c r="GL95" s="681">
        <v>66</v>
      </c>
      <c r="GM95" s="681">
        <v>67</v>
      </c>
      <c r="GN95" s="681">
        <v>69</v>
      </c>
      <c r="GO95" s="681">
        <v>69</v>
      </c>
      <c r="GP95" s="681">
        <v>70</v>
      </c>
      <c r="GQ95" s="681">
        <v>70</v>
      </c>
      <c r="GR95" s="681">
        <v>70</v>
      </c>
      <c r="GS95" s="681">
        <v>71</v>
      </c>
      <c r="GT95" s="681">
        <v>71</v>
      </c>
      <c r="GU95" s="681">
        <v>72</v>
      </c>
      <c r="GV95" s="681">
        <v>72</v>
      </c>
      <c r="GW95" s="681">
        <v>73</v>
      </c>
      <c r="GX95" s="681">
        <v>74</v>
      </c>
      <c r="GY95" s="681">
        <v>74</v>
      </c>
      <c r="GZ95" s="681">
        <v>75</v>
      </c>
      <c r="HA95" s="681">
        <v>76</v>
      </c>
      <c r="HB95" s="681">
        <v>77</v>
      </c>
      <c r="HC95" s="681"/>
      <c r="HD95" s="750">
        <v>297</v>
      </c>
      <c r="HE95" s="681"/>
      <c r="HF95" s="681">
        <v>488</v>
      </c>
      <c r="HG95" s="681">
        <v>206</v>
      </c>
      <c r="HH95" s="714">
        <v>100.3</v>
      </c>
      <c r="HI95" s="714">
        <v>40.3</v>
      </c>
      <c r="HJ95" s="753">
        <v>0.243</v>
      </c>
      <c r="HK95" s="681">
        <v>56</v>
      </c>
      <c r="HL95" s="685">
        <v>3.24</v>
      </c>
      <c r="HM95" s="747">
        <v>3.57</v>
      </c>
      <c r="HN95" s="729" t="s">
        <v>884</v>
      </c>
      <c r="HO95" s="729" t="s">
        <v>885</v>
      </c>
      <c r="HP95" s="714">
        <v>-0.4</v>
      </c>
      <c r="HQ95" s="753">
        <v>0.983</v>
      </c>
      <c r="HR95" s="753">
        <v>0.995</v>
      </c>
      <c r="HS95" s="753">
        <v>0.997</v>
      </c>
      <c r="HT95" s="753">
        <v>0.999</v>
      </c>
      <c r="HU95" s="753">
        <v>0.999</v>
      </c>
      <c r="HV95" s="753">
        <v>0.999</v>
      </c>
      <c r="HW95" s="753">
        <v>0.999</v>
      </c>
      <c r="HX95" s="753">
        <v>0.999</v>
      </c>
      <c r="HY95" s="753">
        <v>0.999</v>
      </c>
      <c r="HZ95" s="753">
        <v>0.999</v>
      </c>
      <c r="IA95" s="753">
        <v>0.999</v>
      </c>
      <c r="IB95" s="753">
        <v>0.999</v>
      </c>
      <c r="IC95" s="753">
        <v>0.999</v>
      </c>
      <c r="ID95" s="753">
        <v>0.999</v>
      </c>
      <c r="IE95" s="753">
        <v>0.999</v>
      </c>
      <c r="IF95" s="753">
        <v>0.999</v>
      </c>
      <c r="IG95" s="753">
        <v>0.998</v>
      </c>
      <c r="IH95" s="753">
        <v>0.996</v>
      </c>
      <c r="II95" s="753">
        <v>0.988</v>
      </c>
      <c r="IJ95" s="753">
        <v>0.983</v>
      </c>
      <c r="IK95" s="753">
        <v>0.974</v>
      </c>
      <c r="IL95" s="753">
        <v>0.959</v>
      </c>
      <c r="IM95" s="753">
        <v>0.921</v>
      </c>
      <c r="IN95" s="753">
        <v>0.671</v>
      </c>
      <c r="IO95" s="753">
        <v>0.305</v>
      </c>
      <c r="IP95" s="753"/>
      <c r="IQ95" s="753"/>
      <c r="IR95" s="753"/>
      <c r="IS95" s="753"/>
      <c r="IT95" s="753"/>
      <c r="IU95" s="753"/>
      <c r="IV95" s="753"/>
      <c r="IW95" s="753"/>
      <c r="IX95" s="753"/>
      <c r="IY95" s="753"/>
      <c r="IZ95" s="753"/>
      <c r="JA95" s="754">
        <v>0.966</v>
      </c>
      <c r="JB95" s="754">
        <v>0.99</v>
      </c>
      <c r="JC95" s="754">
        <v>0.994</v>
      </c>
      <c r="JD95" s="754">
        <v>0.998</v>
      </c>
      <c r="JE95" s="754">
        <v>0.998</v>
      </c>
      <c r="JF95" s="754">
        <v>0.998</v>
      </c>
      <c r="JG95" s="754">
        <v>0.998</v>
      </c>
      <c r="JH95" s="754">
        <v>0.998</v>
      </c>
      <c r="JI95" s="754">
        <v>0.998</v>
      </c>
      <c r="JJ95" s="754">
        <v>0.998</v>
      </c>
      <c r="JK95" s="754">
        <v>0.998</v>
      </c>
      <c r="JL95" s="754">
        <v>0.998</v>
      </c>
      <c r="JM95" s="754">
        <v>0.998</v>
      </c>
      <c r="JN95" s="754">
        <v>0.998</v>
      </c>
      <c r="JO95" s="754">
        <v>0.998</v>
      </c>
      <c r="JP95" s="754">
        <v>0.997</v>
      </c>
      <c r="JQ95" s="754">
        <v>0.997</v>
      </c>
      <c r="JR95" s="754">
        <v>0.991</v>
      </c>
      <c r="JS95" s="754">
        <v>0.977</v>
      </c>
      <c r="JT95" s="754">
        <v>0.965</v>
      </c>
      <c r="JU95" s="754">
        <v>0.949</v>
      </c>
      <c r="JV95" s="754">
        <v>0.919</v>
      </c>
      <c r="JW95" s="754">
        <v>0.848</v>
      </c>
      <c r="JX95" s="754">
        <v>0.45</v>
      </c>
      <c r="JY95" s="754">
        <v>0.093</v>
      </c>
      <c r="JZ95" s="754"/>
      <c r="KA95" s="754"/>
      <c r="KB95" s="754"/>
      <c r="KC95" s="754"/>
      <c r="KD95" s="754"/>
      <c r="KE95" s="754"/>
      <c r="KF95" s="754"/>
      <c r="KG95" s="754"/>
      <c r="KH95" s="754"/>
      <c r="KI95" s="754"/>
      <c r="KJ95" s="754"/>
      <c r="KK95" s="765" t="s">
        <v>281</v>
      </c>
      <c r="KL95" s="738">
        <v>165</v>
      </c>
      <c r="KM95" s="738">
        <v>589</v>
      </c>
      <c r="KN95" s="646" t="s">
        <v>282</v>
      </c>
      <c r="KO95" s="646" t="s">
        <v>883</v>
      </c>
      <c r="KP95" s="680">
        <v>923189</v>
      </c>
      <c r="KQ95" s="766"/>
      <c r="KR95" s="750"/>
      <c r="KS95" s="769" t="s">
        <v>886</v>
      </c>
      <c r="KT95" s="770" t="s">
        <v>881</v>
      </c>
      <c r="KU95" s="766"/>
      <c r="KV95" s="750"/>
      <c r="KW95" s="771"/>
      <c r="KX95" s="750"/>
      <c r="KY95" s="769"/>
      <c r="KZ95" s="770"/>
    </row>
    <row r="96" s="628" customFormat="1" customHeight="1" spans="1:312">
      <c r="A96" s="682" t="s">
        <v>300</v>
      </c>
      <c r="B96" s="683">
        <v>92</v>
      </c>
      <c r="C96" s="689" t="s">
        <v>887</v>
      </c>
      <c r="D96" s="680">
        <v>946180</v>
      </c>
      <c r="E96" s="685">
        <v>17.98</v>
      </c>
      <c r="F96" s="685">
        <v>17.84</v>
      </c>
      <c r="G96" s="688">
        <v>0.0526</v>
      </c>
      <c r="H96" s="686">
        <v>0.053718</v>
      </c>
      <c r="I96" s="696">
        <v>1.85978</v>
      </c>
      <c r="J96" s="696">
        <v>1.86908</v>
      </c>
      <c r="K96" s="696">
        <v>1.88034</v>
      </c>
      <c r="L96" s="696">
        <v>1.89291</v>
      </c>
      <c r="M96" s="696">
        <v>1.89565</v>
      </c>
      <c r="N96" s="696">
        <v>1.89802</v>
      </c>
      <c r="O96" s="696">
        <v>1.90816</v>
      </c>
      <c r="P96" s="696">
        <v>1.91585</v>
      </c>
      <c r="Q96" s="697">
        <v>1.92337</v>
      </c>
      <c r="R96" s="697">
        <v>1.93123</v>
      </c>
      <c r="S96" s="697">
        <v>1.9335</v>
      </c>
      <c r="T96" s="701">
        <v>1.93564</v>
      </c>
      <c r="U96" s="697">
        <v>1.9455</v>
      </c>
      <c r="V96" s="697">
        <v>1.94595</v>
      </c>
      <c r="W96" s="697">
        <v>1.95825</v>
      </c>
      <c r="X96" s="697">
        <v>1.98383</v>
      </c>
      <c r="Y96" s="697">
        <v>1.98722</v>
      </c>
      <c r="Z96" s="697">
        <v>2.01828</v>
      </c>
      <c r="AA96" s="697">
        <v>2.0511</v>
      </c>
      <c r="AB96" s="697"/>
      <c r="AC96" s="704">
        <v>3.55084508</v>
      </c>
      <c r="AD96" s="705">
        <v>-0.0193992631</v>
      </c>
      <c r="AE96" s="705">
        <v>0.0682201738</v>
      </c>
      <c r="AF96" s="705">
        <v>0.00585319322</v>
      </c>
      <c r="AG96" s="705">
        <v>-0.000421740063</v>
      </c>
      <c r="AH96" s="705">
        <v>8.66214086e-5</v>
      </c>
      <c r="AI96" s="709">
        <v>0.2798</v>
      </c>
      <c r="AJ96" s="709">
        <v>0.2338</v>
      </c>
      <c r="AK96" s="709">
        <v>0.6549</v>
      </c>
      <c r="AL96" s="709">
        <v>0.2318</v>
      </c>
      <c r="AM96" s="709">
        <v>0.229</v>
      </c>
      <c r="AN96" s="709">
        <v>0.5782</v>
      </c>
      <c r="AO96" s="709">
        <v>0.006</v>
      </c>
      <c r="AP96" s="709">
        <v>0.0412</v>
      </c>
      <c r="AQ96" s="709">
        <v>0.0041</v>
      </c>
      <c r="AR96" s="709">
        <v>-0.005</v>
      </c>
      <c r="AS96" s="714">
        <v>0.5</v>
      </c>
      <c r="AT96" s="714">
        <v>0.5</v>
      </c>
      <c r="AU96" s="714">
        <v>0.7</v>
      </c>
      <c r="AV96" s="714">
        <v>0.8</v>
      </c>
      <c r="AW96" s="714">
        <v>1.1</v>
      </c>
      <c r="AX96" s="714">
        <v>1.2</v>
      </c>
      <c r="AY96" s="714">
        <v>1.6</v>
      </c>
      <c r="AZ96" s="714">
        <v>2</v>
      </c>
      <c r="BA96" s="714">
        <v>2.4</v>
      </c>
      <c r="BB96" s="714">
        <v>2.7</v>
      </c>
      <c r="BC96" s="714">
        <v>3.1</v>
      </c>
      <c r="BD96" s="714">
        <v>1.2</v>
      </c>
      <c r="BE96" s="714">
        <v>1.3</v>
      </c>
      <c r="BF96" s="714">
        <v>1.5</v>
      </c>
      <c r="BG96" s="714">
        <v>1.6</v>
      </c>
      <c r="BH96" s="714">
        <v>1.9</v>
      </c>
      <c r="BI96" s="714">
        <v>2.2</v>
      </c>
      <c r="BJ96" s="714">
        <v>2.6</v>
      </c>
      <c r="BK96" s="714">
        <v>2.9</v>
      </c>
      <c r="BL96" s="714">
        <v>3.3</v>
      </c>
      <c r="BM96" s="714">
        <v>3.8</v>
      </c>
      <c r="BN96" s="714">
        <v>4.2</v>
      </c>
      <c r="BO96" s="714">
        <v>1.6</v>
      </c>
      <c r="BP96" s="714">
        <v>1.8</v>
      </c>
      <c r="BQ96" s="714">
        <v>2.1</v>
      </c>
      <c r="BR96" s="714">
        <v>2.3</v>
      </c>
      <c r="BS96" s="714">
        <v>2.8</v>
      </c>
      <c r="BT96" s="714">
        <v>3.1</v>
      </c>
      <c r="BU96" s="714">
        <v>3.6</v>
      </c>
      <c r="BV96" s="714">
        <v>4</v>
      </c>
      <c r="BW96" s="714">
        <v>4.3</v>
      </c>
      <c r="BX96" s="714">
        <v>4.9</v>
      </c>
      <c r="BY96" s="714">
        <v>5.4</v>
      </c>
      <c r="BZ96" s="714">
        <v>1.7</v>
      </c>
      <c r="CA96" s="714">
        <v>1.9</v>
      </c>
      <c r="CB96" s="714">
        <v>2.2</v>
      </c>
      <c r="CC96" s="714">
        <v>2.4</v>
      </c>
      <c r="CD96" s="714">
        <v>2.7</v>
      </c>
      <c r="CE96" s="714">
        <v>3.2</v>
      </c>
      <c r="CF96" s="714">
        <v>3.7</v>
      </c>
      <c r="CG96" s="714">
        <v>4.1</v>
      </c>
      <c r="CH96" s="714">
        <v>4.5</v>
      </c>
      <c r="CI96" s="714">
        <v>5</v>
      </c>
      <c r="CJ96" s="714">
        <v>5.5</v>
      </c>
      <c r="CK96" s="714">
        <v>1.8</v>
      </c>
      <c r="CL96" s="715">
        <v>2</v>
      </c>
      <c r="CM96" s="715">
        <v>2.3</v>
      </c>
      <c r="CN96" s="715">
        <v>2.5</v>
      </c>
      <c r="CO96" s="715">
        <v>2.8</v>
      </c>
      <c r="CP96" s="715">
        <v>3.3</v>
      </c>
      <c r="CQ96" s="715">
        <v>3.8</v>
      </c>
      <c r="CR96" s="714">
        <v>4.2</v>
      </c>
      <c r="CS96" s="714">
        <v>4.6</v>
      </c>
      <c r="CT96" s="714">
        <v>5.2</v>
      </c>
      <c r="CU96" s="714">
        <v>5.6</v>
      </c>
      <c r="CV96" s="714">
        <v>2.2</v>
      </c>
      <c r="CW96" s="715">
        <v>2.5</v>
      </c>
      <c r="CX96" s="715">
        <v>3</v>
      </c>
      <c r="CY96" s="715">
        <v>3.2</v>
      </c>
      <c r="CZ96" s="715">
        <v>3.5</v>
      </c>
      <c r="DA96" s="715">
        <v>4</v>
      </c>
      <c r="DB96" s="715">
        <v>4.4</v>
      </c>
      <c r="DC96" s="714">
        <v>5</v>
      </c>
      <c r="DD96" s="714">
        <v>5.6</v>
      </c>
      <c r="DE96" s="714">
        <v>6.1</v>
      </c>
      <c r="DF96" s="714">
        <v>6.5</v>
      </c>
      <c r="DG96" s="714">
        <v>2.9</v>
      </c>
      <c r="DH96" s="715">
        <v>3.4</v>
      </c>
      <c r="DI96" s="715">
        <v>3.8</v>
      </c>
      <c r="DJ96" s="715">
        <v>4.2</v>
      </c>
      <c r="DK96" s="715">
        <v>4.6</v>
      </c>
      <c r="DL96" s="715">
        <v>5.1</v>
      </c>
      <c r="DM96" s="715">
        <v>5.6</v>
      </c>
      <c r="DN96" s="714">
        <v>6.1</v>
      </c>
      <c r="DO96" s="714">
        <v>6.6</v>
      </c>
      <c r="DP96" s="714">
        <v>7.1</v>
      </c>
      <c r="DQ96" s="714">
        <v>7.8</v>
      </c>
      <c r="DR96" s="714">
        <v>4.8</v>
      </c>
      <c r="DS96" s="715">
        <v>5.4</v>
      </c>
      <c r="DT96" s="715">
        <v>6.1</v>
      </c>
      <c r="DU96" s="715">
        <v>6.7</v>
      </c>
      <c r="DV96" s="715">
        <v>7.1</v>
      </c>
      <c r="DW96" s="715">
        <v>7.7</v>
      </c>
      <c r="DX96" s="715">
        <v>8.6</v>
      </c>
      <c r="DY96" s="714">
        <v>9.5</v>
      </c>
      <c r="DZ96" s="714">
        <v>10.1</v>
      </c>
      <c r="EA96" s="714">
        <v>10.9</v>
      </c>
      <c r="EB96" s="714">
        <v>11.6</v>
      </c>
      <c r="EC96" s="714">
        <v>5</v>
      </c>
      <c r="ED96" s="715">
        <v>5.6</v>
      </c>
      <c r="EE96" s="715">
        <v>6.3</v>
      </c>
      <c r="EF96" s="715">
        <v>6.9</v>
      </c>
      <c r="EG96" s="715">
        <v>7.3</v>
      </c>
      <c r="EH96" s="715">
        <v>7.9</v>
      </c>
      <c r="EI96" s="715">
        <v>8.8</v>
      </c>
      <c r="EJ96" s="714">
        <v>9.8</v>
      </c>
      <c r="EK96" s="714">
        <v>10.3</v>
      </c>
      <c r="EL96" s="714">
        <v>11.1</v>
      </c>
      <c r="EM96" s="714">
        <v>11.8</v>
      </c>
      <c r="EN96" s="714">
        <v>7.8</v>
      </c>
      <c r="EO96" s="715">
        <v>8.7</v>
      </c>
      <c r="EP96" s="715">
        <v>9.6</v>
      </c>
      <c r="EQ96" s="715">
        <v>10.3</v>
      </c>
      <c r="ER96" s="715">
        <v>11</v>
      </c>
      <c r="ES96" s="715">
        <v>12.2</v>
      </c>
      <c r="ET96" s="715">
        <v>12.9</v>
      </c>
      <c r="EU96" s="714">
        <v>13.7</v>
      </c>
      <c r="EV96" s="714">
        <v>14.4</v>
      </c>
      <c r="EW96" s="714">
        <v>15.2</v>
      </c>
      <c r="EX96" s="714">
        <v>16.2</v>
      </c>
      <c r="EY96" s="714">
        <v>-1.3</v>
      </c>
      <c r="EZ96" s="715">
        <v>-0.6</v>
      </c>
      <c r="FA96" s="715">
        <v>0.1</v>
      </c>
      <c r="FB96" s="715">
        <v>0.6</v>
      </c>
      <c r="FC96" s="715">
        <v>1.1</v>
      </c>
      <c r="FD96" s="715">
        <v>1.8</v>
      </c>
      <c r="FE96" s="715">
        <v>2.5</v>
      </c>
      <c r="FF96" s="714">
        <v>3</v>
      </c>
      <c r="FG96" s="714">
        <v>3.5</v>
      </c>
      <c r="FH96" s="714">
        <v>4.2</v>
      </c>
      <c r="FI96" s="714">
        <v>4.7</v>
      </c>
      <c r="FJ96" s="723">
        <v>-2.3e-6</v>
      </c>
      <c r="FK96" s="723">
        <v>1.66e-8</v>
      </c>
      <c r="FL96" s="723">
        <v>-7.59e-12</v>
      </c>
      <c r="FM96" s="723">
        <v>1.12e-6</v>
      </c>
      <c r="FN96" s="723">
        <v>1.62e-9</v>
      </c>
      <c r="FO96" s="723">
        <v>0.33</v>
      </c>
      <c r="FP96" s="729">
        <v>1</v>
      </c>
      <c r="FQ96" s="729">
        <v>1</v>
      </c>
      <c r="FR96" s="729">
        <v>1</v>
      </c>
      <c r="FS96" s="729">
        <v>1</v>
      </c>
      <c r="FT96" s="729">
        <v>1</v>
      </c>
      <c r="FU96" s="729">
        <v>1</v>
      </c>
      <c r="FV96" s="681">
        <v>1</v>
      </c>
      <c r="FW96" s="729"/>
      <c r="FX96" s="729"/>
      <c r="FY96" s="729"/>
      <c r="FZ96" s="746">
        <v>682</v>
      </c>
      <c r="GA96" s="746">
        <v>709</v>
      </c>
      <c r="GB96" s="681">
        <v>609</v>
      </c>
      <c r="GC96" s="681">
        <v>660</v>
      </c>
      <c r="GD96" s="747">
        <v>1.11</v>
      </c>
      <c r="GE96" s="729"/>
      <c r="GF96" s="681">
        <v>55</v>
      </c>
      <c r="GG96" s="681">
        <v>70</v>
      </c>
      <c r="GH96" s="681">
        <v>47</v>
      </c>
      <c r="GI96" s="681">
        <v>50</v>
      </c>
      <c r="GJ96" s="681">
        <v>51</v>
      </c>
      <c r="GK96" s="681">
        <v>53</v>
      </c>
      <c r="GL96" s="681">
        <v>54</v>
      </c>
      <c r="GM96" s="681">
        <v>55</v>
      </c>
      <c r="GN96" s="681">
        <v>56</v>
      </c>
      <c r="GO96" s="681">
        <v>57</v>
      </c>
      <c r="GP96" s="681">
        <v>57</v>
      </c>
      <c r="GQ96" s="681">
        <v>58</v>
      </c>
      <c r="GR96" s="681">
        <v>60</v>
      </c>
      <c r="GS96" s="681">
        <v>60</v>
      </c>
      <c r="GT96" s="681">
        <v>61</v>
      </c>
      <c r="GU96" s="681">
        <v>61</v>
      </c>
      <c r="GV96" s="681">
        <v>62</v>
      </c>
      <c r="GW96" s="681">
        <v>63</v>
      </c>
      <c r="GX96" s="681">
        <v>64</v>
      </c>
      <c r="GY96" s="681">
        <v>65</v>
      </c>
      <c r="GZ96" s="681">
        <v>66</v>
      </c>
      <c r="HA96" s="681">
        <v>66</v>
      </c>
      <c r="HB96" s="681">
        <v>67</v>
      </c>
      <c r="HC96" s="681"/>
      <c r="HD96" s="750">
        <v>295</v>
      </c>
      <c r="HE96" s="681"/>
      <c r="HF96" s="681">
        <v>510</v>
      </c>
      <c r="HG96" s="681">
        <v>199</v>
      </c>
      <c r="HH96" s="714">
        <v>104.6</v>
      </c>
      <c r="HI96" s="714">
        <v>41.1</v>
      </c>
      <c r="HJ96" s="753">
        <v>0.272</v>
      </c>
      <c r="HK96" s="681">
        <v>66</v>
      </c>
      <c r="HL96" s="685">
        <v>3.38</v>
      </c>
      <c r="HM96" s="747">
        <v>3.53</v>
      </c>
      <c r="HN96" s="729" t="s">
        <v>888</v>
      </c>
      <c r="HO96" s="729" t="s">
        <v>889</v>
      </c>
      <c r="HP96" s="714">
        <v>-0.5</v>
      </c>
      <c r="HQ96" s="753">
        <v>0.972</v>
      </c>
      <c r="HR96" s="753">
        <v>0.982</v>
      </c>
      <c r="HS96" s="753">
        <v>0.997</v>
      </c>
      <c r="HT96" s="753">
        <v>0.997</v>
      </c>
      <c r="HU96" s="753">
        <v>0.997</v>
      </c>
      <c r="HV96" s="753">
        <v>0.997</v>
      </c>
      <c r="HW96" s="753">
        <v>0.997</v>
      </c>
      <c r="HX96" s="753">
        <v>0.997</v>
      </c>
      <c r="HY96" s="753">
        <v>0.997</v>
      </c>
      <c r="HZ96" s="753">
        <v>0.997</v>
      </c>
      <c r="IA96" s="753">
        <v>0.997</v>
      </c>
      <c r="IB96" s="753">
        <v>0.997</v>
      </c>
      <c r="IC96" s="753">
        <v>0.997</v>
      </c>
      <c r="ID96" s="753">
        <v>0.997</v>
      </c>
      <c r="IE96" s="753">
        <v>0.997</v>
      </c>
      <c r="IF96" s="753">
        <v>0.997</v>
      </c>
      <c r="IG96" s="753">
        <v>0.995</v>
      </c>
      <c r="IH96" s="753">
        <v>0.993</v>
      </c>
      <c r="II96" s="753">
        <v>0.97</v>
      </c>
      <c r="IJ96" s="753">
        <v>0.96</v>
      </c>
      <c r="IK96" s="753">
        <v>0.946</v>
      </c>
      <c r="IL96" s="753">
        <v>0.923</v>
      </c>
      <c r="IM96" s="753">
        <v>0.87</v>
      </c>
      <c r="IN96" s="753">
        <v>0.546</v>
      </c>
      <c r="IO96" s="753">
        <v>0.181</v>
      </c>
      <c r="IP96" s="753"/>
      <c r="IQ96" s="753"/>
      <c r="IR96" s="753"/>
      <c r="IS96" s="753"/>
      <c r="IT96" s="753"/>
      <c r="IU96" s="753"/>
      <c r="IV96" s="753"/>
      <c r="IW96" s="753"/>
      <c r="IX96" s="753"/>
      <c r="IY96" s="753"/>
      <c r="IZ96" s="753"/>
      <c r="JA96" s="754">
        <v>0.945</v>
      </c>
      <c r="JB96" s="754">
        <v>0.964</v>
      </c>
      <c r="JC96" s="754">
        <v>0.994</v>
      </c>
      <c r="JD96" s="754">
        <v>0.994</v>
      </c>
      <c r="JE96" s="754">
        <v>0.994</v>
      </c>
      <c r="JF96" s="754">
        <v>0.994</v>
      </c>
      <c r="JG96" s="754">
        <v>0.994</v>
      </c>
      <c r="JH96" s="754">
        <v>0.994</v>
      </c>
      <c r="JI96" s="754">
        <v>0.994</v>
      </c>
      <c r="JJ96" s="754">
        <v>0.994</v>
      </c>
      <c r="JK96" s="754">
        <v>0.994</v>
      </c>
      <c r="JL96" s="754">
        <v>0.994</v>
      </c>
      <c r="JM96" s="754">
        <v>0.994</v>
      </c>
      <c r="JN96" s="754">
        <v>0.994</v>
      </c>
      <c r="JO96" s="754">
        <v>0.994</v>
      </c>
      <c r="JP96" s="754">
        <v>0.994</v>
      </c>
      <c r="JQ96" s="754">
        <v>0.99</v>
      </c>
      <c r="JR96" s="754">
        <v>0.986</v>
      </c>
      <c r="JS96" s="754">
        <v>0.941</v>
      </c>
      <c r="JT96" s="754">
        <v>0.921</v>
      </c>
      <c r="JU96" s="754">
        <v>0.894</v>
      </c>
      <c r="JV96" s="754">
        <v>0.853</v>
      </c>
      <c r="JW96" s="754">
        <v>0.756</v>
      </c>
      <c r="JX96" s="754">
        <v>0.298</v>
      </c>
      <c r="JY96" s="754">
        <v>0.033</v>
      </c>
      <c r="JZ96" s="754"/>
      <c r="KA96" s="754"/>
      <c r="KB96" s="754"/>
      <c r="KC96" s="754"/>
      <c r="KD96" s="754"/>
      <c r="KE96" s="754"/>
      <c r="KF96" s="754"/>
      <c r="KG96" s="754"/>
      <c r="KH96" s="754"/>
      <c r="KI96" s="754"/>
      <c r="KJ96" s="754"/>
      <c r="KK96" s="765" t="s">
        <v>281</v>
      </c>
      <c r="KL96" s="738">
        <v>152</v>
      </c>
      <c r="KM96" s="738">
        <v>537</v>
      </c>
      <c r="KN96" s="646" t="s">
        <v>282</v>
      </c>
      <c r="KO96" s="646" t="s">
        <v>887</v>
      </c>
      <c r="KP96" s="680">
        <v>946180</v>
      </c>
      <c r="KQ96" s="766"/>
      <c r="KR96" s="750"/>
      <c r="KS96" s="769" t="s">
        <v>890</v>
      </c>
      <c r="KT96" s="770" t="s">
        <v>891</v>
      </c>
      <c r="KU96" s="766" t="s">
        <v>892</v>
      </c>
      <c r="KV96" s="750">
        <v>946180</v>
      </c>
      <c r="KW96" s="771"/>
      <c r="KX96" s="750"/>
      <c r="KY96" s="769"/>
      <c r="KZ96" s="770"/>
    </row>
    <row r="97" s="628" customFormat="1" customHeight="1" spans="1:312">
      <c r="A97" s="682" t="s">
        <v>277</v>
      </c>
      <c r="B97" s="683">
        <v>93</v>
      </c>
      <c r="C97" s="689" t="s">
        <v>893</v>
      </c>
      <c r="D97" s="680">
        <v>946180</v>
      </c>
      <c r="E97" s="685">
        <v>17.98</v>
      </c>
      <c r="F97" s="685">
        <v>17.84</v>
      </c>
      <c r="G97" s="688">
        <v>0.0526</v>
      </c>
      <c r="H97" s="686">
        <v>0.053718</v>
      </c>
      <c r="I97" s="696">
        <v>1.85978</v>
      </c>
      <c r="J97" s="696">
        <v>1.86908</v>
      </c>
      <c r="K97" s="696">
        <v>1.88034</v>
      </c>
      <c r="L97" s="696">
        <v>1.89291</v>
      </c>
      <c r="M97" s="696">
        <v>1.89565</v>
      </c>
      <c r="N97" s="696">
        <v>1.89802</v>
      </c>
      <c r="O97" s="696">
        <v>1.90816</v>
      </c>
      <c r="P97" s="696">
        <v>1.91585</v>
      </c>
      <c r="Q97" s="697">
        <v>1.92337</v>
      </c>
      <c r="R97" s="697">
        <v>1.93123</v>
      </c>
      <c r="S97" s="697">
        <v>1.9335</v>
      </c>
      <c r="T97" s="701">
        <v>1.93564</v>
      </c>
      <c r="U97" s="697">
        <v>1.9455</v>
      </c>
      <c r="V97" s="697">
        <v>1.94595</v>
      </c>
      <c r="W97" s="697">
        <v>1.95825</v>
      </c>
      <c r="X97" s="697">
        <v>1.98383</v>
      </c>
      <c r="Y97" s="697">
        <v>1.98722</v>
      </c>
      <c r="Z97" s="697">
        <v>2.01828</v>
      </c>
      <c r="AA97" s="697">
        <v>2.0511</v>
      </c>
      <c r="AB97" s="697"/>
      <c r="AC97" s="704">
        <v>3.55084508</v>
      </c>
      <c r="AD97" s="705">
        <v>-0.0193992631</v>
      </c>
      <c r="AE97" s="705">
        <v>0.0682201738</v>
      </c>
      <c r="AF97" s="705">
        <v>0.00585319322</v>
      </c>
      <c r="AG97" s="705">
        <v>-0.000421740063</v>
      </c>
      <c r="AH97" s="705">
        <v>8.66214086e-5</v>
      </c>
      <c r="AI97" s="709">
        <v>0.2798</v>
      </c>
      <c r="AJ97" s="709">
        <v>0.2338</v>
      </c>
      <c r="AK97" s="709">
        <v>0.6549</v>
      </c>
      <c r="AL97" s="709">
        <v>0.2318</v>
      </c>
      <c r="AM97" s="709">
        <v>0.229</v>
      </c>
      <c r="AN97" s="709">
        <v>0.5782</v>
      </c>
      <c r="AO97" s="709">
        <v>0.006</v>
      </c>
      <c r="AP97" s="709">
        <v>0.0412</v>
      </c>
      <c r="AQ97" s="709">
        <v>0.0041</v>
      </c>
      <c r="AR97" s="709">
        <v>-0.005</v>
      </c>
      <c r="AS97" s="714">
        <v>0.5</v>
      </c>
      <c r="AT97" s="714">
        <v>0.5</v>
      </c>
      <c r="AU97" s="714">
        <v>0.7</v>
      </c>
      <c r="AV97" s="714">
        <v>0.8</v>
      </c>
      <c r="AW97" s="714">
        <v>1.1</v>
      </c>
      <c r="AX97" s="714">
        <v>1.2</v>
      </c>
      <c r="AY97" s="714">
        <v>1.6</v>
      </c>
      <c r="AZ97" s="714">
        <v>2</v>
      </c>
      <c r="BA97" s="714">
        <v>2.4</v>
      </c>
      <c r="BB97" s="714">
        <v>2.7</v>
      </c>
      <c r="BC97" s="714">
        <v>3.1</v>
      </c>
      <c r="BD97" s="714">
        <v>1.2</v>
      </c>
      <c r="BE97" s="714">
        <v>1.3</v>
      </c>
      <c r="BF97" s="714">
        <v>1.5</v>
      </c>
      <c r="BG97" s="714">
        <v>1.6</v>
      </c>
      <c r="BH97" s="714">
        <v>1.9</v>
      </c>
      <c r="BI97" s="714">
        <v>2.2</v>
      </c>
      <c r="BJ97" s="714">
        <v>2.6</v>
      </c>
      <c r="BK97" s="714">
        <v>2.9</v>
      </c>
      <c r="BL97" s="714">
        <v>3.3</v>
      </c>
      <c r="BM97" s="714">
        <v>3.8</v>
      </c>
      <c r="BN97" s="714">
        <v>4.2</v>
      </c>
      <c r="BO97" s="714">
        <v>1.6</v>
      </c>
      <c r="BP97" s="714">
        <v>1.8</v>
      </c>
      <c r="BQ97" s="714">
        <v>2.1</v>
      </c>
      <c r="BR97" s="714">
        <v>2.3</v>
      </c>
      <c r="BS97" s="714">
        <v>2.8</v>
      </c>
      <c r="BT97" s="714">
        <v>3.1</v>
      </c>
      <c r="BU97" s="714">
        <v>3.6</v>
      </c>
      <c r="BV97" s="714">
        <v>4</v>
      </c>
      <c r="BW97" s="714">
        <v>4.3</v>
      </c>
      <c r="BX97" s="714">
        <v>4.9</v>
      </c>
      <c r="BY97" s="714">
        <v>5.4</v>
      </c>
      <c r="BZ97" s="714">
        <v>1.7</v>
      </c>
      <c r="CA97" s="714">
        <v>1.9</v>
      </c>
      <c r="CB97" s="714">
        <v>2.2</v>
      </c>
      <c r="CC97" s="714">
        <v>2.4</v>
      </c>
      <c r="CD97" s="714">
        <v>2.7</v>
      </c>
      <c r="CE97" s="714">
        <v>3.2</v>
      </c>
      <c r="CF97" s="714">
        <v>3.7</v>
      </c>
      <c r="CG97" s="714">
        <v>4.1</v>
      </c>
      <c r="CH97" s="714">
        <v>4.5</v>
      </c>
      <c r="CI97" s="714">
        <v>5</v>
      </c>
      <c r="CJ97" s="714">
        <v>5.5</v>
      </c>
      <c r="CK97" s="714">
        <v>1.8</v>
      </c>
      <c r="CL97" s="715">
        <v>2</v>
      </c>
      <c r="CM97" s="715">
        <v>2.3</v>
      </c>
      <c r="CN97" s="715">
        <v>2.5</v>
      </c>
      <c r="CO97" s="715">
        <v>2.8</v>
      </c>
      <c r="CP97" s="715">
        <v>3.3</v>
      </c>
      <c r="CQ97" s="715">
        <v>3.8</v>
      </c>
      <c r="CR97" s="714">
        <v>4.2</v>
      </c>
      <c r="CS97" s="714">
        <v>4.6</v>
      </c>
      <c r="CT97" s="714">
        <v>5.2</v>
      </c>
      <c r="CU97" s="714">
        <v>5.6</v>
      </c>
      <c r="CV97" s="714">
        <v>2.2</v>
      </c>
      <c r="CW97" s="715">
        <v>2.5</v>
      </c>
      <c r="CX97" s="715">
        <v>3</v>
      </c>
      <c r="CY97" s="715">
        <v>3.2</v>
      </c>
      <c r="CZ97" s="715">
        <v>3.5</v>
      </c>
      <c r="DA97" s="715">
        <v>4</v>
      </c>
      <c r="DB97" s="715">
        <v>4.4</v>
      </c>
      <c r="DC97" s="714">
        <v>5</v>
      </c>
      <c r="DD97" s="714">
        <v>5.6</v>
      </c>
      <c r="DE97" s="714">
        <v>6.1</v>
      </c>
      <c r="DF97" s="714">
        <v>6.5</v>
      </c>
      <c r="DG97" s="714">
        <v>2.9</v>
      </c>
      <c r="DH97" s="715">
        <v>3.4</v>
      </c>
      <c r="DI97" s="715">
        <v>3.8</v>
      </c>
      <c r="DJ97" s="715">
        <v>4.2</v>
      </c>
      <c r="DK97" s="715">
        <v>4.6</v>
      </c>
      <c r="DL97" s="715">
        <v>5.1</v>
      </c>
      <c r="DM97" s="715">
        <v>5.6</v>
      </c>
      <c r="DN97" s="714">
        <v>6.1</v>
      </c>
      <c r="DO97" s="714">
        <v>6.6</v>
      </c>
      <c r="DP97" s="714">
        <v>7.1</v>
      </c>
      <c r="DQ97" s="714">
        <v>7.8</v>
      </c>
      <c r="DR97" s="714">
        <v>4.8</v>
      </c>
      <c r="DS97" s="715">
        <v>5.4</v>
      </c>
      <c r="DT97" s="715">
        <v>6.1</v>
      </c>
      <c r="DU97" s="715">
        <v>6.7</v>
      </c>
      <c r="DV97" s="715">
        <v>7.1</v>
      </c>
      <c r="DW97" s="715">
        <v>7.7</v>
      </c>
      <c r="DX97" s="715">
        <v>8.6</v>
      </c>
      <c r="DY97" s="714">
        <v>9.5</v>
      </c>
      <c r="DZ97" s="714">
        <v>10.1</v>
      </c>
      <c r="EA97" s="714">
        <v>10.9</v>
      </c>
      <c r="EB97" s="714">
        <v>11.6</v>
      </c>
      <c r="EC97" s="714">
        <v>5</v>
      </c>
      <c r="ED97" s="715">
        <v>5.6</v>
      </c>
      <c r="EE97" s="715">
        <v>6.3</v>
      </c>
      <c r="EF97" s="715">
        <v>6.9</v>
      </c>
      <c r="EG97" s="715">
        <v>7.3</v>
      </c>
      <c r="EH97" s="715">
        <v>7.9</v>
      </c>
      <c r="EI97" s="715">
        <v>8.8</v>
      </c>
      <c r="EJ97" s="714">
        <v>9.8</v>
      </c>
      <c r="EK97" s="714">
        <v>10.3</v>
      </c>
      <c r="EL97" s="714">
        <v>11.1</v>
      </c>
      <c r="EM97" s="714">
        <v>11.8</v>
      </c>
      <c r="EN97" s="714">
        <v>7.8</v>
      </c>
      <c r="EO97" s="715">
        <v>8.7</v>
      </c>
      <c r="EP97" s="715">
        <v>9.6</v>
      </c>
      <c r="EQ97" s="715">
        <v>10.3</v>
      </c>
      <c r="ER97" s="715">
        <v>11</v>
      </c>
      <c r="ES97" s="715">
        <v>12.2</v>
      </c>
      <c r="ET97" s="715">
        <v>12.9</v>
      </c>
      <c r="EU97" s="714">
        <v>13.7</v>
      </c>
      <c r="EV97" s="714">
        <v>14.4</v>
      </c>
      <c r="EW97" s="714">
        <v>15.2</v>
      </c>
      <c r="EX97" s="714">
        <v>16.2</v>
      </c>
      <c r="EY97" s="714">
        <v>-1.3</v>
      </c>
      <c r="EZ97" s="715">
        <v>-0.6</v>
      </c>
      <c r="FA97" s="715">
        <v>0.1</v>
      </c>
      <c r="FB97" s="715">
        <v>0.6</v>
      </c>
      <c r="FC97" s="715">
        <v>1.1</v>
      </c>
      <c r="FD97" s="715">
        <v>1.8</v>
      </c>
      <c r="FE97" s="715">
        <v>2.5</v>
      </c>
      <c r="FF97" s="714">
        <v>3</v>
      </c>
      <c r="FG97" s="714">
        <v>3.5</v>
      </c>
      <c r="FH97" s="714">
        <v>4.2</v>
      </c>
      <c r="FI97" s="714">
        <v>4.7</v>
      </c>
      <c r="FJ97" s="723">
        <v>-2.3e-6</v>
      </c>
      <c r="FK97" s="723">
        <v>1.66e-8</v>
      </c>
      <c r="FL97" s="723">
        <v>-7.59e-12</v>
      </c>
      <c r="FM97" s="723">
        <v>1.12e-6</v>
      </c>
      <c r="FN97" s="723">
        <v>1.62e-9</v>
      </c>
      <c r="FO97" s="723">
        <v>0.33</v>
      </c>
      <c r="FP97" s="729">
        <v>1</v>
      </c>
      <c r="FQ97" s="729">
        <v>1</v>
      </c>
      <c r="FR97" s="729">
        <v>1</v>
      </c>
      <c r="FS97" s="729">
        <v>1</v>
      </c>
      <c r="FT97" s="729">
        <v>1</v>
      </c>
      <c r="FU97" s="729">
        <v>1</v>
      </c>
      <c r="FV97" s="681">
        <v>1</v>
      </c>
      <c r="FW97" s="729"/>
      <c r="FX97" s="729"/>
      <c r="FY97" s="729"/>
      <c r="FZ97" s="746">
        <v>682</v>
      </c>
      <c r="GA97" s="746">
        <v>709</v>
      </c>
      <c r="GB97" s="681">
        <v>609</v>
      </c>
      <c r="GC97" s="681">
        <v>660</v>
      </c>
      <c r="GD97" s="747">
        <v>1.11</v>
      </c>
      <c r="GE97" s="729"/>
      <c r="GF97" s="681">
        <v>54</v>
      </c>
      <c r="GG97" s="681">
        <v>68</v>
      </c>
      <c r="GH97" s="681">
        <v>48</v>
      </c>
      <c r="GI97" s="681">
        <v>51</v>
      </c>
      <c r="GJ97" s="681">
        <v>53</v>
      </c>
      <c r="GK97" s="681">
        <v>55</v>
      </c>
      <c r="GL97" s="681">
        <v>56</v>
      </c>
      <c r="GM97" s="681">
        <v>57</v>
      </c>
      <c r="GN97" s="681">
        <v>57</v>
      </c>
      <c r="GO97" s="681">
        <v>58</v>
      </c>
      <c r="GP97" s="681">
        <v>59</v>
      </c>
      <c r="GQ97" s="681">
        <v>59</v>
      </c>
      <c r="GR97" s="681">
        <v>60</v>
      </c>
      <c r="GS97" s="681">
        <v>61</v>
      </c>
      <c r="GT97" s="681">
        <v>61</v>
      </c>
      <c r="GU97" s="681">
        <v>62</v>
      </c>
      <c r="GV97" s="681">
        <v>62</v>
      </c>
      <c r="GW97" s="681">
        <v>63</v>
      </c>
      <c r="GX97" s="681">
        <v>64</v>
      </c>
      <c r="GY97" s="681">
        <v>64</v>
      </c>
      <c r="GZ97" s="681">
        <v>66</v>
      </c>
      <c r="HA97" s="681">
        <v>67</v>
      </c>
      <c r="HB97" s="681">
        <v>68</v>
      </c>
      <c r="HC97" s="681"/>
      <c r="HD97" s="750">
        <v>295</v>
      </c>
      <c r="HE97" s="681"/>
      <c r="HF97" s="681">
        <v>510</v>
      </c>
      <c r="HG97" s="681">
        <v>199</v>
      </c>
      <c r="HH97" s="714">
        <v>104.6</v>
      </c>
      <c r="HI97" s="714">
        <v>41.1</v>
      </c>
      <c r="HJ97" s="753">
        <v>0.272</v>
      </c>
      <c r="HK97" s="681">
        <v>78</v>
      </c>
      <c r="HL97" s="685">
        <v>3.38</v>
      </c>
      <c r="HM97" s="747">
        <v>3.53</v>
      </c>
      <c r="HN97" s="729" t="s">
        <v>894</v>
      </c>
      <c r="HO97" s="729" t="s">
        <v>895</v>
      </c>
      <c r="HP97" s="714">
        <v>-0.5</v>
      </c>
      <c r="HQ97" s="753">
        <v>0.975</v>
      </c>
      <c r="HR97" s="753">
        <v>0.986</v>
      </c>
      <c r="HS97" s="753">
        <v>0.997</v>
      </c>
      <c r="HT97" s="753">
        <v>0.997</v>
      </c>
      <c r="HU97" s="753">
        <v>0.997</v>
      </c>
      <c r="HV97" s="753">
        <v>0.998</v>
      </c>
      <c r="HW97" s="753">
        <v>0.998</v>
      </c>
      <c r="HX97" s="753">
        <v>0.998</v>
      </c>
      <c r="HY97" s="753">
        <v>0.998</v>
      </c>
      <c r="HZ97" s="753">
        <v>0.998</v>
      </c>
      <c r="IA97" s="753">
        <v>0.998</v>
      </c>
      <c r="IB97" s="753">
        <v>0.998</v>
      </c>
      <c r="IC97" s="753">
        <v>0.998</v>
      </c>
      <c r="ID97" s="753">
        <v>0.998</v>
      </c>
      <c r="IE97" s="753">
        <v>0.998</v>
      </c>
      <c r="IF97" s="753">
        <v>0.998</v>
      </c>
      <c r="IG97" s="753">
        <v>0.998</v>
      </c>
      <c r="IH97" s="753">
        <v>0.995</v>
      </c>
      <c r="II97" s="753">
        <v>0.988</v>
      </c>
      <c r="IJ97" s="753">
        <v>0.982</v>
      </c>
      <c r="IK97" s="753">
        <v>0.973</v>
      </c>
      <c r="IL97" s="753">
        <v>0.957</v>
      </c>
      <c r="IM97" s="753">
        <v>0.915</v>
      </c>
      <c r="IN97" s="753">
        <v>0.604</v>
      </c>
      <c r="IO97" s="753">
        <v>0.243</v>
      </c>
      <c r="IP97" s="753"/>
      <c r="IQ97" s="753"/>
      <c r="IR97" s="753"/>
      <c r="IS97" s="753"/>
      <c r="IT97" s="753"/>
      <c r="IU97" s="753"/>
      <c r="IV97" s="753"/>
      <c r="IW97" s="753"/>
      <c r="IX97" s="753"/>
      <c r="IY97" s="753"/>
      <c r="IZ97" s="753"/>
      <c r="JA97" s="754">
        <v>0.951</v>
      </c>
      <c r="JB97" s="754">
        <v>0.973</v>
      </c>
      <c r="JC97" s="754">
        <v>0.995</v>
      </c>
      <c r="JD97" s="754">
        <v>0.995</v>
      </c>
      <c r="JE97" s="754">
        <v>0.995</v>
      </c>
      <c r="JF97" s="754">
        <v>0.996</v>
      </c>
      <c r="JG97" s="754">
        <v>0.996</v>
      </c>
      <c r="JH97" s="754">
        <v>0.996</v>
      </c>
      <c r="JI97" s="754">
        <v>0.996</v>
      </c>
      <c r="JJ97" s="754">
        <v>0.996</v>
      </c>
      <c r="JK97" s="754">
        <v>0.996</v>
      </c>
      <c r="JL97" s="754">
        <v>0.996</v>
      </c>
      <c r="JM97" s="754">
        <v>0.996</v>
      </c>
      <c r="JN97" s="754">
        <v>0.996</v>
      </c>
      <c r="JO97" s="754">
        <v>0.996</v>
      </c>
      <c r="JP97" s="754">
        <v>0.996</v>
      </c>
      <c r="JQ97" s="754">
        <v>0.996</v>
      </c>
      <c r="JR97" s="754">
        <v>0.991</v>
      </c>
      <c r="JS97" s="754">
        <v>0.975</v>
      </c>
      <c r="JT97" s="754">
        <v>0.963</v>
      </c>
      <c r="JU97" s="754">
        <v>0.946</v>
      </c>
      <c r="JV97" s="754">
        <v>0.916</v>
      </c>
      <c r="JW97" s="754">
        <v>0.838</v>
      </c>
      <c r="JX97" s="754">
        <v>0.365</v>
      </c>
      <c r="JY97" s="754">
        <v>0.059</v>
      </c>
      <c r="JZ97" s="754"/>
      <c r="KA97" s="754"/>
      <c r="KB97" s="754"/>
      <c r="KC97" s="754"/>
      <c r="KD97" s="754"/>
      <c r="KE97" s="754"/>
      <c r="KF97" s="754"/>
      <c r="KG97" s="754"/>
      <c r="KH97" s="754"/>
      <c r="KI97" s="754"/>
      <c r="KJ97" s="754"/>
      <c r="KK97" s="765" t="s">
        <v>281</v>
      </c>
      <c r="KL97" s="738">
        <v>165</v>
      </c>
      <c r="KM97" s="738">
        <v>582</v>
      </c>
      <c r="KN97" s="646" t="s">
        <v>282</v>
      </c>
      <c r="KO97" s="646" t="s">
        <v>893</v>
      </c>
      <c r="KP97" s="680">
        <v>946180</v>
      </c>
      <c r="KQ97" s="766"/>
      <c r="KR97" s="750"/>
      <c r="KS97" s="769" t="s">
        <v>896</v>
      </c>
      <c r="KT97" s="770" t="s">
        <v>891</v>
      </c>
      <c r="KU97" s="766" t="s">
        <v>897</v>
      </c>
      <c r="KV97" s="750">
        <v>946180</v>
      </c>
      <c r="KW97" s="771"/>
      <c r="KX97" s="750"/>
      <c r="KY97" s="769"/>
      <c r="KZ97" s="770"/>
    </row>
    <row r="98" s="628" customFormat="1" customHeight="1" spans="1:312">
      <c r="A98" s="682" t="s">
        <v>374</v>
      </c>
      <c r="B98" s="683">
        <v>94</v>
      </c>
      <c r="C98" s="689" t="s">
        <v>898</v>
      </c>
      <c r="D98" s="680">
        <v>959175</v>
      </c>
      <c r="E98" s="685">
        <v>17.47</v>
      </c>
      <c r="F98" s="685">
        <v>17.33</v>
      </c>
      <c r="G98" s="688">
        <v>0.05489</v>
      </c>
      <c r="H98" s="686">
        <v>0.056091</v>
      </c>
      <c r="I98" s="696"/>
      <c r="J98" s="696"/>
      <c r="K98" s="696"/>
      <c r="L98" s="696">
        <v>1.90422</v>
      </c>
      <c r="M98" s="696">
        <v>1.9071</v>
      </c>
      <c r="N98" s="696">
        <v>1.90958</v>
      </c>
      <c r="O98" s="696">
        <v>1.92</v>
      </c>
      <c r="P98" s="696">
        <v>1.92789</v>
      </c>
      <c r="Q98" s="697">
        <v>1.93562</v>
      </c>
      <c r="R98" s="697">
        <v>1.94375</v>
      </c>
      <c r="S98" s="697">
        <v>1.94611</v>
      </c>
      <c r="T98" s="701">
        <v>1.94834</v>
      </c>
      <c r="U98" s="697">
        <v>1.9586</v>
      </c>
      <c r="V98" s="697">
        <v>1.95906</v>
      </c>
      <c r="W98" s="697">
        <v>1.97189</v>
      </c>
      <c r="X98" s="697">
        <v>1.99865</v>
      </c>
      <c r="Y98" s="697">
        <v>2.0022</v>
      </c>
      <c r="Z98" s="697">
        <v>2.03469</v>
      </c>
      <c r="AA98" s="697">
        <v>2.06909</v>
      </c>
      <c r="AB98" s="697"/>
      <c r="AC98" s="704">
        <v>3.6118724</v>
      </c>
      <c r="AD98" s="705">
        <v>-0.0277611102</v>
      </c>
      <c r="AE98" s="705">
        <v>0.0545160847</v>
      </c>
      <c r="AF98" s="705">
        <v>0.0118687253</v>
      </c>
      <c r="AG98" s="705">
        <v>-0.00130897352</v>
      </c>
      <c r="AH98" s="705">
        <v>0.000141185183</v>
      </c>
      <c r="AI98" s="709">
        <v>0.2789</v>
      </c>
      <c r="AJ98" s="709">
        <v>0.2337</v>
      </c>
      <c r="AK98" s="709">
        <v>0.6566</v>
      </c>
      <c r="AL98" s="709">
        <v>0.2309</v>
      </c>
      <c r="AM98" s="709">
        <v>0.2287</v>
      </c>
      <c r="AN98" s="709">
        <v>0.5792</v>
      </c>
      <c r="AO98" s="709">
        <v>0.007</v>
      </c>
      <c r="AP98" s="709">
        <v>0.042</v>
      </c>
      <c r="AQ98" s="709">
        <v>-0.0022</v>
      </c>
      <c r="AR98" s="709">
        <v>-0.0096</v>
      </c>
      <c r="AS98" s="714">
        <v>-0.5</v>
      </c>
      <c r="AT98" s="714">
        <v>-0.4</v>
      </c>
      <c r="AU98" s="714">
        <v>-0.2</v>
      </c>
      <c r="AV98" s="714">
        <v>0.1</v>
      </c>
      <c r="AW98" s="714">
        <v>0.1</v>
      </c>
      <c r="AX98" s="714">
        <v>0.2</v>
      </c>
      <c r="AY98" s="714">
        <v>0.6</v>
      </c>
      <c r="AZ98" s="714">
        <v>0.8</v>
      </c>
      <c r="BA98" s="714">
        <v>0.9</v>
      </c>
      <c r="BB98" s="714">
        <v>1</v>
      </c>
      <c r="BC98" s="714">
        <v>1.1</v>
      </c>
      <c r="BD98" s="714">
        <v>-0.2</v>
      </c>
      <c r="BE98" s="714">
        <v>-0.2</v>
      </c>
      <c r="BF98" s="714">
        <v>-0.1</v>
      </c>
      <c r="BG98" s="714">
        <v>0</v>
      </c>
      <c r="BH98" s="714">
        <v>0.2</v>
      </c>
      <c r="BI98" s="714">
        <v>0.4</v>
      </c>
      <c r="BJ98" s="714">
        <v>0.8</v>
      </c>
      <c r="BK98" s="714">
        <v>1.3</v>
      </c>
      <c r="BL98" s="714">
        <v>1.5</v>
      </c>
      <c r="BM98" s="714">
        <v>1.7</v>
      </c>
      <c r="BN98" s="714">
        <v>1.7</v>
      </c>
      <c r="BO98" s="714">
        <v>0.4</v>
      </c>
      <c r="BP98" s="714">
        <v>0.5</v>
      </c>
      <c r="BQ98" s="714">
        <v>0.7</v>
      </c>
      <c r="BR98" s="714">
        <v>0.9</v>
      </c>
      <c r="BS98" s="714">
        <v>1.1</v>
      </c>
      <c r="BT98" s="714">
        <v>1.2</v>
      </c>
      <c r="BU98" s="714">
        <v>1.4</v>
      </c>
      <c r="BV98" s="714">
        <v>1.6</v>
      </c>
      <c r="BW98" s="714">
        <v>1.9</v>
      </c>
      <c r="BX98" s="714">
        <v>2</v>
      </c>
      <c r="BY98" s="714">
        <v>2.2</v>
      </c>
      <c r="BZ98" s="714">
        <v>0.5</v>
      </c>
      <c r="CA98" s="714">
        <v>0.6</v>
      </c>
      <c r="CB98" s="714">
        <v>0.9</v>
      </c>
      <c r="CC98" s="714">
        <v>1.1</v>
      </c>
      <c r="CD98" s="714">
        <v>1.3</v>
      </c>
      <c r="CE98" s="714">
        <v>1.4</v>
      </c>
      <c r="CF98" s="714">
        <v>1.6</v>
      </c>
      <c r="CG98" s="714">
        <v>1.9</v>
      </c>
      <c r="CH98" s="714">
        <v>2.1</v>
      </c>
      <c r="CI98" s="714">
        <v>2.3</v>
      </c>
      <c r="CJ98" s="714">
        <v>2.5</v>
      </c>
      <c r="CK98" s="714">
        <v>0.6</v>
      </c>
      <c r="CL98" s="715">
        <v>0.7</v>
      </c>
      <c r="CM98" s="715">
        <v>1</v>
      </c>
      <c r="CN98" s="715">
        <v>1.2</v>
      </c>
      <c r="CO98" s="715">
        <v>1.4</v>
      </c>
      <c r="CP98" s="715">
        <v>1.5</v>
      </c>
      <c r="CQ98" s="715">
        <v>1.8</v>
      </c>
      <c r="CR98" s="714">
        <v>2.1</v>
      </c>
      <c r="CS98" s="714">
        <v>2.5</v>
      </c>
      <c r="CT98" s="714">
        <v>2.6</v>
      </c>
      <c r="CU98" s="714">
        <v>2.7</v>
      </c>
      <c r="CV98" s="714">
        <v>1.1</v>
      </c>
      <c r="CW98" s="715">
        <v>1.2</v>
      </c>
      <c r="CX98" s="715">
        <v>1.4</v>
      </c>
      <c r="CY98" s="715">
        <v>1.8</v>
      </c>
      <c r="CZ98" s="715">
        <v>2</v>
      </c>
      <c r="DA98" s="715">
        <v>2.4</v>
      </c>
      <c r="DB98" s="715">
        <v>2.7</v>
      </c>
      <c r="DC98" s="714">
        <v>3</v>
      </c>
      <c r="DD98" s="714">
        <v>3.1</v>
      </c>
      <c r="DE98" s="714">
        <v>3.4</v>
      </c>
      <c r="DF98" s="714">
        <v>3.6</v>
      </c>
      <c r="DG98" s="714">
        <v>2</v>
      </c>
      <c r="DH98" s="715">
        <v>2.4</v>
      </c>
      <c r="DI98" s="715">
        <v>2.7</v>
      </c>
      <c r="DJ98" s="715">
        <v>3.1</v>
      </c>
      <c r="DK98" s="715">
        <v>3.3</v>
      </c>
      <c r="DL98" s="715">
        <v>3.4</v>
      </c>
      <c r="DM98" s="715">
        <v>3.8</v>
      </c>
      <c r="DN98" s="714">
        <v>4.2</v>
      </c>
      <c r="DO98" s="714">
        <v>4.3</v>
      </c>
      <c r="DP98" s="714">
        <v>4.5</v>
      </c>
      <c r="DQ98" s="714">
        <v>4.7</v>
      </c>
      <c r="DR98" s="714">
        <v>3.9</v>
      </c>
      <c r="DS98" s="715">
        <v>4.2</v>
      </c>
      <c r="DT98" s="715">
        <v>4.6</v>
      </c>
      <c r="DU98" s="715">
        <v>4.9</v>
      </c>
      <c r="DV98" s="715">
        <v>5.2</v>
      </c>
      <c r="DW98" s="715">
        <v>5.4</v>
      </c>
      <c r="DX98" s="715">
        <v>5.7</v>
      </c>
      <c r="DY98" s="714">
        <v>6</v>
      </c>
      <c r="DZ98" s="714">
        <v>6.5</v>
      </c>
      <c r="EA98" s="714">
        <v>6.8</v>
      </c>
      <c r="EB98" s="714">
        <v>7.1</v>
      </c>
      <c r="EC98" s="714">
        <v>4.1</v>
      </c>
      <c r="ED98" s="715">
        <v>4.4</v>
      </c>
      <c r="EE98" s="715">
        <v>4.7</v>
      </c>
      <c r="EF98" s="715">
        <v>5</v>
      </c>
      <c r="EG98" s="715">
        <v>5.3</v>
      </c>
      <c r="EH98" s="715">
        <v>5.6</v>
      </c>
      <c r="EI98" s="715">
        <v>5.9</v>
      </c>
      <c r="EJ98" s="714">
        <v>6.3</v>
      </c>
      <c r="EK98" s="714">
        <v>6.8</v>
      </c>
      <c r="EL98" s="714">
        <v>7.2</v>
      </c>
      <c r="EM98" s="714">
        <v>7.5</v>
      </c>
      <c r="EN98" s="714">
        <v>6.8</v>
      </c>
      <c r="EO98" s="715">
        <v>7.1</v>
      </c>
      <c r="EP98" s="715">
        <v>7.7</v>
      </c>
      <c r="EQ98" s="715">
        <v>8.2</v>
      </c>
      <c r="ER98" s="715">
        <v>8.5</v>
      </c>
      <c r="ES98" s="715">
        <v>9.1</v>
      </c>
      <c r="ET98" s="715">
        <v>9.6</v>
      </c>
      <c r="EU98" s="714">
        <v>10</v>
      </c>
      <c r="EV98" s="714">
        <v>10.5</v>
      </c>
      <c r="EW98" s="714">
        <v>10.9</v>
      </c>
      <c r="EX98" s="714">
        <v>11.3</v>
      </c>
      <c r="EY98" s="714">
        <v>-2.5</v>
      </c>
      <c r="EZ98" s="715">
        <v>-1.9</v>
      </c>
      <c r="FA98" s="715">
        <v>-1.3</v>
      </c>
      <c r="FB98" s="715">
        <v>-0.7</v>
      </c>
      <c r="FC98" s="715">
        <v>-0.3</v>
      </c>
      <c r="FD98" s="715">
        <v>0</v>
      </c>
      <c r="FE98" s="715">
        <v>0.5</v>
      </c>
      <c r="FF98" s="714">
        <v>0.9</v>
      </c>
      <c r="FG98" s="714">
        <v>1.4</v>
      </c>
      <c r="FH98" s="714">
        <v>1.6</v>
      </c>
      <c r="FI98" s="714">
        <v>1.8</v>
      </c>
      <c r="FJ98" s="723">
        <v>-3.83e-6</v>
      </c>
      <c r="FK98" s="723">
        <v>1.49e-8</v>
      </c>
      <c r="FL98" s="723">
        <v>-2.21e-11</v>
      </c>
      <c r="FM98" s="723">
        <v>9.49e-7</v>
      </c>
      <c r="FN98" s="723">
        <v>6.87e-10</v>
      </c>
      <c r="FO98" s="723">
        <v>0.336</v>
      </c>
      <c r="FP98" s="729">
        <v>1</v>
      </c>
      <c r="FQ98" s="729">
        <v>1</v>
      </c>
      <c r="FR98" s="729">
        <v>1</v>
      </c>
      <c r="FS98" s="729">
        <v>1</v>
      </c>
      <c r="FT98" s="729">
        <v>1</v>
      </c>
      <c r="FU98" s="729">
        <v>1</v>
      </c>
      <c r="FV98" s="681">
        <v>1</v>
      </c>
      <c r="FW98" s="729"/>
      <c r="FX98" s="729"/>
      <c r="FY98" s="729"/>
      <c r="FZ98" s="746">
        <v>683</v>
      </c>
      <c r="GA98" s="746">
        <v>712</v>
      </c>
      <c r="GB98" s="681">
        <v>605</v>
      </c>
      <c r="GC98" s="681">
        <v>655</v>
      </c>
      <c r="GD98" s="747"/>
      <c r="GE98" s="729"/>
      <c r="GF98" s="681">
        <v>59</v>
      </c>
      <c r="GG98" s="681">
        <v>73</v>
      </c>
      <c r="GH98" s="681">
        <v>53</v>
      </c>
      <c r="GI98" s="681">
        <v>55</v>
      </c>
      <c r="GJ98" s="681">
        <v>56</v>
      </c>
      <c r="GK98" s="681">
        <v>57</v>
      </c>
      <c r="GL98" s="681">
        <v>58</v>
      </c>
      <c r="GM98" s="681">
        <v>58</v>
      </c>
      <c r="GN98" s="681">
        <v>59</v>
      </c>
      <c r="GO98" s="681">
        <v>60</v>
      </c>
      <c r="GP98" s="681">
        <v>62</v>
      </c>
      <c r="GQ98" s="681">
        <v>62</v>
      </c>
      <c r="GR98" s="681">
        <v>62</v>
      </c>
      <c r="GS98" s="681">
        <v>62</v>
      </c>
      <c r="GT98" s="681">
        <v>65</v>
      </c>
      <c r="GU98" s="681">
        <v>65</v>
      </c>
      <c r="GV98" s="681">
        <v>65</v>
      </c>
      <c r="GW98" s="681">
        <v>67</v>
      </c>
      <c r="GX98" s="681">
        <v>67</v>
      </c>
      <c r="GY98" s="681">
        <v>68</v>
      </c>
      <c r="GZ98" s="681">
        <v>70</v>
      </c>
      <c r="HA98" s="681">
        <v>70</v>
      </c>
      <c r="HB98" s="681">
        <v>70</v>
      </c>
      <c r="HC98" s="681"/>
      <c r="HD98" s="750">
        <v>283</v>
      </c>
      <c r="HE98" s="681"/>
      <c r="HF98" s="681">
        <v>494</v>
      </c>
      <c r="HG98" s="681">
        <v>178</v>
      </c>
      <c r="HH98" s="714">
        <v>102.9</v>
      </c>
      <c r="HI98" s="714">
        <v>41.2</v>
      </c>
      <c r="HJ98" s="753">
        <v>0.249</v>
      </c>
      <c r="HK98" s="681">
        <v>78.7</v>
      </c>
      <c r="HL98" s="685">
        <v>3.58</v>
      </c>
      <c r="HM98" s="747">
        <v>3.56</v>
      </c>
      <c r="HN98" s="729" t="s">
        <v>899</v>
      </c>
      <c r="HO98" s="729" t="s">
        <v>900</v>
      </c>
      <c r="HP98" s="714">
        <v>-0.3</v>
      </c>
      <c r="HQ98" s="753">
        <v>0.976</v>
      </c>
      <c r="HR98" s="753">
        <v>0.99</v>
      </c>
      <c r="HS98" s="753">
        <v>0.992</v>
      </c>
      <c r="HT98" s="753">
        <v>0.996</v>
      </c>
      <c r="HU98" s="753">
        <v>0.999</v>
      </c>
      <c r="HV98" s="753">
        <v>0.999</v>
      </c>
      <c r="HW98" s="753">
        <v>0.999</v>
      </c>
      <c r="HX98" s="753">
        <v>0.999</v>
      </c>
      <c r="HY98" s="753">
        <v>0.999</v>
      </c>
      <c r="HZ98" s="753">
        <v>0.999</v>
      </c>
      <c r="IA98" s="753">
        <v>0.999</v>
      </c>
      <c r="IB98" s="753">
        <v>0.999</v>
      </c>
      <c r="IC98" s="753">
        <v>0.999</v>
      </c>
      <c r="ID98" s="753">
        <v>0.999</v>
      </c>
      <c r="IE98" s="753">
        <v>0.998</v>
      </c>
      <c r="IF98" s="753">
        <v>0.997</v>
      </c>
      <c r="IG98" s="753">
        <v>0.996</v>
      </c>
      <c r="IH98" s="753">
        <v>0.988</v>
      </c>
      <c r="II98" s="753">
        <v>0.972</v>
      </c>
      <c r="IJ98" s="753">
        <v>0.957</v>
      </c>
      <c r="IK98" s="753">
        <v>0.936</v>
      </c>
      <c r="IL98" s="753">
        <v>0.897</v>
      </c>
      <c r="IM98" s="753">
        <v>0.805</v>
      </c>
      <c r="IN98" s="753">
        <v>0.37</v>
      </c>
      <c r="IO98" s="753"/>
      <c r="IP98" s="753"/>
      <c r="IQ98" s="753"/>
      <c r="IR98" s="753"/>
      <c r="IS98" s="753"/>
      <c r="IT98" s="753"/>
      <c r="IU98" s="753"/>
      <c r="IV98" s="753"/>
      <c r="IW98" s="753"/>
      <c r="IX98" s="753"/>
      <c r="IY98" s="753"/>
      <c r="IZ98" s="753"/>
      <c r="JA98" s="754">
        <v>0.953</v>
      </c>
      <c r="JB98" s="754">
        <v>0.98</v>
      </c>
      <c r="JC98" s="754">
        <v>0.984</v>
      </c>
      <c r="JD98" s="754">
        <v>0.991</v>
      </c>
      <c r="JE98" s="754">
        <v>0.998</v>
      </c>
      <c r="JF98" s="754">
        <v>0.998</v>
      </c>
      <c r="JG98" s="754">
        <v>0.998</v>
      </c>
      <c r="JH98" s="754">
        <v>0.998</v>
      </c>
      <c r="JI98" s="754">
        <v>0.998</v>
      </c>
      <c r="JJ98" s="754">
        <v>0.998</v>
      </c>
      <c r="JK98" s="754">
        <v>0.998</v>
      </c>
      <c r="JL98" s="754">
        <v>0.998</v>
      </c>
      <c r="JM98" s="754">
        <v>0.998</v>
      </c>
      <c r="JN98" s="754">
        <v>0.998</v>
      </c>
      <c r="JO98" s="754">
        <v>0.996</v>
      </c>
      <c r="JP98" s="754">
        <v>0.994</v>
      </c>
      <c r="JQ98" s="754">
        <v>0.992</v>
      </c>
      <c r="JR98" s="754">
        <v>0.977</v>
      </c>
      <c r="JS98" s="754">
        <v>0.944</v>
      </c>
      <c r="JT98" s="754">
        <v>0.917</v>
      </c>
      <c r="JU98" s="754">
        <v>0.876</v>
      </c>
      <c r="JV98" s="754">
        <v>0.804</v>
      </c>
      <c r="JW98" s="754">
        <v>0.648</v>
      </c>
      <c r="JX98" s="754">
        <v>0.137</v>
      </c>
      <c r="JY98" s="754"/>
      <c r="JZ98" s="754"/>
      <c r="KA98" s="754"/>
      <c r="KB98" s="754"/>
      <c r="KC98" s="754"/>
      <c r="KD98" s="754"/>
      <c r="KE98" s="754"/>
      <c r="KF98" s="754"/>
      <c r="KG98" s="754"/>
      <c r="KH98" s="754"/>
      <c r="KI98" s="754"/>
      <c r="KJ98" s="754"/>
      <c r="KK98" s="765" t="s">
        <v>281</v>
      </c>
      <c r="KL98" s="738">
        <v>215</v>
      </c>
      <c r="KM98" s="738">
        <v>765</v>
      </c>
      <c r="KN98" s="646" t="s">
        <v>339</v>
      </c>
      <c r="KO98" s="646" t="s">
        <v>898</v>
      </c>
      <c r="KP98" s="680">
        <v>959175</v>
      </c>
      <c r="KQ98" s="766" t="s">
        <v>901</v>
      </c>
      <c r="KR98" s="750">
        <v>959175</v>
      </c>
      <c r="KS98" s="769" t="s">
        <v>902</v>
      </c>
      <c r="KT98" s="770">
        <v>959175</v>
      </c>
      <c r="KU98" s="766"/>
      <c r="KV98" s="750"/>
      <c r="KW98" s="771"/>
      <c r="KX98" s="750"/>
      <c r="KY98" s="769"/>
      <c r="KZ98" s="770"/>
    </row>
    <row r="99" s="628" customFormat="1" customHeight="1" spans="1:312">
      <c r="A99" s="682" t="s">
        <v>277</v>
      </c>
      <c r="B99" s="683">
        <v>95</v>
      </c>
      <c r="C99" s="689" t="s">
        <v>903</v>
      </c>
      <c r="D99" s="680">
        <v>613441</v>
      </c>
      <c r="E99" s="685">
        <v>44.11</v>
      </c>
      <c r="F99" s="685">
        <v>43.91</v>
      </c>
      <c r="G99" s="688">
        <v>0.013907</v>
      </c>
      <c r="H99" s="686">
        <v>0.014044</v>
      </c>
      <c r="I99" s="696">
        <v>1.57673</v>
      </c>
      <c r="J99" s="696">
        <v>1.58314</v>
      </c>
      <c r="K99" s="696">
        <v>1.59013</v>
      </c>
      <c r="L99" s="696">
        <v>1.59636</v>
      </c>
      <c r="M99" s="696">
        <v>1.59749</v>
      </c>
      <c r="N99" s="696">
        <v>1.59843</v>
      </c>
      <c r="O99" s="696">
        <v>1.60207</v>
      </c>
      <c r="P99" s="696">
        <v>1.60458</v>
      </c>
      <c r="Q99" s="697">
        <v>1.6069</v>
      </c>
      <c r="R99" s="697">
        <v>1.60924</v>
      </c>
      <c r="S99" s="697">
        <v>1.6099</v>
      </c>
      <c r="T99" s="701">
        <v>1.61051</v>
      </c>
      <c r="U99" s="697">
        <v>1.61327</v>
      </c>
      <c r="V99" s="697">
        <v>1.6134</v>
      </c>
      <c r="W99" s="697">
        <v>1.61669</v>
      </c>
      <c r="X99" s="697">
        <v>1.62315</v>
      </c>
      <c r="Y99" s="697">
        <v>1.62394</v>
      </c>
      <c r="Z99" s="697">
        <v>1.63097</v>
      </c>
      <c r="AA99" s="697">
        <v>1.63765</v>
      </c>
      <c r="AB99" s="697">
        <v>1.64956</v>
      </c>
      <c r="AC99" s="704">
        <v>2.5498901</v>
      </c>
      <c r="AD99" s="705">
        <v>-0.0124016345</v>
      </c>
      <c r="AE99" s="705">
        <v>0.0174291594</v>
      </c>
      <c r="AF99" s="705">
        <v>0.0010265633</v>
      </c>
      <c r="AG99" s="705">
        <v>-8.81502201e-5</v>
      </c>
      <c r="AH99" s="705">
        <v>6.75446845e-6</v>
      </c>
      <c r="AI99" s="709">
        <v>0.2991</v>
      </c>
      <c r="AJ99" s="709">
        <v>0.2366</v>
      </c>
      <c r="AK99" s="709">
        <v>0.5623</v>
      </c>
      <c r="AL99" s="709">
        <v>0.2492</v>
      </c>
      <c r="AM99" s="709">
        <v>0.2343</v>
      </c>
      <c r="AN99" s="709">
        <v>0.5006</v>
      </c>
      <c r="AO99" s="709">
        <v>-0.0013</v>
      </c>
      <c r="AP99" s="709">
        <v>-0.008</v>
      </c>
      <c r="AQ99" s="709">
        <v>0.0234</v>
      </c>
      <c r="AR99" s="709">
        <v>0.0093</v>
      </c>
      <c r="AS99" s="714">
        <v>4.3</v>
      </c>
      <c r="AT99" s="714">
        <v>4.3</v>
      </c>
      <c r="AU99" s="714">
        <v>4.3</v>
      </c>
      <c r="AV99" s="714">
        <v>4.4</v>
      </c>
      <c r="AW99" s="714">
        <v>4.4</v>
      </c>
      <c r="AX99" s="714">
        <v>4.4</v>
      </c>
      <c r="AY99" s="714">
        <v>4.5</v>
      </c>
      <c r="AZ99" s="714">
        <v>4.5</v>
      </c>
      <c r="BA99" s="714">
        <v>4.5</v>
      </c>
      <c r="BB99" s="714">
        <v>4.5</v>
      </c>
      <c r="BC99" s="714">
        <v>4.6</v>
      </c>
      <c r="BD99" s="714">
        <v>4.5</v>
      </c>
      <c r="BE99" s="714">
        <v>4.6</v>
      </c>
      <c r="BF99" s="714">
        <v>4.5</v>
      </c>
      <c r="BG99" s="714">
        <v>4.6</v>
      </c>
      <c r="BH99" s="714">
        <v>4.6</v>
      </c>
      <c r="BI99" s="714">
        <v>4.7</v>
      </c>
      <c r="BJ99" s="714">
        <v>4.8</v>
      </c>
      <c r="BK99" s="714">
        <v>4.9</v>
      </c>
      <c r="BL99" s="714">
        <v>4.9</v>
      </c>
      <c r="BM99" s="714">
        <v>5</v>
      </c>
      <c r="BN99" s="714">
        <v>5.1</v>
      </c>
      <c r="BO99" s="714">
        <v>4.6</v>
      </c>
      <c r="BP99" s="714">
        <v>4.7</v>
      </c>
      <c r="BQ99" s="714">
        <v>4.7</v>
      </c>
      <c r="BR99" s="714">
        <v>4.8</v>
      </c>
      <c r="BS99" s="714">
        <v>4.8</v>
      </c>
      <c r="BT99" s="714">
        <v>4.9</v>
      </c>
      <c r="BU99" s="714">
        <v>5</v>
      </c>
      <c r="BV99" s="714">
        <v>5.1</v>
      </c>
      <c r="BW99" s="714">
        <v>5.2</v>
      </c>
      <c r="BX99" s="714">
        <v>5.3</v>
      </c>
      <c r="BY99" s="714">
        <v>5.4</v>
      </c>
      <c r="BZ99" s="714">
        <v>4.7</v>
      </c>
      <c r="CA99" s="714">
        <v>4.8</v>
      </c>
      <c r="CB99" s="714">
        <v>4.8</v>
      </c>
      <c r="CC99" s="714">
        <v>4.9</v>
      </c>
      <c r="CD99" s="714">
        <v>4.9</v>
      </c>
      <c r="CE99" s="714">
        <v>5</v>
      </c>
      <c r="CF99" s="714">
        <v>5.1</v>
      </c>
      <c r="CG99" s="714">
        <v>5.2</v>
      </c>
      <c r="CH99" s="714">
        <v>5.2</v>
      </c>
      <c r="CI99" s="714">
        <v>5.3</v>
      </c>
      <c r="CJ99" s="714">
        <v>5.4</v>
      </c>
      <c r="CK99" s="714">
        <v>4.8</v>
      </c>
      <c r="CL99" s="715">
        <v>4.9</v>
      </c>
      <c r="CM99" s="715">
        <v>4.9</v>
      </c>
      <c r="CN99" s="715">
        <v>5</v>
      </c>
      <c r="CO99" s="715">
        <v>5</v>
      </c>
      <c r="CP99" s="715">
        <v>5.1</v>
      </c>
      <c r="CQ99" s="715">
        <v>5.2</v>
      </c>
      <c r="CR99" s="714">
        <v>5.3</v>
      </c>
      <c r="CS99" s="714">
        <v>5.3</v>
      </c>
      <c r="CT99" s="714">
        <v>5.4</v>
      </c>
      <c r="CU99" s="714">
        <v>5.5</v>
      </c>
      <c r="CV99" s="714">
        <v>5</v>
      </c>
      <c r="CW99" s="715">
        <v>5</v>
      </c>
      <c r="CX99" s="715">
        <v>5</v>
      </c>
      <c r="CY99" s="715">
        <v>5.1</v>
      </c>
      <c r="CZ99" s="715">
        <v>5.1</v>
      </c>
      <c r="DA99" s="715">
        <v>5.2</v>
      </c>
      <c r="DB99" s="715">
        <v>5.3</v>
      </c>
      <c r="DC99" s="714">
        <v>5.4</v>
      </c>
      <c r="DD99" s="714">
        <v>5.5</v>
      </c>
      <c r="DE99" s="714">
        <v>5.7</v>
      </c>
      <c r="DF99" s="714">
        <v>5.8</v>
      </c>
      <c r="DG99" s="714">
        <v>5.2</v>
      </c>
      <c r="DH99" s="715">
        <v>5.2</v>
      </c>
      <c r="DI99" s="715">
        <v>5.3</v>
      </c>
      <c r="DJ99" s="715">
        <v>5.4</v>
      </c>
      <c r="DK99" s="715">
        <v>5.4</v>
      </c>
      <c r="DL99" s="715">
        <v>5.5</v>
      </c>
      <c r="DM99" s="715">
        <v>5.6</v>
      </c>
      <c r="DN99" s="714">
        <v>5.7</v>
      </c>
      <c r="DO99" s="714">
        <v>5.8</v>
      </c>
      <c r="DP99" s="714">
        <v>6</v>
      </c>
      <c r="DQ99" s="714">
        <v>6.1</v>
      </c>
      <c r="DR99" s="714">
        <v>5.5</v>
      </c>
      <c r="DS99" s="715">
        <v>5.6</v>
      </c>
      <c r="DT99" s="715">
        <v>5.7</v>
      </c>
      <c r="DU99" s="715">
        <v>5.7</v>
      </c>
      <c r="DV99" s="715">
        <v>5.8</v>
      </c>
      <c r="DW99" s="715">
        <v>6</v>
      </c>
      <c r="DX99" s="715">
        <v>6</v>
      </c>
      <c r="DY99" s="714">
        <v>6.1</v>
      </c>
      <c r="DZ99" s="714">
        <v>6.2</v>
      </c>
      <c r="EA99" s="714">
        <v>6.3</v>
      </c>
      <c r="EB99" s="714">
        <v>6.5</v>
      </c>
      <c r="EC99" s="714">
        <v>5.6</v>
      </c>
      <c r="ED99" s="715">
        <v>5.7</v>
      </c>
      <c r="EE99" s="715">
        <v>5.8</v>
      </c>
      <c r="EF99" s="715">
        <v>5.8</v>
      </c>
      <c r="EG99" s="715">
        <v>5.9</v>
      </c>
      <c r="EH99" s="715">
        <v>6.1</v>
      </c>
      <c r="EI99" s="715">
        <v>6.1</v>
      </c>
      <c r="EJ99" s="714">
        <v>6.2</v>
      </c>
      <c r="EK99" s="714">
        <v>6.3</v>
      </c>
      <c r="EL99" s="714">
        <v>6.4</v>
      </c>
      <c r="EM99" s="714">
        <v>6.6</v>
      </c>
      <c r="EN99" s="714">
        <v>6.3</v>
      </c>
      <c r="EO99" s="715">
        <v>6.4</v>
      </c>
      <c r="EP99" s="715">
        <v>6.5</v>
      </c>
      <c r="EQ99" s="715">
        <v>6.6</v>
      </c>
      <c r="ER99" s="715">
        <v>6.7</v>
      </c>
      <c r="ES99" s="715">
        <v>6.8</v>
      </c>
      <c r="ET99" s="715">
        <v>6.9</v>
      </c>
      <c r="EU99" s="714">
        <v>7.1</v>
      </c>
      <c r="EV99" s="714">
        <v>7.2</v>
      </c>
      <c r="EW99" s="714">
        <v>7.3</v>
      </c>
      <c r="EX99" s="714">
        <v>7.5</v>
      </c>
      <c r="EY99" s="714">
        <v>2.2</v>
      </c>
      <c r="EZ99" s="715">
        <v>2.7</v>
      </c>
      <c r="FA99" s="715">
        <v>3</v>
      </c>
      <c r="FB99" s="715">
        <v>3.4</v>
      </c>
      <c r="FC99" s="715">
        <v>3.6</v>
      </c>
      <c r="FD99" s="715">
        <v>3.9</v>
      </c>
      <c r="FE99" s="715">
        <v>4.1</v>
      </c>
      <c r="FF99" s="714">
        <v>4.3</v>
      </c>
      <c r="FG99" s="714">
        <v>4.4</v>
      </c>
      <c r="FH99" s="714">
        <v>4.6</v>
      </c>
      <c r="FI99" s="714">
        <v>4.8</v>
      </c>
      <c r="FJ99" s="723">
        <v>5.46e-6</v>
      </c>
      <c r="FK99" s="723">
        <v>1.31e-8</v>
      </c>
      <c r="FL99" s="723">
        <v>-2.19e-11</v>
      </c>
      <c r="FM99" s="723">
        <v>4.56e-7</v>
      </c>
      <c r="FN99" s="723">
        <v>3.98e-10</v>
      </c>
      <c r="FO99" s="723">
        <v>0.295</v>
      </c>
      <c r="FP99" s="729">
        <v>1</v>
      </c>
      <c r="FQ99" s="729">
        <v>1</v>
      </c>
      <c r="FR99" s="729">
        <v>1</v>
      </c>
      <c r="FS99" s="729">
        <v>1</v>
      </c>
      <c r="FT99" s="729">
        <v>1</v>
      </c>
      <c r="FU99" s="729">
        <v>1</v>
      </c>
      <c r="FV99" s="681">
        <v>1</v>
      </c>
      <c r="FW99" s="729"/>
      <c r="FX99" s="729"/>
      <c r="FY99" s="729"/>
      <c r="FZ99" s="746">
        <v>579</v>
      </c>
      <c r="GA99" s="746">
        <v>623</v>
      </c>
      <c r="GB99" s="681">
        <v>504</v>
      </c>
      <c r="GC99" s="681">
        <v>547</v>
      </c>
      <c r="GD99" s="747">
        <v>0.97</v>
      </c>
      <c r="GE99" s="729"/>
      <c r="GF99" s="681">
        <v>62</v>
      </c>
      <c r="GG99" s="681">
        <v>78</v>
      </c>
      <c r="GH99" s="681">
        <v>55</v>
      </c>
      <c r="GI99" s="681">
        <v>56</v>
      </c>
      <c r="GJ99" s="681">
        <v>57</v>
      </c>
      <c r="GK99" s="681">
        <v>60</v>
      </c>
      <c r="GL99" s="681">
        <v>63</v>
      </c>
      <c r="GM99" s="681">
        <v>62</v>
      </c>
      <c r="GN99" s="681">
        <v>61</v>
      </c>
      <c r="GO99" s="681">
        <v>64</v>
      </c>
      <c r="GP99" s="681">
        <v>63</v>
      </c>
      <c r="GQ99" s="681">
        <v>66</v>
      </c>
      <c r="GR99" s="681">
        <v>65</v>
      </c>
      <c r="GS99" s="681">
        <v>66</v>
      </c>
      <c r="GT99" s="681">
        <v>68</v>
      </c>
      <c r="GU99" s="681">
        <v>66</v>
      </c>
      <c r="GV99" s="681">
        <v>73</v>
      </c>
      <c r="GW99" s="681">
        <v>69</v>
      </c>
      <c r="GX99" s="681">
        <v>68</v>
      </c>
      <c r="GY99" s="681">
        <v>72</v>
      </c>
      <c r="GZ99" s="681">
        <v>71</v>
      </c>
      <c r="HA99" s="681">
        <v>76</v>
      </c>
      <c r="HB99" s="681">
        <v>73</v>
      </c>
      <c r="HC99" s="681"/>
      <c r="HD99" s="750">
        <v>135</v>
      </c>
      <c r="HE99" s="681"/>
      <c r="HF99" s="681">
        <v>575</v>
      </c>
      <c r="HG99" s="681">
        <v>111</v>
      </c>
      <c r="HH99" s="714">
        <v>86.9</v>
      </c>
      <c r="HI99" s="714">
        <v>35.1</v>
      </c>
      <c r="HJ99" s="753">
        <v>0.238</v>
      </c>
      <c r="HK99" s="681">
        <v>63</v>
      </c>
      <c r="HL99" s="685">
        <v>3.28</v>
      </c>
      <c r="HM99" s="747">
        <v>2.84</v>
      </c>
      <c r="HN99" s="729" t="s">
        <v>470</v>
      </c>
      <c r="HO99" s="729" t="s">
        <v>904</v>
      </c>
      <c r="HP99" s="714">
        <v>-0.7</v>
      </c>
      <c r="HQ99" s="753">
        <v>0.885</v>
      </c>
      <c r="HR99" s="753">
        <v>0.953</v>
      </c>
      <c r="HS99" s="753">
        <v>0.994</v>
      </c>
      <c r="HT99" s="753">
        <v>0.999</v>
      </c>
      <c r="HU99" s="753">
        <v>0.999</v>
      </c>
      <c r="HV99" s="753">
        <v>0.999</v>
      </c>
      <c r="HW99" s="753">
        <v>0.999</v>
      </c>
      <c r="HX99" s="753">
        <v>0.999</v>
      </c>
      <c r="HY99" s="753">
        <v>0.999</v>
      </c>
      <c r="HZ99" s="753">
        <v>0.999</v>
      </c>
      <c r="IA99" s="753">
        <v>0.999</v>
      </c>
      <c r="IB99" s="753">
        <v>0.999</v>
      </c>
      <c r="IC99" s="753">
        <v>0.999</v>
      </c>
      <c r="ID99" s="753">
        <v>0.999</v>
      </c>
      <c r="IE99" s="753">
        <v>0.999</v>
      </c>
      <c r="IF99" s="753">
        <v>0.999</v>
      </c>
      <c r="IG99" s="753">
        <v>0.999</v>
      </c>
      <c r="IH99" s="753">
        <v>0.999</v>
      </c>
      <c r="II99" s="753">
        <v>0.998</v>
      </c>
      <c r="IJ99" s="753">
        <v>0.997</v>
      </c>
      <c r="IK99" s="753">
        <v>0.996</v>
      </c>
      <c r="IL99" s="753">
        <v>0.995</v>
      </c>
      <c r="IM99" s="753">
        <v>0.993</v>
      </c>
      <c r="IN99" s="753">
        <v>0.99</v>
      </c>
      <c r="IO99" s="753">
        <v>0.989</v>
      </c>
      <c r="IP99" s="753">
        <v>0.982</v>
      </c>
      <c r="IQ99" s="753">
        <v>0.97</v>
      </c>
      <c r="IR99" s="753">
        <v>0.948</v>
      </c>
      <c r="IS99" s="753">
        <v>0.903</v>
      </c>
      <c r="IT99" s="753">
        <v>0.828</v>
      </c>
      <c r="IU99" s="753">
        <v>0.647</v>
      </c>
      <c r="IV99" s="753">
        <v>0.239</v>
      </c>
      <c r="IW99" s="753"/>
      <c r="IX99" s="753"/>
      <c r="IY99" s="753"/>
      <c r="IZ99" s="753"/>
      <c r="JA99" s="754">
        <v>0.782</v>
      </c>
      <c r="JB99" s="754">
        <v>0.907</v>
      </c>
      <c r="JC99" s="754">
        <v>0.988</v>
      </c>
      <c r="JD99" s="754">
        <v>0.998</v>
      </c>
      <c r="JE99" s="754">
        <v>0.998</v>
      </c>
      <c r="JF99" s="754">
        <v>0.998</v>
      </c>
      <c r="JG99" s="754">
        <v>0.998</v>
      </c>
      <c r="JH99" s="754">
        <v>0.998</v>
      </c>
      <c r="JI99" s="754">
        <v>0.998</v>
      </c>
      <c r="JJ99" s="754">
        <v>0.998</v>
      </c>
      <c r="JK99" s="754">
        <v>0.998</v>
      </c>
      <c r="JL99" s="754">
        <v>0.998</v>
      </c>
      <c r="JM99" s="754">
        <v>0.998</v>
      </c>
      <c r="JN99" s="754">
        <v>0.998</v>
      </c>
      <c r="JO99" s="754">
        <v>0.998</v>
      </c>
      <c r="JP99" s="754">
        <v>0.998</v>
      </c>
      <c r="JQ99" s="754">
        <v>0.998</v>
      </c>
      <c r="JR99" s="754">
        <v>0.998</v>
      </c>
      <c r="JS99" s="754">
        <v>0.996</v>
      </c>
      <c r="JT99" s="754">
        <v>0.994</v>
      </c>
      <c r="JU99" s="754">
        <v>0.992</v>
      </c>
      <c r="JV99" s="754">
        <v>0.99</v>
      </c>
      <c r="JW99" s="754">
        <v>0.987</v>
      </c>
      <c r="JX99" s="754">
        <v>0.98</v>
      </c>
      <c r="JY99" s="754">
        <v>0.978</v>
      </c>
      <c r="JZ99" s="754">
        <v>0.964</v>
      </c>
      <c r="KA99" s="754">
        <v>0.941</v>
      </c>
      <c r="KB99" s="754">
        <v>0.899</v>
      </c>
      <c r="KC99" s="754">
        <v>0.815</v>
      </c>
      <c r="KD99" s="754">
        <v>0.685</v>
      </c>
      <c r="KE99" s="754">
        <v>0.418</v>
      </c>
      <c r="KF99" s="754">
        <v>0.057</v>
      </c>
      <c r="KG99" s="754"/>
      <c r="KH99" s="754"/>
      <c r="KI99" s="754"/>
      <c r="KJ99" s="754"/>
      <c r="KK99" s="765" t="s">
        <v>281</v>
      </c>
      <c r="KL99" s="738">
        <v>91</v>
      </c>
      <c r="KM99" s="738">
        <v>258</v>
      </c>
      <c r="KN99" s="646" t="s">
        <v>282</v>
      </c>
      <c r="KO99" s="646" t="s">
        <v>903</v>
      </c>
      <c r="KP99" s="680">
        <v>613441</v>
      </c>
      <c r="KQ99" s="766" t="s">
        <v>905</v>
      </c>
      <c r="KR99" s="750" t="s">
        <v>906</v>
      </c>
      <c r="KS99" s="769" t="s">
        <v>903</v>
      </c>
      <c r="KT99" s="770" t="s">
        <v>907</v>
      </c>
      <c r="KU99" s="766" t="s">
        <v>908</v>
      </c>
      <c r="KV99" s="750">
        <v>613444</v>
      </c>
      <c r="KW99" s="771"/>
      <c r="KX99" s="750"/>
      <c r="KY99" s="769" t="s">
        <v>909</v>
      </c>
      <c r="KZ99" s="770" t="s">
        <v>910</v>
      </c>
    </row>
    <row r="100" s="628" customFormat="1" customHeight="1" spans="1:312">
      <c r="A100" s="682" t="s">
        <v>374</v>
      </c>
      <c r="B100" s="683">
        <v>96</v>
      </c>
      <c r="C100" s="689" t="s">
        <v>911</v>
      </c>
      <c r="D100" s="680">
        <v>657511</v>
      </c>
      <c r="E100" s="685">
        <v>51.12</v>
      </c>
      <c r="F100" s="685">
        <v>50.88</v>
      </c>
      <c r="G100" s="688">
        <v>0.01285</v>
      </c>
      <c r="H100" s="686">
        <v>0.01297</v>
      </c>
      <c r="I100" s="696">
        <v>1.62663</v>
      </c>
      <c r="J100" s="696">
        <v>1.63127</v>
      </c>
      <c r="K100" s="696">
        <v>1.63649</v>
      </c>
      <c r="L100" s="696">
        <v>1.64148</v>
      </c>
      <c r="M100" s="696">
        <v>1.64245</v>
      </c>
      <c r="N100" s="696">
        <v>1.64326</v>
      </c>
      <c r="O100" s="696">
        <v>1.64648</v>
      </c>
      <c r="P100" s="696">
        <v>1.64877</v>
      </c>
      <c r="Q100" s="697">
        <v>1.65091</v>
      </c>
      <c r="R100" s="697">
        <v>1.65306</v>
      </c>
      <c r="S100" s="697">
        <v>1.65368</v>
      </c>
      <c r="T100" s="701">
        <v>1.65424</v>
      </c>
      <c r="U100" s="697">
        <v>1.6568</v>
      </c>
      <c r="V100" s="697">
        <v>1.65691</v>
      </c>
      <c r="W100" s="697">
        <v>1.65996</v>
      </c>
      <c r="X100" s="697">
        <v>1.66591</v>
      </c>
      <c r="Y100" s="697">
        <v>1.66665</v>
      </c>
      <c r="Z100" s="697">
        <v>1.67306</v>
      </c>
      <c r="AA100" s="697">
        <v>1.67907</v>
      </c>
      <c r="AB100" s="697">
        <v>1.68947</v>
      </c>
      <c r="AC100" s="704">
        <v>2.69121166</v>
      </c>
      <c r="AD100" s="705">
        <v>-0.00900413519</v>
      </c>
      <c r="AE100" s="705">
        <v>0.0183609733</v>
      </c>
      <c r="AF100" s="705">
        <v>0.000531180896</v>
      </c>
      <c r="AG100" s="705">
        <v>-2.10926709e-5</v>
      </c>
      <c r="AH100" s="705">
        <v>1.72686254e-6</v>
      </c>
      <c r="AI100" s="709">
        <v>0.2996</v>
      </c>
      <c r="AJ100" s="709">
        <v>0.2374</v>
      </c>
      <c r="AK100" s="709">
        <v>0.5564</v>
      </c>
      <c r="AL100" s="709">
        <v>0.249</v>
      </c>
      <c r="AM100" s="709">
        <v>0.2352</v>
      </c>
      <c r="AN100" s="709">
        <v>0.4942</v>
      </c>
      <c r="AO100" s="709">
        <v>0.0011</v>
      </c>
      <c r="AP100" s="709">
        <v>-0.0023</v>
      </c>
      <c r="AQ100" s="709">
        <v>-0.0252</v>
      </c>
      <c r="AR100" s="709">
        <v>-0.011</v>
      </c>
      <c r="AS100" s="714">
        <v>2.2</v>
      </c>
      <c r="AT100" s="714">
        <v>2.2</v>
      </c>
      <c r="AU100" s="714">
        <v>2.3</v>
      </c>
      <c r="AV100" s="714">
        <v>2.3</v>
      </c>
      <c r="AW100" s="714">
        <v>2.3</v>
      </c>
      <c r="AX100" s="714">
        <v>2.4</v>
      </c>
      <c r="AY100" s="714">
        <v>2.4</v>
      </c>
      <c r="AZ100" s="714">
        <v>2.6</v>
      </c>
      <c r="BA100" s="714">
        <v>2.7</v>
      </c>
      <c r="BB100" s="714">
        <v>2.7</v>
      </c>
      <c r="BC100" s="714">
        <v>2.9</v>
      </c>
      <c r="BD100" s="714">
        <v>2.5</v>
      </c>
      <c r="BE100" s="714">
        <v>2.5</v>
      </c>
      <c r="BF100" s="714">
        <v>2.6</v>
      </c>
      <c r="BG100" s="714">
        <v>2.6</v>
      </c>
      <c r="BH100" s="714">
        <v>2.6</v>
      </c>
      <c r="BI100" s="714">
        <v>2.7</v>
      </c>
      <c r="BJ100" s="714">
        <v>2.7</v>
      </c>
      <c r="BK100" s="714">
        <v>2.8</v>
      </c>
      <c r="BL100" s="714">
        <v>2.9</v>
      </c>
      <c r="BM100" s="714">
        <v>2.9</v>
      </c>
      <c r="BN100" s="714">
        <v>3</v>
      </c>
      <c r="BO100" s="714">
        <v>2.8</v>
      </c>
      <c r="BP100" s="714">
        <v>2.8</v>
      </c>
      <c r="BQ100" s="714">
        <v>2.8</v>
      </c>
      <c r="BR100" s="714">
        <v>2.8</v>
      </c>
      <c r="BS100" s="714">
        <v>2.9</v>
      </c>
      <c r="BT100" s="714">
        <v>2.9</v>
      </c>
      <c r="BU100" s="714">
        <v>2.9</v>
      </c>
      <c r="BV100" s="714">
        <v>3</v>
      </c>
      <c r="BW100" s="714">
        <v>3.1</v>
      </c>
      <c r="BX100" s="714">
        <v>3.2</v>
      </c>
      <c r="BY100" s="714">
        <v>3.3</v>
      </c>
      <c r="BZ100" s="714">
        <v>2.8</v>
      </c>
      <c r="CA100" s="714">
        <v>2.8</v>
      </c>
      <c r="CB100" s="714">
        <v>2.8</v>
      </c>
      <c r="CC100" s="714">
        <v>2.8</v>
      </c>
      <c r="CD100" s="714">
        <v>2.9</v>
      </c>
      <c r="CE100" s="714">
        <v>2.9</v>
      </c>
      <c r="CF100" s="714">
        <v>3</v>
      </c>
      <c r="CG100" s="714">
        <v>3.1</v>
      </c>
      <c r="CH100" s="714">
        <v>3.2</v>
      </c>
      <c r="CI100" s="714">
        <v>3.3</v>
      </c>
      <c r="CJ100" s="714">
        <v>3.4</v>
      </c>
      <c r="CK100" s="714">
        <v>2.8</v>
      </c>
      <c r="CL100" s="715">
        <v>2.8</v>
      </c>
      <c r="CM100" s="715">
        <v>2.9</v>
      </c>
      <c r="CN100" s="715">
        <v>2.9</v>
      </c>
      <c r="CO100" s="715">
        <v>2.9</v>
      </c>
      <c r="CP100" s="715">
        <v>3</v>
      </c>
      <c r="CQ100" s="715">
        <v>3.1</v>
      </c>
      <c r="CR100" s="714">
        <v>3.2</v>
      </c>
      <c r="CS100" s="714">
        <v>3.3</v>
      </c>
      <c r="CT100" s="714">
        <v>3.4</v>
      </c>
      <c r="CU100" s="714">
        <v>3.5</v>
      </c>
      <c r="CV100" s="714">
        <v>3</v>
      </c>
      <c r="CW100" s="715">
        <v>2.9</v>
      </c>
      <c r="CX100" s="715">
        <v>3.1</v>
      </c>
      <c r="CY100" s="715">
        <v>3.1</v>
      </c>
      <c r="CZ100" s="715">
        <v>3.1</v>
      </c>
      <c r="DA100" s="715">
        <v>3.2</v>
      </c>
      <c r="DB100" s="715">
        <v>3.3</v>
      </c>
      <c r="DC100" s="714">
        <v>3.4</v>
      </c>
      <c r="DD100" s="714">
        <v>3.4</v>
      </c>
      <c r="DE100" s="714">
        <v>3.6</v>
      </c>
      <c r="DF100" s="714">
        <v>3.8</v>
      </c>
      <c r="DG100" s="714">
        <v>3.2</v>
      </c>
      <c r="DH100" s="715">
        <v>3.2</v>
      </c>
      <c r="DI100" s="715">
        <v>3.2</v>
      </c>
      <c r="DJ100" s="715">
        <v>3.3</v>
      </c>
      <c r="DK100" s="715">
        <v>3.3</v>
      </c>
      <c r="DL100" s="715">
        <v>3.5</v>
      </c>
      <c r="DM100" s="715">
        <v>3.5</v>
      </c>
      <c r="DN100" s="714">
        <v>3.6</v>
      </c>
      <c r="DO100" s="714">
        <v>3.6</v>
      </c>
      <c r="DP100" s="714">
        <v>3.7</v>
      </c>
      <c r="DQ100" s="714">
        <v>3.9</v>
      </c>
      <c r="DR100" s="714">
        <v>3.6</v>
      </c>
      <c r="DS100" s="715">
        <v>3.6</v>
      </c>
      <c r="DT100" s="715">
        <v>3.7</v>
      </c>
      <c r="DU100" s="715">
        <v>3.7</v>
      </c>
      <c r="DV100" s="715">
        <v>3.7</v>
      </c>
      <c r="DW100" s="715">
        <v>3.9</v>
      </c>
      <c r="DX100" s="715">
        <v>4.1</v>
      </c>
      <c r="DY100" s="714">
        <v>4.2</v>
      </c>
      <c r="DZ100" s="714">
        <v>4.4</v>
      </c>
      <c r="EA100" s="714">
        <v>4.5</v>
      </c>
      <c r="EB100" s="714">
        <v>4.8</v>
      </c>
      <c r="EC100" s="714">
        <v>3.6</v>
      </c>
      <c r="ED100" s="715">
        <v>3.6</v>
      </c>
      <c r="EE100" s="715">
        <v>3.7</v>
      </c>
      <c r="EF100" s="715">
        <v>3.7</v>
      </c>
      <c r="EG100" s="715">
        <v>3.7</v>
      </c>
      <c r="EH100" s="715">
        <v>3.9</v>
      </c>
      <c r="EI100" s="715">
        <v>4.1</v>
      </c>
      <c r="EJ100" s="714">
        <v>4.2</v>
      </c>
      <c r="EK100" s="714">
        <v>4.4</v>
      </c>
      <c r="EL100" s="714">
        <v>4.5</v>
      </c>
      <c r="EM100" s="714">
        <v>4.9</v>
      </c>
      <c r="EN100" s="714">
        <v>4.2</v>
      </c>
      <c r="EO100" s="715">
        <v>4.2</v>
      </c>
      <c r="EP100" s="715">
        <v>4.3</v>
      </c>
      <c r="EQ100" s="715">
        <v>4.4</v>
      </c>
      <c r="ER100" s="715">
        <v>4.4</v>
      </c>
      <c r="ES100" s="715">
        <v>4.5</v>
      </c>
      <c r="ET100" s="715">
        <v>4.7</v>
      </c>
      <c r="EU100" s="714">
        <v>4.8</v>
      </c>
      <c r="EV100" s="714">
        <v>5.1</v>
      </c>
      <c r="EW100" s="714">
        <v>5.2</v>
      </c>
      <c r="EX100" s="714">
        <v>5.5</v>
      </c>
      <c r="EY100" s="714">
        <v>0.1</v>
      </c>
      <c r="EZ100" s="715">
        <v>0.6</v>
      </c>
      <c r="FA100" s="715">
        <v>1</v>
      </c>
      <c r="FB100" s="715">
        <v>1.2</v>
      </c>
      <c r="FC100" s="715">
        <v>1.5</v>
      </c>
      <c r="FD100" s="715">
        <v>1.7</v>
      </c>
      <c r="FE100" s="715">
        <v>2</v>
      </c>
      <c r="FF100" s="714">
        <v>2.2</v>
      </c>
      <c r="FG100" s="714">
        <v>2.4</v>
      </c>
      <c r="FH100" s="714">
        <v>2.6</v>
      </c>
      <c r="FI100" s="714">
        <v>2.8</v>
      </c>
      <c r="FJ100" s="723">
        <v>1.08e-6</v>
      </c>
      <c r="FK100" s="723">
        <v>1.18e-8</v>
      </c>
      <c r="FL100" s="723">
        <v>-1.5e-11</v>
      </c>
      <c r="FM100" s="723">
        <v>4.84e-7</v>
      </c>
      <c r="FN100" s="723">
        <v>5.39e-10</v>
      </c>
      <c r="FO100" s="723">
        <v>0.27</v>
      </c>
      <c r="FP100" s="729">
        <v>1</v>
      </c>
      <c r="FQ100" s="729">
        <v>3</v>
      </c>
      <c r="FR100" s="729">
        <v>1</v>
      </c>
      <c r="FS100" s="729">
        <v>3</v>
      </c>
      <c r="FT100" s="729">
        <v>2</v>
      </c>
      <c r="FU100" s="729">
        <v>2</v>
      </c>
      <c r="FV100" s="681">
        <v>1</v>
      </c>
      <c r="FW100" s="729"/>
      <c r="FX100" s="729"/>
      <c r="FY100" s="729"/>
      <c r="FZ100" s="746">
        <v>654</v>
      </c>
      <c r="GA100" s="746">
        <v>705</v>
      </c>
      <c r="GB100" s="681">
        <v>590</v>
      </c>
      <c r="GC100" s="681">
        <v>631</v>
      </c>
      <c r="GD100" s="747">
        <v>0.82</v>
      </c>
      <c r="GE100" s="729"/>
      <c r="GF100" s="681">
        <v>74</v>
      </c>
      <c r="GG100" s="681">
        <v>88</v>
      </c>
      <c r="GH100" s="681">
        <v>67</v>
      </c>
      <c r="GI100" s="681">
        <v>70</v>
      </c>
      <c r="GJ100" s="681">
        <v>71</v>
      </c>
      <c r="GK100" s="681">
        <v>72</v>
      </c>
      <c r="GL100" s="681">
        <v>74</v>
      </c>
      <c r="GM100" s="681">
        <v>75</v>
      </c>
      <c r="GN100" s="681">
        <v>76</v>
      </c>
      <c r="GO100" s="681">
        <v>76</v>
      </c>
      <c r="GP100" s="681">
        <v>77</v>
      </c>
      <c r="GQ100" s="681">
        <v>78</v>
      </c>
      <c r="GR100" s="681">
        <v>78</v>
      </c>
      <c r="GS100" s="681">
        <v>79</v>
      </c>
      <c r="GT100" s="681">
        <v>80</v>
      </c>
      <c r="GU100" s="681">
        <v>81</v>
      </c>
      <c r="GV100" s="681">
        <v>82</v>
      </c>
      <c r="GW100" s="681">
        <v>83</v>
      </c>
      <c r="GX100" s="681">
        <v>83</v>
      </c>
      <c r="GY100" s="681">
        <v>84</v>
      </c>
      <c r="GZ100" s="681">
        <v>85</v>
      </c>
      <c r="HA100" s="681">
        <v>86</v>
      </c>
      <c r="HB100" s="681">
        <v>87</v>
      </c>
      <c r="HC100" s="681"/>
      <c r="HD100" s="750">
        <v>105</v>
      </c>
      <c r="HE100" s="681"/>
      <c r="HF100" s="681">
        <v>520</v>
      </c>
      <c r="HG100" s="681">
        <v>139</v>
      </c>
      <c r="HH100" s="714">
        <v>80.4</v>
      </c>
      <c r="HI100" s="714">
        <v>31.1</v>
      </c>
      <c r="HJ100" s="753">
        <v>0.292</v>
      </c>
      <c r="HK100" s="681">
        <v>77</v>
      </c>
      <c r="HL100" s="685">
        <v>1.83</v>
      </c>
      <c r="HM100" s="747">
        <v>3.89</v>
      </c>
      <c r="HN100" s="729" t="s">
        <v>676</v>
      </c>
      <c r="HO100" s="729" t="s">
        <v>912</v>
      </c>
      <c r="HP100" s="714">
        <v>-0.2</v>
      </c>
      <c r="HQ100" s="753">
        <v>0.938</v>
      </c>
      <c r="HR100" s="753">
        <v>0.973</v>
      </c>
      <c r="HS100" s="753">
        <v>0.99</v>
      </c>
      <c r="HT100" s="753">
        <v>0.999</v>
      </c>
      <c r="HU100" s="753">
        <v>0.999</v>
      </c>
      <c r="HV100" s="753">
        <v>0.999</v>
      </c>
      <c r="HW100" s="753">
        <v>0.999</v>
      </c>
      <c r="HX100" s="753">
        <v>0.999</v>
      </c>
      <c r="HY100" s="753">
        <v>0.999</v>
      </c>
      <c r="HZ100" s="753">
        <v>0.999</v>
      </c>
      <c r="IA100" s="753">
        <v>0.999</v>
      </c>
      <c r="IB100" s="753">
        <v>0.999</v>
      </c>
      <c r="IC100" s="753">
        <v>0.999</v>
      </c>
      <c r="ID100" s="753">
        <v>0.999</v>
      </c>
      <c r="IE100" s="753">
        <v>0.999</v>
      </c>
      <c r="IF100" s="753">
        <v>0.999</v>
      </c>
      <c r="IG100" s="753">
        <v>0.999</v>
      </c>
      <c r="IH100" s="753">
        <v>0.999</v>
      </c>
      <c r="II100" s="753">
        <v>0.999</v>
      </c>
      <c r="IJ100" s="753">
        <v>0.999</v>
      </c>
      <c r="IK100" s="753">
        <v>0.999</v>
      </c>
      <c r="IL100" s="753">
        <v>0.997</v>
      </c>
      <c r="IM100" s="753">
        <v>0.994</v>
      </c>
      <c r="IN100" s="753">
        <v>0.991</v>
      </c>
      <c r="IO100" s="753">
        <v>0.987</v>
      </c>
      <c r="IP100" s="753">
        <v>0.976</v>
      </c>
      <c r="IQ100" s="753">
        <v>0.952</v>
      </c>
      <c r="IR100" s="753">
        <v>0.894</v>
      </c>
      <c r="IS100" s="753">
        <v>0.782</v>
      </c>
      <c r="IT100" s="753">
        <v>0.555</v>
      </c>
      <c r="IU100" s="753">
        <v>0.217</v>
      </c>
      <c r="IV100" s="753"/>
      <c r="IW100" s="753"/>
      <c r="IX100" s="753"/>
      <c r="IY100" s="753"/>
      <c r="IZ100" s="753"/>
      <c r="JA100" s="754">
        <v>0.88</v>
      </c>
      <c r="JB100" s="754">
        <v>0.947</v>
      </c>
      <c r="JC100" s="754">
        <v>0.98</v>
      </c>
      <c r="JD100" s="754">
        <v>0.998</v>
      </c>
      <c r="JE100" s="754">
        <v>0.998</v>
      </c>
      <c r="JF100" s="754">
        <v>0.998</v>
      </c>
      <c r="JG100" s="754">
        <v>0.998</v>
      </c>
      <c r="JH100" s="754">
        <v>0.998</v>
      </c>
      <c r="JI100" s="754">
        <v>0.998</v>
      </c>
      <c r="JJ100" s="754">
        <v>0.998</v>
      </c>
      <c r="JK100" s="754">
        <v>0.998</v>
      </c>
      <c r="JL100" s="754">
        <v>0.998</v>
      </c>
      <c r="JM100" s="754">
        <v>0.998</v>
      </c>
      <c r="JN100" s="754">
        <v>0.998</v>
      </c>
      <c r="JO100" s="754">
        <v>0.998</v>
      </c>
      <c r="JP100" s="754">
        <v>0.998</v>
      </c>
      <c r="JQ100" s="754">
        <v>0.998</v>
      </c>
      <c r="JR100" s="754">
        <v>0.998</v>
      </c>
      <c r="JS100" s="754">
        <v>0.998</v>
      </c>
      <c r="JT100" s="754">
        <v>0.998</v>
      </c>
      <c r="JU100" s="754">
        <v>0.998</v>
      </c>
      <c r="JV100" s="754">
        <v>0.994</v>
      </c>
      <c r="JW100" s="754">
        <v>0.988</v>
      </c>
      <c r="JX100" s="754">
        <v>0.981</v>
      </c>
      <c r="JY100" s="754">
        <v>0.968</v>
      </c>
      <c r="JZ100" s="754">
        <v>0.945</v>
      </c>
      <c r="KA100" s="754">
        <v>0.899</v>
      </c>
      <c r="KB100" s="754">
        <v>0.798</v>
      </c>
      <c r="KC100" s="754">
        <v>0.611</v>
      </c>
      <c r="KD100" s="754">
        <v>0.308</v>
      </c>
      <c r="KE100" s="754">
        <v>0.05</v>
      </c>
      <c r="KF100" s="754"/>
      <c r="KG100" s="754"/>
      <c r="KH100" s="754"/>
      <c r="KI100" s="754"/>
      <c r="KJ100" s="754"/>
      <c r="KK100" s="765" t="s">
        <v>281</v>
      </c>
      <c r="KL100" s="738">
        <v>27</v>
      </c>
      <c r="KM100" s="738">
        <v>105</v>
      </c>
      <c r="KN100" s="646" t="s">
        <v>339</v>
      </c>
      <c r="KO100" s="646" t="s">
        <v>911</v>
      </c>
      <c r="KP100" s="680">
        <v>657511</v>
      </c>
      <c r="KQ100" s="766" t="s">
        <v>913</v>
      </c>
      <c r="KR100" s="750" t="s">
        <v>914</v>
      </c>
      <c r="KS100" s="769" t="s">
        <v>911</v>
      </c>
      <c r="KT100" s="770" t="s">
        <v>915</v>
      </c>
      <c r="KU100" s="766" t="s">
        <v>916</v>
      </c>
      <c r="KV100" s="750">
        <v>658509</v>
      </c>
      <c r="KW100" s="771"/>
      <c r="KX100" s="750"/>
      <c r="KY100" s="769" t="s">
        <v>917</v>
      </c>
      <c r="KZ100" s="770" t="s">
        <v>914</v>
      </c>
    </row>
    <row r="101" s="628" customFormat="1" customHeight="1" spans="1:312">
      <c r="A101" s="682" t="s">
        <v>374</v>
      </c>
      <c r="B101" s="683">
        <v>97</v>
      </c>
      <c r="C101" s="689" t="s">
        <v>918</v>
      </c>
      <c r="D101" s="680">
        <v>671473</v>
      </c>
      <c r="E101" s="685">
        <v>47.29</v>
      </c>
      <c r="F101" s="685">
        <v>46.99</v>
      </c>
      <c r="G101" s="688">
        <v>0.01419</v>
      </c>
      <c r="H101" s="686">
        <v>0.014353</v>
      </c>
      <c r="I101" s="696">
        <v>1.63768</v>
      </c>
      <c r="J101" s="696">
        <v>1.64279</v>
      </c>
      <c r="K101" s="696">
        <v>1.64857</v>
      </c>
      <c r="L101" s="696">
        <v>1.6541</v>
      </c>
      <c r="M101" s="696">
        <v>1.65517</v>
      </c>
      <c r="N101" s="696">
        <v>1.65606</v>
      </c>
      <c r="O101" s="696">
        <v>1.65961</v>
      </c>
      <c r="P101" s="696">
        <v>1.66211</v>
      </c>
      <c r="Q101" s="697">
        <v>1.66444</v>
      </c>
      <c r="R101" s="697">
        <v>1.6668</v>
      </c>
      <c r="S101" s="697">
        <v>1.66746</v>
      </c>
      <c r="T101" s="701">
        <v>1.66809</v>
      </c>
      <c r="U101" s="697">
        <v>1.67091</v>
      </c>
      <c r="V101" s="697">
        <v>1.67103</v>
      </c>
      <c r="W101" s="697">
        <v>1.6744</v>
      </c>
      <c r="X101" s="697">
        <v>1.68099</v>
      </c>
      <c r="Y101" s="697">
        <v>1.68182</v>
      </c>
      <c r="Z101" s="697">
        <v>1.68902</v>
      </c>
      <c r="AA101" s="697">
        <v>1.69578</v>
      </c>
      <c r="AB101" s="697">
        <v>1.70732</v>
      </c>
      <c r="AC101" s="704">
        <v>2.73214288</v>
      </c>
      <c r="AD101" s="705">
        <v>-0.0099957311</v>
      </c>
      <c r="AE101" s="705">
        <v>0.0210627506</v>
      </c>
      <c r="AF101" s="705">
        <v>9.1410415e-5</v>
      </c>
      <c r="AG101" s="705">
        <v>9.31355399e-5</v>
      </c>
      <c r="AH101" s="705">
        <v>-5.82600014e-6</v>
      </c>
      <c r="AI101" s="709">
        <v>0.2981</v>
      </c>
      <c r="AJ101" s="709">
        <v>0.2375</v>
      </c>
      <c r="AK101" s="709">
        <v>0.5659</v>
      </c>
      <c r="AL101" s="709">
        <v>0.2487</v>
      </c>
      <c r="AM101" s="709">
        <v>0.2348</v>
      </c>
      <c r="AN101" s="709">
        <v>0.5016</v>
      </c>
      <c r="AO101" s="709">
        <v>0.0003</v>
      </c>
      <c r="AP101" s="709">
        <v>0.0008</v>
      </c>
      <c r="AQ101" s="709">
        <v>-0.0124</v>
      </c>
      <c r="AR101" s="709">
        <v>-0.0072</v>
      </c>
      <c r="AS101" s="714">
        <v>2.4</v>
      </c>
      <c r="AT101" s="714">
        <v>2.5</v>
      </c>
      <c r="AU101" s="714">
        <v>2.7</v>
      </c>
      <c r="AV101" s="714">
        <v>2.7</v>
      </c>
      <c r="AW101" s="714">
        <v>2.8</v>
      </c>
      <c r="AX101" s="714">
        <v>3</v>
      </c>
      <c r="AY101" s="714">
        <v>3.1</v>
      </c>
      <c r="AZ101" s="714">
        <v>3.2</v>
      </c>
      <c r="BA101" s="714">
        <v>3.3</v>
      </c>
      <c r="BB101" s="714">
        <v>3.3</v>
      </c>
      <c r="BC101" s="714">
        <v>3.4</v>
      </c>
      <c r="BD101" s="714">
        <v>2.8</v>
      </c>
      <c r="BE101" s="714">
        <v>2.9</v>
      </c>
      <c r="BF101" s="714">
        <v>3.1</v>
      </c>
      <c r="BG101" s="714">
        <v>3.2</v>
      </c>
      <c r="BH101" s="714">
        <v>3.3</v>
      </c>
      <c r="BI101" s="714">
        <v>3.4</v>
      </c>
      <c r="BJ101" s="714">
        <v>3.6</v>
      </c>
      <c r="BK101" s="714">
        <v>3.7</v>
      </c>
      <c r="BL101" s="714">
        <v>3.9</v>
      </c>
      <c r="BM101" s="714">
        <v>4</v>
      </c>
      <c r="BN101" s="714">
        <v>4</v>
      </c>
      <c r="BO101" s="714">
        <v>3</v>
      </c>
      <c r="BP101" s="714">
        <v>3.2</v>
      </c>
      <c r="BQ101" s="714">
        <v>3.4</v>
      </c>
      <c r="BR101" s="714">
        <v>3.7</v>
      </c>
      <c r="BS101" s="714">
        <v>3.9</v>
      </c>
      <c r="BT101" s="714">
        <v>4.1</v>
      </c>
      <c r="BU101" s="714">
        <v>4.3</v>
      </c>
      <c r="BV101" s="714">
        <v>4.4</v>
      </c>
      <c r="BW101" s="714">
        <v>4.6</v>
      </c>
      <c r="BX101" s="714">
        <v>4.7</v>
      </c>
      <c r="BY101" s="714">
        <v>4.8</v>
      </c>
      <c r="BZ101" s="714">
        <v>3.1</v>
      </c>
      <c r="CA101" s="714">
        <v>3.3</v>
      </c>
      <c r="CB101" s="714">
        <v>3.5</v>
      </c>
      <c r="CC101" s="714">
        <v>3.8</v>
      </c>
      <c r="CD101" s="714">
        <v>4</v>
      </c>
      <c r="CE101" s="714">
        <v>4.2</v>
      </c>
      <c r="CF101" s="714">
        <v>4.4</v>
      </c>
      <c r="CG101" s="714">
        <v>4.5</v>
      </c>
      <c r="CH101" s="714">
        <v>4.7</v>
      </c>
      <c r="CI101" s="714">
        <v>4.8</v>
      </c>
      <c r="CJ101" s="714">
        <v>4.9</v>
      </c>
      <c r="CK101" s="714">
        <v>3.2</v>
      </c>
      <c r="CL101" s="715">
        <v>3.4</v>
      </c>
      <c r="CM101" s="715">
        <v>3.6</v>
      </c>
      <c r="CN101" s="715">
        <v>3.9</v>
      </c>
      <c r="CO101" s="715">
        <v>4.1</v>
      </c>
      <c r="CP101" s="715">
        <v>4.3</v>
      </c>
      <c r="CQ101" s="715">
        <v>4.4</v>
      </c>
      <c r="CR101" s="714">
        <v>4.5</v>
      </c>
      <c r="CS101" s="714">
        <v>4.7</v>
      </c>
      <c r="CT101" s="714">
        <v>4.8</v>
      </c>
      <c r="CU101" s="714">
        <v>4.9</v>
      </c>
      <c r="CV101" s="714">
        <v>3.4</v>
      </c>
      <c r="CW101" s="715">
        <v>3.5</v>
      </c>
      <c r="CX101" s="715">
        <v>3.7</v>
      </c>
      <c r="CY101" s="715">
        <v>4</v>
      </c>
      <c r="CZ101" s="715">
        <v>4.2</v>
      </c>
      <c r="DA101" s="715">
        <v>4.4</v>
      </c>
      <c r="DB101" s="715">
        <v>4.5</v>
      </c>
      <c r="DC101" s="714">
        <v>4.6</v>
      </c>
      <c r="DD101" s="714">
        <v>4.8</v>
      </c>
      <c r="DE101" s="714">
        <v>4.9</v>
      </c>
      <c r="DF101" s="714">
        <v>5</v>
      </c>
      <c r="DG101" s="714">
        <v>3.9</v>
      </c>
      <c r="DH101" s="715">
        <v>4</v>
      </c>
      <c r="DI101" s="715">
        <v>4.1</v>
      </c>
      <c r="DJ101" s="715">
        <v>4.2</v>
      </c>
      <c r="DK101" s="715">
        <v>4.3</v>
      </c>
      <c r="DL101" s="715">
        <v>4.5</v>
      </c>
      <c r="DM101" s="715">
        <v>4.6</v>
      </c>
      <c r="DN101" s="714">
        <v>4.7</v>
      </c>
      <c r="DO101" s="714">
        <v>4.9</v>
      </c>
      <c r="DP101" s="714">
        <v>5</v>
      </c>
      <c r="DQ101" s="714">
        <v>5.2</v>
      </c>
      <c r="DR101" s="714">
        <v>4.5</v>
      </c>
      <c r="DS101" s="715">
        <v>4.6</v>
      </c>
      <c r="DT101" s="715">
        <v>4.7</v>
      </c>
      <c r="DU101" s="715">
        <v>4.8</v>
      </c>
      <c r="DV101" s="715">
        <v>4.9</v>
      </c>
      <c r="DW101" s="715">
        <v>5</v>
      </c>
      <c r="DX101" s="715">
        <v>5.1</v>
      </c>
      <c r="DY101" s="714">
        <v>5.2</v>
      </c>
      <c r="DZ101" s="714">
        <v>5.3</v>
      </c>
      <c r="EA101" s="714">
        <v>5.4</v>
      </c>
      <c r="EB101" s="714">
        <v>5.6</v>
      </c>
      <c r="EC101" s="714">
        <v>4.6</v>
      </c>
      <c r="ED101" s="715">
        <v>4.8</v>
      </c>
      <c r="EE101" s="715">
        <v>4.8</v>
      </c>
      <c r="EF101" s="715">
        <v>4.9</v>
      </c>
      <c r="EG101" s="715">
        <v>5</v>
      </c>
      <c r="EH101" s="715">
        <v>5.1</v>
      </c>
      <c r="EI101" s="715">
        <v>5.2</v>
      </c>
      <c r="EJ101" s="714">
        <v>5.3</v>
      </c>
      <c r="EK101" s="714">
        <v>5.4</v>
      </c>
      <c r="EL101" s="714">
        <v>5.5</v>
      </c>
      <c r="EM101" s="714">
        <v>5.6</v>
      </c>
      <c r="EN101" s="714">
        <v>5</v>
      </c>
      <c r="EO101" s="715">
        <v>5.2</v>
      </c>
      <c r="EP101" s="715">
        <v>5.3</v>
      </c>
      <c r="EQ101" s="715">
        <v>5.4</v>
      </c>
      <c r="ER101" s="715">
        <v>5.5</v>
      </c>
      <c r="ES101" s="715">
        <v>5.6</v>
      </c>
      <c r="ET101" s="715">
        <v>5.8</v>
      </c>
      <c r="EU101" s="714">
        <v>5.9</v>
      </c>
      <c r="EV101" s="714">
        <v>6.1</v>
      </c>
      <c r="EW101" s="714">
        <v>6.2</v>
      </c>
      <c r="EX101" s="714">
        <v>6.3</v>
      </c>
      <c r="EY101" s="714">
        <v>0.5</v>
      </c>
      <c r="EZ101" s="715">
        <v>1.1</v>
      </c>
      <c r="FA101" s="715">
        <v>1.7</v>
      </c>
      <c r="FB101" s="715">
        <v>2.2</v>
      </c>
      <c r="FC101" s="715">
        <v>2.7</v>
      </c>
      <c r="FD101" s="715">
        <v>3</v>
      </c>
      <c r="FE101" s="715">
        <v>3.3</v>
      </c>
      <c r="FF101" s="714">
        <v>3.5</v>
      </c>
      <c r="FG101" s="714">
        <v>3.8</v>
      </c>
      <c r="FH101" s="714">
        <v>4</v>
      </c>
      <c r="FI101" s="714">
        <v>4.2</v>
      </c>
      <c r="FJ101" s="723">
        <v>1.66e-6</v>
      </c>
      <c r="FK101" s="723">
        <v>1.91e-8</v>
      </c>
      <c r="FL101" s="723">
        <v>-3.14e-11</v>
      </c>
      <c r="FM101" s="723">
        <v>1.03e-6</v>
      </c>
      <c r="FN101" s="723">
        <v>-3.69e-10</v>
      </c>
      <c r="FO101" s="723">
        <v>7.88e-9</v>
      </c>
      <c r="FP101" s="729">
        <v>1</v>
      </c>
      <c r="FQ101" s="729">
        <v>3</v>
      </c>
      <c r="FR101" s="729">
        <v>1</v>
      </c>
      <c r="FS101" s="729">
        <v>2</v>
      </c>
      <c r="FT101" s="729">
        <v>2</v>
      </c>
      <c r="FU101" s="729">
        <v>2</v>
      </c>
      <c r="FV101" s="681">
        <v>1</v>
      </c>
      <c r="FW101" s="729"/>
      <c r="FX101" s="729"/>
      <c r="FY101" s="729"/>
      <c r="FZ101" s="746">
        <v>583</v>
      </c>
      <c r="GA101" s="746">
        <v>652</v>
      </c>
      <c r="GB101" s="681">
        <v>540</v>
      </c>
      <c r="GC101" s="681">
        <v>580</v>
      </c>
      <c r="GD101" s="747">
        <v>0.7</v>
      </c>
      <c r="GE101" s="729"/>
      <c r="GF101" s="681">
        <v>78</v>
      </c>
      <c r="GG101" s="681">
        <v>94</v>
      </c>
      <c r="GH101" s="681">
        <v>69</v>
      </c>
      <c r="GI101" s="681">
        <v>71</v>
      </c>
      <c r="GJ101" s="681">
        <v>74</v>
      </c>
      <c r="GK101" s="681">
        <v>75</v>
      </c>
      <c r="GL101" s="681">
        <v>77</v>
      </c>
      <c r="GM101" s="681">
        <v>78</v>
      </c>
      <c r="GN101" s="681">
        <v>79</v>
      </c>
      <c r="GO101" s="681">
        <v>80</v>
      </c>
      <c r="GP101" s="681">
        <v>81</v>
      </c>
      <c r="GQ101" s="681">
        <v>82</v>
      </c>
      <c r="GR101" s="681">
        <v>82</v>
      </c>
      <c r="GS101" s="681">
        <v>83</v>
      </c>
      <c r="GT101" s="681">
        <v>85</v>
      </c>
      <c r="GU101" s="681">
        <v>86</v>
      </c>
      <c r="GV101" s="681">
        <v>87</v>
      </c>
      <c r="GW101" s="681">
        <v>88</v>
      </c>
      <c r="GX101" s="681">
        <v>89</v>
      </c>
      <c r="GY101" s="681">
        <v>90</v>
      </c>
      <c r="GZ101" s="681">
        <v>91</v>
      </c>
      <c r="HA101" s="681">
        <v>92</v>
      </c>
      <c r="HB101" s="681">
        <v>93</v>
      </c>
      <c r="HC101" s="681"/>
      <c r="HD101" s="750"/>
      <c r="HE101" s="681"/>
      <c r="HF101" s="681">
        <v>626</v>
      </c>
      <c r="HG101" s="681">
        <v>140</v>
      </c>
      <c r="HH101" s="714">
        <v>97</v>
      </c>
      <c r="HI101" s="714">
        <v>38.1</v>
      </c>
      <c r="HJ101" s="753">
        <v>0.273</v>
      </c>
      <c r="HK101" s="681"/>
      <c r="HL101" s="685">
        <v>1.74</v>
      </c>
      <c r="HM101" s="747">
        <v>3.58</v>
      </c>
      <c r="HN101" s="729" t="s">
        <v>919</v>
      </c>
      <c r="HO101" s="729" t="s">
        <v>920</v>
      </c>
      <c r="HP101" s="714">
        <v>-0.4</v>
      </c>
      <c r="HQ101" s="753">
        <v>0.943</v>
      </c>
      <c r="HR101" s="753">
        <v>0.971</v>
      </c>
      <c r="HS101" s="753">
        <v>0.986</v>
      </c>
      <c r="HT101" s="753">
        <v>0.992</v>
      </c>
      <c r="HU101" s="753">
        <v>0.998</v>
      </c>
      <c r="HV101" s="753">
        <v>0.999</v>
      </c>
      <c r="HW101" s="753">
        <v>0.999</v>
      </c>
      <c r="HX101" s="753">
        <v>0.999</v>
      </c>
      <c r="HY101" s="753">
        <v>0.999</v>
      </c>
      <c r="HZ101" s="753">
        <v>0.999</v>
      </c>
      <c r="IA101" s="753">
        <v>0.998</v>
      </c>
      <c r="IB101" s="753">
        <v>0.998</v>
      </c>
      <c r="IC101" s="753">
        <v>0.995</v>
      </c>
      <c r="ID101" s="753">
        <v>0.995</v>
      </c>
      <c r="IE101" s="753">
        <v>0.995</v>
      </c>
      <c r="IF101" s="753">
        <v>0.995</v>
      </c>
      <c r="IG101" s="753">
        <v>0.994</v>
      </c>
      <c r="IH101" s="753">
        <v>0.994</v>
      </c>
      <c r="II101" s="753">
        <v>0.992</v>
      </c>
      <c r="IJ101" s="753">
        <v>0.991</v>
      </c>
      <c r="IK101" s="753">
        <v>0.99</v>
      </c>
      <c r="IL101" s="753">
        <v>0.988</v>
      </c>
      <c r="IM101" s="753">
        <v>0.985</v>
      </c>
      <c r="IN101" s="753">
        <v>0.976</v>
      </c>
      <c r="IO101" s="753">
        <v>0.964</v>
      </c>
      <c r="IP101" s="753">
        <v>0.941</v>
      </c>
      <c r="IQ101" s="753">
        <v>0.89</v>
      </c>
      <c r="IR101" s="753">
        <v>0.79</v>
      </c>
      <c r="IS101" s="753">
        <v>0.58</v>
      </c>
      <c r="IT101" s="753">
        <v>0.23</v>
      </c>
      <c r="IU101" s="753"/>
      <c r="IV101" s="753"/>
      <c r="IW101" s="753"/>
      <c r="IX101" s="753"/>
      <c r="IY101" s="753"/>
      <c r="IZ101" s="753"/>
      <c r="JA101" s="754">
        <v>0.889</v>
      </c>
      <c r="JB101" s="754">
        <v>0.942</v>
      </c>
      <c r="JC101" s="754">
        <v>0.972</v>
      </c>
      <c r="JD101" s="754">
        <v>0.984</v>
      </c>
      <c r="JE101" s="754">
        <v>0.997</v>
      </c>
      <c r="JF101" s="754">
        <v>0.998</v>
      </c>
      <c r="JG101" s="754">
        <v>0.998</v>
      </c>
      <c r="JH101" s="754">
        <v>0.998</v>
      </c>
      <c r="JI101" s="754">
        <v>0.998</v>
      </c>
      <c r="JJ101" s="754">
        <v>0.998</v>
      </c>
      <c r="JK101" s="754">
        <v>0.997</v>
      </c>
      <c r="JL101" s="754">
        <v>0.996</v>
      </c>
      <c r="JM101" s="754">
        <v>0.991</v>
      </c>
      <c r="JN101" s="754">
        <v>0.991</v>
      </c>
      <c r="JO101" s="754">
        <v>0.99</v>
      </c>
      <c r="JP101" s="754">
        <v>0.99</v>
      </c>
      <c r="JQ101" s="754">
        <v>0.989</v>
      </c>
      <c r="JR101" s="754">
        <v>0.989</v>
      </c>
      <c r="JS101" s="754">
        <v>0.985</v>
      </c>
      <c r="JT101" s="754">
        <v>0.983</v>
      </c>
      <c r="JU101" s="754">
        <v>0.98</v>
      </c>
      <c r="JV101" s="754">
        <v>0.976</v>
      </c>
      <c r="JW101" s="754">
        <v>0.971</v>
      </c>
      <c r="JX101" s="754">
        <v>0.953</v>
      </c>
      <c r="JY101" s="754">
        <v>0.93</v>
      </c>
      <c r="JZ101" s="754">
        <v>0.886</v>
      </c>
      <c r="KA101" s="754">
        <v>0.8</v>
      </c>
      <c r="KB101" s="754">
        <v>0.63</v>
      </c>
      <c r="KC101" s="754">
        <v>0.34</v>
      </c>
      <c r="KD101" s="754">
        <v>0.06</v>
      </c>
      <c r="KE101" s="754"/>
      <c r="KF101" s="754"/>
      <c r="KG101" s="754"/>
      <c r="KH101" s="754"/>
      <c r="KI101" s="754"/>
      <c r="KJ101" s="754"/>
      <c r="KK101" s="765" t="s">
        <v>281</v>
      </c>
      <c r="KL101" s="738">
        <v>25</v>
      </c>
      <c r="KM101" s="738">
        <v>90</v>
      </c>
      <c r="KN101" s="646" t="s">
        <v>339</v>
      </c>
      <c r="KO101" s="646" t="s">
        <v>918</v>
      </c>
      <c r="KP101" s="680">
        <v>671473</v>
      </c>
      <c r="KQ101" s="766"/>
      <c r="KR101" s="750"/>
      <c r="KS101" s="769" t="s">
        <v>918</v>
      </c>
      <c r="KT101" s="770" t="s">
        <v>921</v>
      </c>
      <c r="KU101" s="766" t="s">
        <v>922</v>
      </c>
      <c r="KV101" s="750">
        <v>670472</v>
      </c>
      <c r="KW101" s="771"/>
      <c r="KX101" s="750"/>
      <c r="KY101" s="769" t="s">
        <v>923</v>
      </c>
      <c r="KZ101" s="770" t="s">
        <v>924</v>
      </c>
    </row>
    <row r="102" s="628" customFormat="1" customHeight="1" spans="1:312">
      <c r="A102" s="682" t="s">
        <v>374</v>
      </c>
      <c r="B102" s="683">
        <v>98</v>
      </c>
      <c r="C102" s="689" t="s">
        <v>925</v>
      </c>
      <c r="D102" s="680">
        <v>618498</v>
      </c>
      <c r="E102" s="685">
        <v>49.83</v>
      </c>
      <c r="F102" s="685">
        <v>49.54</v>
      </c>
      <c r="G102" s="688">
        <v>0.012397</v>
      </c>
      <c r="H102" s="686">
        <v>0.012529</v>
      </c>
      <c r="I102" s="696">
        <v>1.5864</v>
      </c>
      <c r="J102" s="696">
        <v>1.59159</v>
      </c>
      <c r="K102" s="696">
        <v>1.59734</v>
      </c>
      <c r="L102" s="696">
        <v>1.60261</v>
      </c>
      <c r="M102" s="696">
        <v>1.60359</v>
      </c>
      <c r="N102" s="696">
        <v>1.60441</v>
      </c>
      <c r="O102" s="696">
        <v>1.60761</v>
      </c>
      <c r="P102" s="696">
        <v>1.60985</v>
      </c>
      <c r="Q102" s="697">
        <v>1.61192</v>
      </c>
      <c r="R102" s="697">
        <v>1.61401</v>
      </c>
      <c r="S102" s="697">
        <v>1.6146</v>
      </c>
      <c r="T102" s="701">
        <v>1.61515</v>
      </c>
      <c r="U102" s="697">
        <v>1.61762</v>
      </c>
      <c r="V102" s="697">
        <v>1.61773</v>
      </c>
      <c r="W102" s="697">
        <v>1.62068</v>
      </c>
      <c r="X102" s="697">
        <v>1.62641</v>
      </c>
      <c r="Y102" s="697">
        <v>1.62713</v>
      </c>
      <c r="Z102" s="697">
        <v>1.63335</v>
      </c>
      <c r="AA102" s="697">
        <v>1.63923</v>
      </c>
      <c r="AB102" s="697">
        <v>1.64953</v>
      </c>
      <c r="AC102" s="704">
        <v>2.56767884</v>
      </c>
      <c r="AD102" s="705">
        <v>-0.0100060261</v>
      </c>
      <c r="AE102" s="705">
        <v>0.0166107744</v>
      </c>
      <c r="AF102" s="705">
        <v>0.000651052393</v>
      </c>
      <c r="AG102" s="705">
        <v>-4.11297812e-5</v>
      </c>
      <c r="AH102" s="705">
        <v>3.35427062e-6</v>
      </c>
      <c r="AI102" s="709">
        <v>0.3001</v>
      </c>
      <c r="AJ102" s="709">
        <v>0.238</v>
      </c>
      <c r="AK102" s="709">
        <v>0.5598</v>
      </c>
      <c r="AL102" s="709">
        <v>0.2498</v>
      </c>
      <c r="AM102" s="709">
        <v>0.2355</v>
      </c>
      <c r="AN102" s="709">
        <v>0.4964</v>
      </c>
      <c r="AO102" s="709">
        <v>-0.0005</v>
      </c>
      <c r="AP102" s="709">
        <v>-0.001</v>
      </c>
      <c r="AQ102" s="709">
        <v>-0.0072</v>
      </c>
      <c r="AR102" s="709">
        <v>-0.0037</v>
      </c>
      <c r="AS102" s="714">
        <v>2.1</v>
      </c>
      <c r="AT102" s="714">
        <v>2.1</v>
      </c>
      <c r="AU102" s="714">
        <v>2.1</v>
      </c>
      <c r="AV102" s="714">
        <v>2.1</v>
      </c>
      <c r="AW102" s="714">
        <v>2.2</v>
      </c>
      <c r="AX102" s="714">
        <v>2.3</v>
      </c>
      <c r="AY102" s="714">
        <v>2.3</v>
      </c>
      <c r="AZ102" s="714">
        <v>2.5</v>
      </c>
      <c r="BA102" s="714">
        <v>2.5</v>
      </c>
      <c r="BB102" s="714">
        <v>2.7</v>
      </c>
      <c r="BC102" s="714">
        <v>2.7</v>
      </c>
      <c r="BD102" s="714">
        <v>2.3</v>
      </c>
      <c r="BE102" s="714">
        <v>2.3</v>
      </c>
      <c r="BF102" s="714">
        <v>2.3</v>
      </c>
      <c r="BG102" s="714">
        <v>2.4</v>
      </c>
      <c r="BH102" s="714">
        <v>2.4</v>
      </c>
      <c r="BI102" s="714">
        <v>2.5</v>
      </c>
      <c r="BJ102" s="714">
        <v>2.7</v>
      </c>
      <c r="BK102" s="714">
        <v>2.8</v>
      </c>
      <c r="BL102" s="714">
        <v>2.8</v>
      </c>
      <c r="BM102" s="714">
        <v>2.9</v>
      </c>
      <c r="BN102" s="714">
        <v>3</v>
      </c>
      <c r="BO102" s="714">
        <v>2.5</v>
      </c>
      <c r="BP102" s="714">
        <v>2.5</v>
      </c>
      <c r="BQ102" s="714">
        <v>2.5</v>
      </c>
      <c r="BR102" s="714">
        <v>2.5</v>
      </c>
      <c r="BS102" s="714">
        <v>2.6</v>
      </c>
      <c r="BT102" s="714">
        <v>2.7</v>
      </c>
      <c r="BU102" s="714">
        <v>2.8</v>
      </c>
      <c r="BV102" s="714">
        <v>2.9</v>
      </c>
      <c r="BW102" s="714">
        <v>3</v>
      </c>
      <c r="BX102" s="714">
        <v>3.1</v>
      </c>
      <c r="BY102" s="714">
        <v>3.2</v>
      </c>
      <c r="BZ102" s="714">
        <v>2.5</v>
      </c>
      <c r="CA102" s="714">
        <v>2.5</v>
      </c>
      <c r="CB102" s="714">
        <v>2.6</v>
      </c>
      <c r="CC102" s="714">
        <v>2.6</v>
      </c>
      <c r="CD102" s="714">
        <v>2.6</v>
      </c>
      <c r="CE102" s="714">
        <v>2.7</v>
      </c>
      <c r="CF102" s="714">
        <v>2.9</v>
      </c>
      <c r="CG102" s="714">
        <v>3</v>
      </c>
      <c r="CH102" s="714">
        <v>3.1</v>
      </c>
      <c r="CI102" s="714">
        <v>3.1</v>
      </c>
      <c r="CJ102" s="714">
        <v>3.2</v>
      </c>
      <c r="CK102" s="714">
        <v>2.6</v>
      </c>
      <c r="CL102" s="715">
        <v>2.6</v>
      </c>
      <c r="CM102" s="715">
        <v>2.6</v>
      </c>
      <c r="CN102" s="715">
        <v>2.6</v>
      </c>
      <c r="CO102" s="715">
        <v>2.7</v>
      </c>
      <c r="CP102" s="715">
        <v>2.7</v>
      </c>
      <c r="CQ102" s="715">
        <v>2.9</v>
      </c>
      <c r="CR102" s="714">
        <v>3</v>
      </c>
      <c r="CS102" s="714">
        <v>3.1</v>
      </c>
      <c r="CT102" s="714">
        <v>3.1</v>
      </c>
      <c r="CU102" s="714">
        <v>3.3</v>
      </c>
      <c r="CV102" s="714">
        <v>2.7</v>
      </c>
      <c r="CW102" s="715">
        <v>2.7</v>
      </c>
      <c r="CX102" s="715">
        <v>2.8</v>
      </c>
      <c r="CY102" s="715">
        <v>2.8</v>
      </c>
      <c r="CZ102" s="715">
        <v>2.9</v>
      </c>
      <c r="DA102" s="715">
        <v>2.9</v>
      </c>
      <c r="DB102" s="715">
        <v>3</v>
      </c>
      <c r="DC102" s="714">
        <v>3.2</v>
      </c>
      <c r="DD102" s="714">
        <v>3.2</v>
      </c>
      <c r="DE102" s="714">
        <v>3.3</v>
      </c>
      <c r="DF102" s="714">
        <v>3.4</v>
      </c>
      <c r="DG102" s="714">
        <v>2.9</v>
      </c>
      <c r="DH102" s="715">
        <v>3</v>
      </c>
      <c r="DI102" s="715">
        <v>3</v>
      </c>
      <c r="DJ102" s="715">
        <v>3.1</v>
      </c>
      <c r="DK102" s="715">
        <v>3.1</v>
      </c>
      <c r="DL102" s="715">
        <v>3.1</v>
      </c>
      <c r="DM102" s="715">
        <v>3.3</v>
      </c>
      <c r="DN102" s="714">
        <v>3.3</v>
      </c>
      <c r="DO102" s="714">
        <v>3.4</v>
      </c>
      <c r="DP102" s="714">
        <v>3.5</v>
      </c>
      <c r="DQ102" s="714">
        <v>3.6</v>
      </c>
      <c r="DR102" s="714">
        <v>3.3</v>
      </c>
      <c r="DS102" s="715">
        <v>3.3</v>
      </c>
      <c r="DT102" s="715">
        <v>3.4</v>
      </c>
      <c r="DU102" s="715">
        <v>3.4</v>
      </c>
      <c r="DV102" s="715">
        <v>3.5</v>
      </c>
      <c r="DW102" s="715">
        <v>3.6</v>
      </c>
      <c r="DX102" s="715">
        <v>3.7</v>
      </c>
      <c r="DY102" s="714">
        <v>3.7</v>
      </c>
      <c r="DZ102" s="714">
        <v>3.8</v>
      </c>
      <c r="EA102" s="714">
        <v>3.9</v>
      </c>
      <c r="EB102" s="714">
        <v>4</v>
      </c>
      <c r="EC102" s="714">
        <v>3.3</v>
      </c>
      <c r="ED102" s="715">
        <v>3.4</v>
      </c>
      <c r="EE102" s="715">
        <v>3.5</v>
      </c>
      <c r="EF102" s="715">
        <v>3.5</v>
      </c>
      <c r="EG102" s="715">
        <v>3.6</v>
      </c>
      <c r="EH102" s="715">
        <v>3.8</v>
      </c>
      <c r="EI102" s="715">
        <v>3.8</v>
      </c>
      <c r="EJ102" s="714">
        <v>3.8</v>
      </c>
      <c r="EK102" s="714">
        <v>3.9</v>
      </c>
      <c r="EL102" s="714">
        <v>3.9</v>
      </c>
      <c r="EM102" s="714">
        <v>4.1</v>
      </c>
      <c r="EN102" s="714">
        <v>3.8</v>
      </c>
      <c r="EO102" s="715">
        <v>3.8</v>
      </c>
      <c r="EP102" s="715">
        <v>3.9</v>
      </c>
      <c r="EQ102" s="715">
        <v>4</v>
      </c>
      <c r="ER102" s="715">
        <v>4</v>
      </c>
      <c r="ES102" s="715">
        <v>4.1</v>
      </c>
      <c r="ET102" s="715">
        <v>4.3</v>
      </c>
      <c r="EU102" s="714">
        <v>4.3</v>
      </c>
      <c r="EV102" s="714">
        <v>4.4</v>
      </c>
      <c r="EW102" s="714">
        <v>4.5</v>
      </c>
      <c r="EX102" s="714">
        <v>4.7</v>
      </c>
      <c r="EY102" s="714">
        <v>0</v>
      </c>
      <c r="EZ102" s="715">
        <v>0.4</v>
      </c>
      <c r="FA102" s="715">
        <v>0.7</v>
      </c>
      <c r="FB102" s="715">
        <v>1</v>
      </c>
      <c r="FC102" s="715">
        <v>1.3</v>
      </c>
      <c r="FD102" s="715">
        <v>1.5</v>
      </c>
      <c r="FE102" s="715">
        <v>1.8</v>
      </c>
      <c r="FF102" s="714">
        <v>2</v>
      </c>
      <c r="FG102" s="714">
        <v>2.2</v>
      </c>
      <c r="FH102" s="714">
        <v>2.3</v>
      </c>
      <c r="FI102" s="714">
        <v>2.6</v>
      </c>
      <c r="FJ102" s="723">
        <v>9.42e-7</v>
      </c>
      <c r="FK102" s="723">
        <v>1.44e-8</v>
      </c>
      <c r="FL102" s="723">
        <v>-2.13e-11</v>
      </c>
      <c r="FM102" s="723">
        <v>4.74e-7</v>
      </c>
      <c r="FN102" s="723">
        <v>3.62e-11</v>
      </c>
      <c r="FO102" s="723">
        <v>0.261</v>
      </c>
      <c r="FP102" s="729">
        <v>1</v>
      </c>
      <c r="FQ102" s="729">
        <v>1</v>
      </c>
      <c r="FR102" s="729">
        <v>1</v>
      </c>
      <c r="FS102" s="729">
        <v>2</v>
      </c>
      <c r="FT102" s="729">
        <v>2</v>
      </c>
      <c r="FU102" s="729">
        <v>1</v>
      </c>
      <c r="FV102" s="681">
        <v>1</v>
      </c>
      <c r="FW102" s="729"/>
      <c r="FX102" s="729"/>
      <c r="FY102" s="729"/>
      <c r="FZ102" s="746">
        <v>627</v>
      </c>
      <c r="GA102" s="746">
        <v>672</v>
      </c>
      <c r="GB102" s="681">
        <v>548</v>
      </c>
      <c r="GC102" s="681">
        <v>590</v>
      </c>
      <c r="GD102" s="747">
        <v>0.9</v>
      </c>
      <c r="GE102" s="729"/>
      <c r="GF102" s="681">
        <v>72</v>
      </c>
      <c r="GG102" s="681">
        <v>86</v>
      </c>
      <c r="GH102" s="681">
        <v>65</v>
      </c>
      <c r="GI102" s="681">
        <v>68</v>
      </c>
      <c r="GJ102" s="681">
        <v>70</v>
      </c>
      <c r="GK102" s="681">
        <v>71</v>
      </c>
      <c r="GL102" s="681">
        <v>72</v>
      </c>
      <c r="GM102" s="681">
        <v>73</v>
      </c>
      <c r="GN102" s="681">
        <v>74</v>
      </c>
      <c r="GO102" s="681">
        <v>75</v>
      </c>
      <c r="GP102" s="681">
        <v>76</v>
      </c>
      <c r="GQ102" s="681">
        <v>77</v>
      </c>
      <c r="GR102" s="681">
        <v>78</v>
      </c>
      <c r="GS102" s="681">
        <v>78</v>
      </c>
      <c r="GT102" s="681">
        <v>78</v>
      </c>
      <c r="GU102" s="681">
        <v>79</v>
      </c>
      <c r="GV102" s="681">
        <v>80</v>
      </c>
      <c r="GW102" s="681">
        <v>80</v>
      </c>
      <c r="GX102" s="681">
        <v>81</v>
      </c>
      <c r="GY102" s="681">
        <v>82</v>
      </c>
      <c r="GZ102" s="681">
        <v>83</v>
      </c>
      <c r="HA102" s="681">
        <v>84</v>
      </c>
      <c r="HB102" s="681">
        <v>85</v>
      </c>
      <c r="HC102" s="681"/>
      <c r="HD102" s="750">
        <v>136</v>
      </c>
      <c r="HE102" s="681"/>
      <c r="HF102" s="681">
        <v>539</v>
      </c>
      <c r="HG102" s="681">
        <v>142</v>
      </c>
      <c r="HH102" s="714">
        <v>86.1</v>
      </c>
      <c r="HI102" s="714">
        <v>34.1</v>
      </c>
      <c r="HJ102" s="753">
        <v>0.263</v>
      </c>
      <c r="HK102" s="681">
        <v>83</v>
      </c>
      <c r="HL102" s="685">
        <v>2.12</v>
      </c>
      <c r="HM102" s="747">
        <v>3.16</v>
      </c>
      <c r="HN102" s="729" t="s">
        <v>926</v>
      </c>
      <c r="HO102" s="729" t="s">
        <v>927</v>
      </c>
      <c r="HP102" s="714">
        <v>-1.2</v>
      </c>
      <c r="HQ102" s="753">
        <v>0.918</v>
      </c>
      <c r="HR102" s="753">
        <v>0.952</v>
      </c>
      <c r="HS102" s="753">
        <v>0.982</v>
      </c>
      <c r="HT102" s="753">
        <v>0.992</v>
      </c>
      <c r="HU102" s="753">
        <v>0.999</v>
      </c>
      <c r="HV102" s="753">
        <v>0.999</v>
      </c>
      <c r="HW102" s="753">
        <v>0.999</v>
      </c>
      <c r="HX102" s="753">
        <v>0.999</v>
      </c>
      <c r="HY102" s="753">
        <v>0.999</v>
      </c>
      <c r="HZ102" s="753">
        <v>0.999</v>
      </c>
      <c r="IA102" s="753">
        <v>0.999</v>
      </c>
      <c r="IB102" s="753">
        <v>0.999</v>
      </c>
      <c r="IC102" s="753">
        <v>0.999</v>
      </c>
      <c r="ID102" s="753">
        <v>0.999</v>
      </c>
      <c r="IE102" s="753">
        <v>0.999</v>
      </c>
      <c r="IF102" s="753">
        <v>0.999</v>
      </c>
      <c r="IG102" s="753">
        <v>0.999</v>
      </c>
      <c r="IH102" s="753">
        <v>0.999</v>
      </c>
      <c r="II102" s="753">
        <v>0.999</v>
      </c>
      <c r="IJ102" s="753">
        <v>0.997</v>
      </c>
      <c r="IK102" s="753">
        <v>0.995</v>
      </c>
      <c r="IL102" s="753">
        <v>0.993</v>
      </c>
      <c r="IM102" s="753">
        <v>0.99</v>
      </c>
      <c r="IN102" s="753">
        <v>0.984</v>
      </c>
      <c r="IO102" s="753">
        <v>0.972</v>
      </c>
      <c r="IP102" s="753">
        <v>0.944</v>
      </c>
      <c r="IQ102" s="753">
        <v>0.892</v>
      </c>
      <c r="IR102" s="753">
        <v>0.77</v>
      </c>
      <c r="IS102" s="753">
        <v>0.518</v>
      </c>
      <c r="IT102" s="753">
        <v>0.167</v>
      </c>
      <c r="IU102" s="753"/>
      <c r="IV102" s="753"/>
      <c r="IW102" s="753"/>
      <c r="IX102" s="753"/>
      <c r="IY102" s="753"/>
      <c r="IZ102" s="753"/>
      <c r="JA102" s="754">
        <v>0.844</v>
      </c>
      <c r="JB102" s="754">
        <v>0.908</v>
      </c>
      <c r="JC102" s="754">
        <v>0.965</v>
      </c>
      <c r="JD102" s="754">
        <v>0.984</v>
      </c>
      <c r="JE102" s="754">
        <v>0.998</v>
      </c>
      <c r="JF102" s="754">
        <v>0.998</v>
      </c>
      <c r="JG102" s="754">
        <v>0.998</v>
      </c>
      <c r="JH102" s="754">
        <v>0.998</v>
      </c>
      <c r="JI102" s="754">
        <v>0.998</v>
      </c>
      <c r="JJ102" s="754">
        <v>0.998</v>
      </c>
      <c r="JK102" s="754">
        <v>0.998</v>
      </c>
      <c r="JL102" s="754">
        <v>0.998</v>
      </c>
      <c r="JM102" s="754">
        <v>0.998</v>
      </c>
      <c r="JN102" s="754">
        <v>0.998</v>
      </c>
      <c r="JO102" s="754">
        <v>0.998</v>
      </c>
      <c r="JP102" s="754">
        <v>0.998</v>
      </c>
      <c r="JQ102" s="754">
        <v>0.998</v>
      </c>
      <c r="JR102" s="754">
        <v>0.998</v>
      </c>
      <c r="JS102" s="754">
        <v>0.998</v>
      </c>
      <c r="JT102" s="754">
        <v>0.994</v>
      </c>
      <c r="JU102" s="754">
        <v>0.992</v>
      </c>
      <c r="JV102" s="754">
        <v>0.988</v>
      </c>
      <c r="JW102" s="754">
        <v>0.982</v>
      </c>
      <c r="JX102" s="754">
        <v>0.97</v>
      </c>
      <c r="JY102" s="754">
        <v>0.947</v>
      </c>
      <c r="JZ102" s="754">
        <v>0.893</v>
      </c>
      <c r="KA102" s="754">
        <v>0.8</v>
      </c>
      <c r="KB102" s="754">
        <v>0.597</v>
      </c>
      <c r="KC102" s="754">
        <v>0.273</v>
      </c>
      <c r="KD102" s="754">
        <v>0.038</v>
      </c>
      <c r="KE102" s="754"/>
      <c r="KF102" s="754"/>
      <c r="KG102" s="754"/>
      <c r="KH102" s="754"/>
      <c r="KI102" s="754"/>
      <c r="KJ102" s="754"/>
      <c r="KK102" s="765" t="s">
        <v>281</v>
      </c>
      <c r="KL102" s="738">
        <v>68</v>
      </c>
      <c r="KM102" s="738">
        <v>215</v>
      </c>
      <c r="KN102" s="646" t="s">
        <v>617</v>
      </c>
      <c r="KO102" s="646" t="s">
        <v>925</v>
      </c>
      <c r="KP102" s="680">
        <v>618498</v>
      </c>
      <c r="KQ102" s="766" t="s">
        <v>928</v>
      </c>
      <c r="KR102" s="750" t="s">
        <v>929</v>
      </c>
      <c r="KS102" s="769"/>
      <c r="KT102" s="770"/>
      <c r="KU102" s="766"/>
      <c r="KV102" s="750"/>
      <c r="KW102" s="771" t="s">
        <v>930</v>
      </c>
      <c r="KX102" s="750" t="s">
        <v>931</v>
      </c>
      <c r="KY102" s="769" t="s">
        <v>932</v>
      </c>
      <c r="KZ102" s="770" t="s">
        <v>929</v>
      </c>
    </row>
    <row r="103" s="628" customFormat="1" customHeight="1" spans="1:312">
      <c r="A103" s="682" t="s">
        <v>300</v>
      </c>
      <c r="B103" s="683">
        <v>99</v>
      </c>
      <c r="C103" s="689" t="s">
        <v>933</v>
      </c>
      <c r="D103" s="680">
        <v>667484</v>
      </c>
      <c r="E103" s="685">
        <v>48.42</v>
      </c>
      <c r="F103" s="685">
        <v>48.13</v>
      </c>
      <c r="G103" s="688">
        <v>0.013769</v>
      </c>
      <c r="H103" s="686">
        <v>0.01392</v>
      </c>
      <c r="I103" s="696"/>
      <c r="J103" s="696"/>
      <c r="K103" s="696"/>
      <c r="L103" s="696">
        <v>1.65042</v>
      </c>
      <c r="M103" s="696">
        <v>1.6514</v>
      </c>
      <c r="N103" s="696">
        <v>1.65223</v>
      </c>
      <c r="O103" s="696">
        <v>1.6556</v>
      </c>
      <c r="P103" s="696">
        <v>1.65802</v>
      </c>
      <c r="Q103" s="697">
        <v>1.6603</v>
      </c>
      <c r="R103" s="697">
        <v>1.6626</v>
      </c>
      <c r="S103" s="697">
        <v>1.66325</v>
      </c>
      <c r="T103" s="701">
        <v>1.66385</v>
      </c>
      <c r="U103" s="697">
        <v>1.6666</v>
      </c>
      <c r="V103" s="697">
        <v>1.66672</v>
      </c>
      <c r="W103" s="697">
        <v>1.67</v>
      </c>
      <c r="X103" s="697">
        <v>1.67637</v>
      </c>
      <c r="Y103" s="697">
        <v>1.67717</v>
      </c>
      <c r="Z103" s="697">
        <v>1.68408</v>
      </c>
      <c r="AA103" s="697">
        <v>1.69056</v>
      </c>
      <c r="AB103" s="697">
        <v>1.70179</v>
      </c>
      <c r="AC103" s="704">
        <v>2.71734266</v>
      </c>
      <c r="AD103" s="705">
        <v>-0.00793439759</v>
      </c>
      <c r="AE103" s="705">
        <v>0.0210245027</v>
      </c>
      <c r="AF103" s="705">
        <v>0.000214586811</v>
      </c>
      <c r="AG103" s="705">
        <v>2.86536993e-5</v>
      </c>
      <c r="AH103" s="705">
        <v>-6.94769473e-7</v>
      </c>
      <c r="AI103" s="709">
        <v>0.2992</v>
      </c>
      <c r="AJ103" s="709">
        <v>0.2382</v>
      </c>
      <c r="AK103" s="709">
        <v>0.56</v>
      </c>
      <c r="AL103" s="709">
        <v>0.2493</v>
      </c>
      <c r="AM103" s="709">
        <v>0.2356</v>
      </c>
      <c r="AN103" s="709">
        <v>0.4964</v>
      </c>
      <c r="AO103" s="709">
        <v>-0.0008</v>
      </c>
      <c r="AP103" s="709">
        <v>-0.0032</v>
      </c>
      <c r="AQ103" s="709">
        <v>-0.0216</v>
      </c>
      <c r="AR103" s="709">
        <v>-0.0082</v>
      </c>
      <c r="AS103" s="714">
        <v>1</v>
      </c>
      <c r="AT103" s="714">
        <v>1</v>
      </c>
      <c r="AU103" s="714">
        <v>1</v>
      </c>
      <c r="AV103" s="714">
        <v>1.2</v>
      </c>
      <c r="AW103" s="714">
        <v>1.2</v>
      </c>
      <c r="AX103" s="714">
        <v>1.3</v>
      </c>
      <c r="AY103" s="714">
        <v>1.4</v>
      </c>
      <c r="AZ103" s="714">
        <v>1.4</v>
      </c>
      <c r="BA103" s="714">
        <v>1.5</v>
      </c>
      <c r="BB103" s="714">
        <v>1.5</v>
      </c>
      <c r="BC103" s="714">
        <v>1.6</v>
      </c>
      <c r="BD103" s="714">
        <v>1.2</v>
      </c>
      <c r="BE103" s="714">
        <v>1.3</v>
      </c>
      <c r="BF103" s="714">
        <v>1.3</v>
      </c>
      <c r="BG103" s="714">
        <v>1.4</v>
      </c>
      <c r="BH103" s="714">
        <v>1.4</v>
      </c>
      <c r="BI103" s="714">
        <v>1.6</v>
      </c>
      <c r="BJ103" s="714">
        <v>1.6</v>
      </c>
      <c r="BK103" s="714">
        <v>1.7</v>
      </c>
      <c r="BL103" s="714">
        <v>1.8</v>
      </c>
      <c r="BM103" s="714">
        <v>1.9</v>
      </c>
      <c r="BN103" s="714">
        <v>2</v>
      </c>
      <c r="BO103" s="714">
        <v>1.5</v>
      </c>
      <c r="BP103" s="714">
        <v>1.5</v>
      </c>
      <c r="BQ103" s="714">
        <v>1.5</v>
      </c>
      <c r="BR103" s="714">
        <v>1.6</v>
      </c>
      <c r="BS103" s="714">
        <v>1.5</v>
      </c>
      <c r="BT103" s="714">
        <v>1.6</v>
      </c>
      <c r="BU103" s="714">
        <v>1.7</v>
      </c>
      <c r="BV103" s="714">
        <v>1.8</v>
      </c>
      <c r="BW103" s="714">
        <v>1.9</v>
      </c>
      <c r="BX103" s="714">
        <v>2</v>
      </c>
      <c r="BY103" s="714">
        <v>2.2</v>
      </c>
      <c r="BZ103" s="714">
        <v>1.8</v>
      </c>
      <c r="CA103" s="714">
        <v>1.8</v>
      </c>
      <c r="CB103" s="714">
        <v>1.8</v>
      </c>
      <c r="CC103" s="714">
        <v>1.9</v>
      </c>
      <c r="CD103" s="714">
        <v>1.9</v>
      </c>
      <c r="CE103" s="714">
        <v>2</v>
      </c>
      <c r="CF103" s="714">
        <v>2</v>
      </c>
      <c r="CG103" s="714">
        <v>2</v>
      </c>
      <c r="CH103" s="714">
        <v>2.1</v>
      </c>
      <c r="CI103" s="714">
        <v>2.2</v>
      </c>
      <c r="CJ103" s="714">
        <v>2.3</v>
      </c>
      <c r="CK103" s="714">
        <v>2.1</v>
      </c>
      <c r="CL103" s="715">
        <v>2.1</v>
      </c>
      <c r="CM103" s="715">
        <v>2.2</v>
      </c>
      <c r="CN103" s="715">
        <v>2.2</v>
      </c>
      <c r="CO103" s="715">
        <v>2.2</v>
      </c>
      <c r="CP103" s="715">
        <v>2.3</v>
      </c>
      <c r="CQ103" s="715">
        <v>2.3</v>
      </c>
      <c r="CR103" s="714">
        <v>2.4</v>
      </c>
      <c r="CS103" s="714">
        <v>2.5</v>
      </c>
      <c r="CT103" s="714">
        <v>2.6</v>
      </c>
      <c r="CU103" s="714">
        <v>2.7</v>
      </c>
      <c r="CV103" s="714">
        <v>2.3</v>
      </c>
      <c r="CW103" s="715">
        <v>2.3</v>
      </c>
      <c r="CX103" s="715">
        <v>2.3</v>
      </c>
      <c r="CY103" s="715">
        <v>2.4</v>
      </c>
      <c r="CZ103" s="715">
        <v>2.5</v>
      </c>
      <c r="DA103" s="715">
        <v>2.6</v>
      </c>
      <c r="DB103" s="715">
        <v>2.7</v>
      </c>
      <c r="DC103" s="714">
        <v>2.8</v>
      </c>
      <c r="DD103" s="714">
        <v>3</v>
      </c>
      <c r="DE103" s="714">
        <v>3.2</v>
      </c>
      <c r="DF103" s="714">
        <v>3.3</v>
      </c>
      <c r="DG103" s="714">
        <v>2.5</v>
      </c>
      <c r="DH103" s="715">
        <v>2.6</v>
      </c>
      <c r="DI103" s="715">
        <v>2.7</v>
      </c>
      <c r="DJ103" s="715">
        <v>2.7</v>
      </c>
      <c r="DK103" s="715">
        <v>2.7</v>
      </c>
      <c r="DL103" s="715">
        <v>2.8</v>
      </c>
      <c r="DM103" s="715">
        <v>3</v>
      </c>
      <c r="DN103" s="714">
        <v>3.1</v>
      </c>
      <c r="DO103" s="714">
        <v>3.2</v>
      </c>
      <c r="DP103" s="714">
        <v>3.2</v>
      </c>
      <c r="DQ103" s="714">
        <v>3.4</v>
      </c>
      <c r="DR103" s="714">
        <v>2.6</v>
      </c>
      <c r="DS103" s="715">
        <v>2.7</v>
      </c>
      <c r="DT103" s="715">
        <v>2.8</v>
      </c>
      <c r="DU103" s="715">
        <v>2.8</v>
      </c>
      <c r="DV103" s="715">
        <v>2.8</v>
      </c>
      <c r="DW103" s="715">
        <v>2.9</v>
      </c>
      <c r="DX103" s="715">
        <v>3</v>
      </c>
      <c r="DY103" s="714">
        <v>3.2</v>
      </c>
      <c r="DZ103" s="714">
        <v>3.3</v>
      </c>
      <c r="EA103" s="714">
        <v>3.3</v>
      </c>
      <c r="EB103" s="714">
        <v>3.5</v>
      </c>
      <c r="EC103" s="714">
        <v>2.8</v>
      </c>
      <c r="ED103" s="715">
        <v>2.8</v>
      </c>
      <c r="EE103" s="715">
        <v>2.8</v>
      </c>
      <c r="EF103" s="715">
        <v>2.9</v>
      </c>
      <c r="EG103" s="715">
        <v>3</v>
      </c>
      <c r="EH103" s="715">
        <v>3.1</v>
      </c>
      <c r="EI103" s="715">
        <v>3.1</v>
      </c>
      <c r="EJ103" s="714">
        <v>3.2</v>
      </c>
      <c r="EK103" s="714">
        <v>3.4</v>
      </c>
      <c r="EL103" s="714">
        <v>3.5</v>
      </c>
      <c r="EM103" s="714">
        <v>3.6</v>
      </c>
      <c r="EN103" s="714">
        <v>3.3</v>
      </c>
      <c r="EO103" s="715">
        <v>3.3</v>
      </c>
      <c r="EP103" s="715">
        <v>3.3</v>
      </c>
      <c r="EQ103" s="715">
        <v>3.5</v>
      </c>
      <c r="ER103" s="715">
        <v>3.6</v>
      </c>
      <c r="ES103" s="715">
        <v>3.7</v>
      </c>
      <c r="ET103" s="715">
        <v>3.9</v>
      </c>
      <c r="EU103" s="714">
        <v>4</v>
      </c>
      <c r="EV103" s="714">
        <v>4.1</v>
      </c>
      <c r="EW103" s="714">
        <v>4.2</v>
      </c>
      <c r="EX103" s="714">
        <v>4.4</v>
      </c>
      <c r="EY103" s="714">
        <v>-0.6</v>
      </c>
      <c r="EZ103" s="715">
        <v>-0.2</v>
      </c>
      <c r="FA103" s="715">
        <v>0.3</v>
      </c>
      <c r="FB103" s="715">
        <v>0.5</v>
      </c>
      <c r="FC103" s="715">
        <v>0.8</v>
      </c>
      <c r="FD103" s="715">
        <v>1</v>
      </c>
      <c r="FE103" s="715">
        <v>1.2</v>
      </c>
      <c r="FF103" s="714">
        <v>1.4</v>
      </c>
      <c r="FG103" s="714">
        <v>1.6</v>
      </c>
      <c r="FH103" s="714">
        <v>1.8</v>
      </c>
      <c r="FI103" s="714">
        <v>2</v>
      </c>
      <c r="FJ103" s="723">
        <v>-1.65e-6</v>
      </c>
      <c r="FK103" s="723">
        <v>1.28e-8</v>
      </c>
      <c r="FL103" s="723">
        <v>-1.94e-11</v>
      </c>
      <c r="FM103" s="723">
        <v>9.82e-7</v>
      </c>
      <c r="FN103" s="723">
        <v>4.78e-10</v>
      </c>
      <c r="FO103" s="723">
        <v>1.52e-8</v>
      </c>
      <c r="FP103" s="729">
        <v>1</v>
      </c>
      <c r="FQ103" s="729">
        <v>2</v>
      </c>
      <c r="FR103" s="729">
        <v>1</v>
      </c>
      <c r="FS103" s="729">
        <v>3</v>
      </c>
      <c r="FT103" s="729">
        <v>1</v>
      </c>
      <c r="FU103" s="729">
        <v>1</v>
      </c>
      <c r="FV103" s="681">
        <v>1</v>
      </c>
      <c r="FW103" s="729"/>
      <c r="FX103" s="729"/>
      <c r="FY103" s="729"/>
      <c r="FZ103" s="746">
        <v>626</v>
      </c>
      <c r="GA103" s="746">
        <v>687</v>
      </c>
      <c r="GB103" s="681">
        <v>561</v>
      </c>
      <c r="GC103" s="681">
        <v>590</v>
      </c>
      <c r="GD103" s="747">
        <v>0.81</v>
      </c>
      <c r="GE103" s="729"/>
      <c r="GF103" s="681">
        <v>81</v>
      </c>
      <c r="GG103" s="681">
        <v>98</v>
      </c>
      <c r="GH103" s="681">
        <v>73</v>
      </c>
      <c r="GI103" s="681">
        <v>75</v>
      </c>
      <c r="GJ103" s="681">
        <v>77</v>
      </c>
      <c r="GK103" s="681">
        <v>79</v>
      </c>
      <c r="GL103" s="681">
        <v>80</v>
      </c>
      <c r="GM103" s="681">
        <v>81</v>
      </c>
      <c r="GN103" s="681">
        <v>82</v>
      </c>
      <c r="GO103" s="681">
        <v>82</v>
      </c>
      <c r="GP103" s="681">
        <v>84</v>
      </c>
      <c r="GQ103" s="681">
        <v>85</v>
      </c>
      <c r="GR103" s="681">
        <v>85</v>
      </c>
      <c r="GS103" s="681">
        <v>86</v>
      </c>
      <c r="GT103" s="681">
        <v>87</v>
      </c>
      <c r="GU103" s="681">
        <v>89</v>
      </c>
      <c r="GV103" s="681">
        <v>89</v>
      </c>
      <c r="GW103" s="681">
        <v>89</v>
      </c>
      <c r="GX103" s="681">
        <v>90</v>
      </c>
      <c r="GY103" s="681">
        <v>91</v>
      </c>
      <c r="GZ103" s="681">
        <v>94</v>
      </c>
      <c r="HA103" s="681">
        <v>94</v>
      </c>
      <c r="HB103" s="681">
        <v>96</v>
      </c>
      <c r="HC103" s="681">
        <v>56</v>
      </c>
      <c r="HD103" s="750">
        <v>57</v>
      </c>
      <c r="HE103" s="681">
        <v>56</v>
      </c>
      <c r="HF103" s="681">
        <v>544</v>
      </c>
      <c r="HG103" s="681">
        <v>247</v>
      </c>
      <c r="HH103" s="714">
        <v>92.18</v>
      </c>
      <c r="HI103" s="714">
        <v>35.65</v>
      </c>
      <c r="HJ103" s="753">
        <v>0.293</v>
      </c>
      <c r="HK103" s="681">
        <v>72</v>
      </c>
      <c r="HL103" s="685">
        <v>1.84</v>
      </c>
      <c r="HM103" s="747">
        <v>3.63</v>
      </c>
      <c r="HN103" s="729" t="s">
        <v>934</v>
      </c>
      <c r="HO103" s="729" t="s">
        <v>935</v>
      </c>
      <c r="HP103" s="714">
        <v>-0.2</v>
      </c>
      <c r="HQ103" s="753">
        <v>0.946</v>
      </c>
      <c r="HR103" s="753">
        <v>0.976</v>
      </c>
      <c r="HS103" s="753">
        <v>0.987</v>
      </c>
      <c r="HT103" s="753">
        <v>0.993</v>
      </c>
      <c r="HU103" s="753">
        <v>0.997</v>
      </c>
      <c r="HV103" s="753">
        <v>0.998</v>
      </c>
      <c r="HW103" s="753">
        <v>0.999</v>
      </c>
      <c r="HX103" s="753">
        <v>0.998</v>
      </c>
      <c r="HY103" s="753">
        <v>0.998</v>
      </c>
      <c r="HZ103" s="753">
        <v>0.998</v>
      </c>
      <c r="IA103" s="753">
        <v>0.998</v>
      </c>
      <c r="IB103" s="753">
        <v>0.997</v>
      </c>
      <c r="IC103" s="753">
        <v>0.998</v>
      </c>
      <c r="ID103" s="753">
        <v>0.999</v>
      </c>
      <c r="IE103" s="753">
        <v>0.998</v>
      </c>
      <c r="IF103" s="753">
        <v>0.998</v>
      </c>
      <c r="IG103" s="753">
        <v>0.998</v>
      </c>
      <c r="IH103" s="753">
        <v>0.998</v>
      </c>
      <c r="II103" s="753">
        <v>0.997</v>
      </c>
      <c r="IJ103" s="753">
        <v>0.997</v>
      </c>
      <c r="IK103" s="753">
        <v>0.996</v>
      </c>
      <c r="IL103" s="753">
        <v>0.995</v>
      </c>
      <c r="IM103" s="753">
        <v>0.994</v>
      </c>
      <c r="IN103" s="753">
        <v>0.987</v>
      </c>
      <c r="IO103" s="753">
        <v>0.984</v>
      </c>
      <c r="IP103" s="753">
        <v>0.976</v>
      </c>
      <c r="IQ103" s="753">
        <v>0.924</v>
      </c>
      <c r="IR103" s="753">
        <v>0.892</v>
      </c>
      <c r="IS103" s="753">
        <v>0.824</v>
      </c>
      <c r="IT103" s="753">
        <v>0.682</v>
      </c>
      <c r="IU103" s="753">
        <v>0.394</v>
      </c>
      <c r="IV103" s="753"/>
      <c r="IW103" s="753"/>
      <c r="IX103" s="753"/>
      <c r="IY103" s="753"/>
      <c r="IZ103" s="753"/>
      <c r="JA103" s="754">
        <v>0.895</v>
      </c>
      <c r="JB103" s="754">
        <v>0.953</v>
      </c>
      <c r="JC103" s="754">
        <v>0.975</v>
      </c>
      <c r="JD103" s="754">
        <v>0.986</v>
      </c>
      <c r="JE103" s="754">
        <v>0.995</v>
      </c>
      <c r="JF103" s="754">
        <v>0.996</v>
      </c>
      <c r="JG103" s="754">
        <v>0.997</v>
      </c>
      <c r="JH103" s="754">
        <v>0.997</v>
      </c>
      <c r="JI103" s="754">
        <v>0.997</v>
      </c>
      <c r="JJ103" s="754">
        <v>0.996</v>
      </c>
      <c r="JK103" s="754">
        <v>0.996</v>
      </c>
      <c r="JL103" s="754">
        <v>0.995</v>
      </c>
      <c r="JM103" s="754">
        <v>0.997</v>
      </c>
      <c r="JN103" s="754">
        <v>0.997</v>
      </c>
      <c r="JO103" s="754">
        <v>0.997</v>
      </c>
      <c r="JP103" s="754">
        <v>0.996</v>
      </c>
      <c r="JQ103" s="754">
        <v>0.996</v>
      </c>
      <c r="JR103" s="754">
        <v>0.996</v>
      </c>
      <c r="JS103" s="754">
        <v>0.995</v>
      </c>
      <c r="JT103" s="754">
        <v>0.993</v>
      </c>
      <c r="JU103" s="754">
        <v>0.991</v>
      </c>
      <c r="JV103" s="754">
        <v>0.99</v>
      </c>
      <c r="JW103" s="754">
        <v>0.989</v>
      </c>
      <c r="JX103" s="754">
        <v>0.975</v>
      </c>
      <c r="JY103" s="754">
        <v>0.968</v>
      </c>
      <c r="JZ103" s="754">
        <v>0.952</v>
      </c>
      <c r="KA103" s="754">
        <v>0.854</v>
      </c>
      <c r="KB103" s="754">
        <v>0.796</v>
      </c>
      <c r="KC103" s="754">
        <v>0.679</v>
      </c>
      <c r="KD103" s="754">
        <v>0.465</v>
      </c>
      <c r="KE103" s="754">
        <v>0.155</v>
      </c>
      <c r="KF103" s="754"/>
      <c r="KG103" s="754"/>
      <c r="KH103" s="754"/>
      <c r="KI103" s="754"/>
      <c r="KJ103" s="754"/>
      <c r="KK103" s="765" t="s">
        <v>281</v>
      </c>
      <c r="KL103" s="738">
        <v>30</v>
      </c>
      <c r="KM103" s="738">
        <v>109</v>
      </c>
      <c r="KN103" s="646" t="s">
        <v>339</v>
      </c>
      <c r="KO103" s="646" t="s">
        <v>933</v>
      </c>
      <c r="KP103" s="680">
        <v>667484</v>
      </c>
      <c r="KQ103" s="766" t="s">
        <v>936</v>
      </c>
      <c r="KR103" s="750" t="s">
        <v>937</v>
      </c>
      <c r="KS103" s="769" t="s">
        <v>938</v>
      </c>
      <c r="KT103" s="770" t="s">
        <v>939</v>
      </c>
      <c r="KU103" s="766" t="s">
        <v>940</v>
      </c>
      <c r="KV103" s="750">
        <v>667483</v>
      </c>
      <c r="KW103" s="771" t="s">
        <v>941</v>
      </c>
      <c r="KX103" s="750" t="s">
        <v>942</v>
      </c>
      <c r="KY103" s="769"/>
      <c r="KZ103" s="770"/>
    </row>
    <row r="104" s="628" customFormat="1" customHeight="1" spans="1:312">
      <c r="A104" s="682" t="s">
        <v>374</v>
      </c>
      <c r="B104" s="683">
        <v>100</v>
      </c>
      <c r="C104" s="689" t="s">
        <v>943</v>
      </c>
      <c r="D104" s="680">
        <v>702412</v>
      </c>
      <c r="E104" s="685">
        <v>41.15</v>
      </c>
      <c r="F104" s="685">
        <v>40.86</v>
      </c>
      <c r="G104" s="688">
        <v>0.017049</v>
      </c>
      <c r="H104" s="686">
        <v>0.01727</v>
      </c>
      <c r="I104" s="696"/>
      <c r="J104" s="696"/>
      <c r="K104" s="696"/>
      <c r="L104" s="696">
        <v>1.68168</v>
      </c>
      <c r="M104" s="696">
        <v>1.68293</v>
      </c>
      <c r="N104" s="696">
        <v>1.68396</v>
      </c>
      <c r="O104" s="696">
        <v>1.68811</v>
      </c>
      <c r="P104" s="696">
        <v>1.69103</v>
      </c>
      <c r="Q104" s="697">
        <v>1.69375</v>
      </c>
      <c r="R104" s="697">
        <v>1.69651</v>
      </c>
      <c r="S104" s="697">
        <v>1.6973</v>
      </c>
      <c r="T104" s="701">
        <v>1.69806</v>
      </c>
      <c r="U104" s="697">
        <v>1.70139</v>
      </c>
      <c r="V104" s="697">
        <v>1.70154</v>
      </c>
      <c r="W104" s="697">
        <v>1.70559</v>
      </c>
      <c r="X104" s="697">
        <v>1.71356</v>
      </c>
      <c r="Y104" s="697">
        <v>1.71457</v>
      </c>
      <c r="Z104" s="697">
        <v>1.72339</v>
      </c>
      <c r="AA104" s="697">
        <v>1.73179</v>
      </c>
      <c r="AB104" s="697">
        <v>1.74679</v>
      </c>
      <c r="AC104" s="704">
        <v>2.82868941</v>
      </c>
      <c r="AD104" s="705">
        <v>-0.013872882</v>
      </c>
      <c r="AE104" s="705">
        <v>0.0203272973</v>
      </c>
      <c r="AF104" s="705">
        <v>0.00179527923</v>
      </c>
      <c r="AG104" s="705">
        <v>-0.000130823668</v>
      </c>
      <c r="AH104" s="705">
        <v>8.20715361e-6</v>
      </c>
      <c r="AI104" s="709">
        <v>0.295</v>
      </c>
      <c r="AJ104" s="709">
        <v>0.2376</v>
      </c>
      <c r="AK104" s="709">
        <v>0.5766</v>
      </c>
      <c r="AL104" s="709">
        <v>0.2455</v>
      </c>
      <c r="AM104" s="709">
        <v>0.2345</v>
      </c>
      <c r="AN104" s="709">
        <v>0.5107</v>
      </c>
      <c r="AO104" s="709">
        <v>0</v>
      </c>
      <c r="AP104" s="709">
        <v>0.0013</v>
      </c>
      <c r="AQ104" s="709">
        <v>-0.0034</v>
      </c>
      <c r="AR104" s="709">
        <v>-0.0065</v>
      </c>
      <c r="AS104" s="714">
        <v>2.5</v>
      </c>
      <c r="AT104" s="714">
        <v>2.6</v>
      </c>
      <c r="AU104" s="714">
        <v>2.8</v>
      </c>
      <c r="AV104" s="714">
        <v>3.1</v>
      </c>
      <c r="AW104" s="714">
        <v>3.4</v>
      </c>
      <c r="AX104" s="714">
        <v>3.7</v>
      </c>
      <c r="AY104" s="714">
        <v>4.1</v>
      </c>
      <c r="AZ104" s="714">
        <v>4.4</v>
      </c>
      <c r="BA104" s="714">
        <v>4.7</v>
      </c>
      <c r="BB104" s="714">
        <v>5</v>
      </c>
      <c r="BC104" s="714">
        <v>5.2</v>
      </c>
      <c r="BD104" s="714">
        <v>3.1</v>
      </c>
      <c r="BE104" s="714">
        <v>3.3</v>
      </c>
      <c r="BF104" s="714">
        <v>3.4</v>
      </c>
      <c r="BG104" s="714">
        <v>3.6</v>
      </c>
      <c r="BH104" s="714">
        <v>3.9</v>
      </c>
      <c r="BI104" s="714">
        <v>4.2</v>
      </c>
      <c r="BJ104" s="714">
        <v>4.4</v>
      </c>
      <c r="BK104" s="714">
        <v>4.6</v>
      </c>
      <c r="BL104" s="714">
        <v>4.9</v>
      </c>
      <c r="BM104" s="714">
        <v>5.1</v>
      </c>
      <c r="BN104" s="714">
        <v>5.3</v>
      </c>
      <c r="BO104" s="714">
        <v>3.6</v>
      </c>
      <c r="BP104" s="714">
        <v>3.7</v>
      </c>
      <c r="BQ104" s="714">
        <v>4</v>
      </c>
      <c r="BR104" s="714">
        <v>4.3</v>
      </c>
      <c r="BS104" s="714">
        <v>4.6</v>
      </c>
      <c r="BT104" s="714">
        <v>4.8</v>
      </c>
      <c r="BU104" s="714">
        <v>4.9</v>
      </c>
      <c r="BV104" s="714">
        <v>5.1</v>
      </c>
      <c r="BW104" s="714">
        <v>5.3</v>
      </c>
      <c r="BX104" s="714">
        <v>5.4</v>
      </c>
      <c r="BY104" s="714">
        <v>5.7</v>
      </c>
      <c r="BZ104" s="714">
        <v>3.6</v>
      </c>
      <c r="CA104" s="714">
        <v>3.8</v>
      </c>
      <c r="CB104" s="714">
        <v>4.1</v>
      </c>
      <c r="CC104" s="714">
        <v>4.4</v>
      </c>
      <c r="CD104" s="714">
        <v>4.6</v>
      </c>
      <c r="CE104" s="714">
        <v>4.9</v>
      </c>
      <c r="CF104" s="714">
        <v>5.3</v>
      </c>
      <c r="CG104" s="714">
        <v>5.3</v>
      </c>
      <c r="CH104" s="714">
        <v>5.4</v>
      </c>
      <c r="CI104" s="714">
        <v>5.6</v>
      </c>
      <c r="CJ104" s="714">
        <v>5.8</v>
      </c>
      <c r="CK104" s="714">
        <v>3.7</v>
      </c>
      <c r="CL104" s="715">
        <v>3.9</v>
      </c>
      <c r="CM104" s="715">
        <v>4.2</v>
      </c>
      <c r="CN104" s="715">
        <v>4.4</v>
      </c>
      <c r="CO104" s="715">
        <v>4.7</v>
      </c>
      <c r="CP104" s="715">
        <v>4.9</v>
      </c>
      <c r="CQ104" s="715">
        <v>5.3</v>
      </c>
      <c r="CR104" s="714">
        <v>5.4</v>
      </c>
      <c r="CS104" s="714">
        <v>5.6</v>
      </c>
      <c r="CT104" s="714">
        <v>5.7</v>
      </c>
      <c r="CU104" s="714">
        <v>5.9</v>
      </c>
      <c r="CV104" s="714">
        <v>4.1</v>
      </c>
      <c r="CW104" s="715">
        <v>4.4</v>
      </c>
      <c r="CX104" s="715">
        <v>4.6</v>
      </c>
      <c r="CY104" s="715">
        <v>4.7</v>
      </c>
      <c r="CZ104" s="715">
        <v>5</v>
      </c>
      <c r="DA104" s="715">
        <v>5.2</v>
      </c>
      <c r="DB104" s="715">
        <v>5.5</v>
      </c>
      <c r="DC104" s="714">
        <v>5.7</v>
      </c>
      <c r="DD104" s="714">
        <v>6</v>
      </c>
      <c r="DE104" s="714">
        <v>6.1</v>
      </c>
      <c r="DF104" s="714">
        <v>6.3</v>
      </c>
      <c r="DG104" s="714">
        <v>4.7</v>
      </c>
      <c r="DH104" s="715">
        <v>4.9</v>
      </c>
      <c r="DI104" s="715">
        <v>5</v>
      </c>
      <c r="DJ104" s="715">
        <v>5.1</v>
      </c>
      <c r="DK104" s="715">
        <v>5.2</v>
      </c>
      <c r="DL104" s="715">
        <v>5.3</v>
      </c>
      <c r="DM104" s="715">
        <v>5.7</v>
      </c>
      <c r="DN104" s="714">
        <v>5.9</v>
      </c>
      <c r="DO104" s="714">
        <v>6.1</v>
      </c>
      <c r="DP104" s="714">
        <v>6.3</v>
      </c>
      <c r="DQ104" s="714">
        <v>6.6</v>
      </c>
      <c r="DR104" s="714">
        <v>5.4</v>
      </c>
      <c r="DS104" s="715">
        <v>5.6</v>
      </c>
      <c r="DT104" s="715">
        <v>5.7</v>
      </c>
      <c r="DU104" s="715">
        <v>5.8</v>
      </c>
      <c r="DV104" s="715">
        <v>6.1</v>
      </c>
      <c r="DW104" s="715">
        <v>6.2</v>
      </c>
      <c r="DX104" s="715">
        <v>6.4</v>
      </c>
      <c r="DY104" s="714">
        <v>6.7</v>
      </c>
      <c r="DZ104" s="714">
        <v>7</v>
      </c>
      <c r="EA104" s="714">
        <v>7.3</v>
      </c>
      <c r="EB104" s="714">
        <v>7.6</v>
      </c>
      <c r="EC104" s="714">
        <v>5.5</v>
      </c>
      <c r="ED104" s="715">
        <v>5.7</v>
      </c>
      <c r="EE104" s="715">
        <v>5.9</v>
      </c>
      <c r="EF104" s="715">
        <v>6</v>
      </c>
      <c r="EG104" s="715">
        <v>6.2</v>
      </c>
      <c r="EH104" s="715">
        <v>6.3</v>
      </c>
      <c r="EI104" s="715">
        <v>6.6</v>
      </c>
      <c r="EJ104" s="714">
        <v>6.9</v>
      </c>
      <c r="EK104" s="714">
        <v>7.2</v>
      </c>
      <c r="EL104" s="714">
        <v>7.5</v>
      </c>
      <c r="EM104" s="714">
        <v>7.7</v>
      </c>
      <c r="EN104" s="714">
        <v>5.9</v>
      </c>
      <c r="EO104" s="715">
        <v>6.2</v>
      </c>
      <c r="EP104" s="715">
        <v>6.4</v>
      </c>
      <c r="EQ104" s="715">
        <v>6.6</v>
      </c>
      <c r="ER104" s="715">
        <v>6.9</v>
      </c>
      <c r="ES104" s="715">
        <v>7.1</v>
      </c>
      <c r="ET104" s="715">
        <v>7.5</v>
      </c>
      <c r="EU104" s="714">
        <v>7.9</v>
      </c>
      <c r="EV104" s="714">
        <v>8.3</v>
      </c>
      <c r="EW104" s="714">
        <v>8.7</v>
      </c>
      <c r="EX104" s="714">
        <v>9</v>
      </c>
      <c r="EY104" s="714">
        <v>1</v>
      </c>
      <c r="EZ104" s="715">
        <v>1.6</v>
      </c>
      <c r="FA104" s="715">
        <v>2.2</v>
      </c>
      <c r="FB104" s="715">
        <v>2.7</v>
      </c>
      <c r="FC104" s="715">
        <v>3.2</v>
      </c>
      <c r="FD104" s="715">
        <v>3.6</v>
      </c>
      <c r="FE104" s="715">
        <v>4.1</v>
      </c>
      <c r="FF104" s="714">
        <v>4.4</v>
      </c>
      <c r="FG104" s="714">
        <v>4.7</v>
      </c>
      <c r="FH104" s="714">
        <v>4.9</v>
      </c>
      <c r="FI104" s="714">
        <v>5.1</v>
      </c>
      <c r="FJ104" s="723">
        <v>2.34e-6</v>
      </c>
      <c r="FK104" s="723">
        <v>2.11e-8</v>
      </c>
      <c r="FL104" s="723">
        <v>-2.27e-11</v>
      </c>
      <c r="FM104" s="723">
        <v>1.04e-6</v>
      </c>
      <c r="FN104" s="723">
        <v>-3.84e-11</v>
      </c>
      <c r="FO104" s="723">
        <v>0.199</v>
      </c>
      <c r="FP104" s="729">
        <v>1</v>
      </c>
      <c r="FQ104" s="729">
        <v>1</v>
      </c>
      <c r="FR104" s="729">
        <v>1</v>
      </c>
      <c r="FS104" s="729">
        <v>1</v>
      </c>
      <c r="FT104" s="729">
        <v>1</v>
      </c>
      <c r="FU104" s="729">
        <v>1</v>
      </c>
      <c r="FV104" s="681">
        <v>1</v>
      </c>
      <c r="FW104" s="729"/>
      <c r="FX104" s="729"/>
      <c r="FY104" s="729"/>
      <c r="FZ104" s="746">
        <v>599</v>
      </c>
      <c r="GA104" s="746">
        <v>657</v>
      </c>
      <c r="GB104" s="681">
        <v>555</v>
      </c>
      <c r="GC104" s="681">
        <v>595</v>
      </c>
      <c r="GD104" s="747">
        <v>0.99</v>
      </c>
      <c r="GE104" s="729"/>
      <c r="GF104" s="681">
        <v>68</v>
      </c>
      <c r="GG104" s="681">
        <v>84</v>
      </c>
      <c r="GH104" s="681">
        <v>58</v>
      </c>
      <c r="GI104" s="681">
        <v>61</v>
      </c>
      <c r="GJ104" s="681">
        <v>62</v>
      </c>
      <c r="GK104" s="681">
        <v>62</v>
      </c>
      <c r="GL104" s="681">
        <v>66</v>
      </c>
      <c r="GM104" s="681">
        <v>67</v>
      </c>
      <c r="GN104" s="681">
        <v>67</v>
      </c>
      <c r="GO104" s="681">
        <v>68</v>
      </c>
      <c r="GP104" s="681">
        <v>68</v>
      </c>
      <c r="GQ104" s="681">
        <v>70</v>
      </c>
      <c r="GR104" s="681">
        <v>70</v>
      </c>
      <c r="GS104" s="681">
        <v>73</v>
      </c>
      <c r="GT104" s="681">
        <v>73</v>
      </c>
      <c r="GU104" s="681">
        <v>73</v>
      </c>
      <c r="GV104" s="681">
        <v>74</v>
      </c>
      <c r="GW104" s="681">
        <v>76</v>
      </c>
      <c r="GX104" s="681">
        <v>77</v>
      </c>
      <c r="GY104" s="681">
        <v>78</v>
      </c>
      <c r="GZ104" s="681">
        <v>79</v>
      </c>
      <c r="HA104" s="681">
        <v>79</v>
      </c>
      <c r="HB104" s="681">
        <v>82</v>
      </c>
      <c r="HC104" s="681"/>
      <c r="HD104" s="750">
        <v>140</v>
      </c>
      <c r="HE104" s="681"/>
      <c r="HF104" s="681">
        <v>618</v>
      </c>
      <c r="HG104" s="681">
        <v>125</v>
      </c>
      <c r="HH104" s="714">
        <v>98.5</v>
      </c>
      <c r="HI104" s="714">
        <v>38.4</v>
      </c>
      <c r="HJ104" s="753">
        <v>0.284</v>
      </c>
      <c r="HK104" s="681">
        <v>78</v>
      </c>
      <c r="HL104" s="685">
        <v>2.05</v>
      </c>
      <c r="HM104" s="747">
        <v>3.64</v>
      </c>
      <c r="HN104" s="729" t="s">
        <v>944</v>
      </c>
      <c r="HO104" s="729" t="s">
        <v>945</v>
      </c>
      <c r="HP104" s="714">
        <v>-0.7</v>
      </c>
      <c r="HQ104" s="753">
        <v>0.949</v>
      </c>
      <c r="HR104" s="753">
        <v>0.976</v>
      </c>
      <c r="HS104" s="753">
        <v>0.991</v>
      </c>
      <c r="HT104" s="753">
        <v>0.995</v>
      </c>
      <c r="HU104" s="753">
        <v>0.998</v>
      </c>
      <c r="HV104" s="753">
        <v>0.998</v>
      </c>
      <c r="HW104" s="753">
        <v>0.999</v>
      </c>
      <c r="HX104" s="753">
        <v>0.999</v>
      </c>
      <c r="HY104" s="753">
        <v>0.999</v>
      </c>
      <c r="HZ104" s="753">
        <v>0.999</v>
      </c>
      <c r="IA104" s="753">
        <v>0.999</v>
      </c>
      <c r="IB104" s="753">
        <v>0.999</v>
      </c>
      <c r="IC104" s="753">
        <v>0.999</v>
      </c>
      <c r="ID104" s="753">
        <v>0.999</v>
      </c>
      <c r="IE104" s="753">
        <v>0.999</v>
      </c>
      <c r="IF104" s="753">
        <v>0.998</v>
      </c>
      <c r="IG104" s="753">
        <v>0.998</v>
      </c>
      <c r="IH104" s="753">
        <v>0.998</v>
      </c>
      <c r="II104" s="753">
        <v>0.997</v>
      </c>
      <c r="IJ104" s="753">
        <v>0.996</v>
      </c>
      <c r="IK104" s="753">
        <v>0.994</v>
      </c>
      <c r="IL104" s="753">
        <v>0.993</v>
      </c>
      <c r="IM104" s="753">
        <v>0.989</v>
      </c>
      <c r="IN104" s="753">
        <v>0.979</v>
      </c>
      <c r="IO104" s="753">
        <v>0.964</v>
      </c>
      <c r="IP104" s="753">
        <v>0.935</v>
      </c>
      <c r="IQ104" s="753">
        <v>0.861</v>
      </c>
      <c r="IR104" s="753">
        <v>0.681</v>
      </c>
      <c r="IS104" s="753">
        <v>0.343</v>
      </c>
      <c r="IT104" s="753"/>
      <c r="IU104" s="753"/>
      <c r="IV104" s="753"/>
      <c r="IW104" s="753"/>
      <c r="IX104" s="753"/>
      <c r="IY104" s="753"/>
      <c r="IZ104" s="753"/>
      <c r="JA104" s="754">
        <v>0.901</v>
      </c>
      <c r="JB104" s="754">
        <v>0.952</v>
      </c>
      <c r="JC104" s="754">
        <v>0.982</v>
      </c>
      <c r="JD104" s="754">
        <v>0.99</v>
      </c>
      <c r="JE104" s="754">
        <v>0.996</v>
      </c>
      <c r="JF104" s="754">
        <v>0.996</v>
      </c>
      <c r="JG104" s="754">
        <v>0.998</v>
      </c>
      <c r="JH104" s="754">
        <v>0.998</v>
      </c>
      <c r="JI104" s="754">
        <v>0.998</v>
      </c>
      <c r="JJ104" s="754">
        <v>0.998</v>
      </c>
      <c r="JK104" s="754">
        <v>0.998</v>
      </c>
      <c r="JL104" s="754">
        <v>0.998</v>
      </c>
      <c r="JM104" s="754">
        <v>0.998</v>
      </c>
      <c r="JN104" s="754">
        <v>0.998</v>
      </c>
      <c r="JO104" s="754">
        <v>0.998</v>
      </c>
      <c r="JP104" s="754">
        <v>0.997</v>
      </c>
      <c r="JQ104" s="754">
        <v>0.997</v>
      </c>
      <c r="JR104" s="754">
        <v>0.997</v>
      </c>
      <c r="JS104" s="754">
        <v>0.994</v>
      </c>
      <c r="JT104" s="754">
        <v>0.992</v>
      </c>
      <c r="JU104" s="754">
        <v>0.989</v>
      </c>
      <c r="JV104" s="754">
        <v>0.986</v>
      </c>
      <c r="JW104" s="754">
        <v>0.978</v>
      </c>
      <c r="JX104" s="754">
        <v>0.958</v>
      </c>
      <c r="JY104" s="754">
        <v>0.93</v>
      </c>
      <c r="JZ104" s="754">
        <v>0.874</v>
      </c>
      <c r="KA104" s="754">
        <v>0.741</v>
      </c>
      <c r="KB104" s="754">
        <v>0.464</v>
      </c>
      <c r="KC104" s="754">
        <v>0.118</v>
      </c>
      <c r="KD104" s="754"/>
      <c r="KE104" s="754"/>
      <c r="KF104" s="754"/>
      <c r="KG104" s="754"/>
      <c r="KH104" s="754"/>
      <c r="KI104" s="754"/>
      <c r="KJ104" s="754"/>
      <c r="KK104" s="765" t="s">
        <v>281</v>
      </c>
      <c r="KL104" s="738">
        <v>27</v>
      </c>
      <c r="KM104" s="738">
        <v>98</v>
      </c>
      <c r="KN104" s="646" t="s">
        <v>339</v>
      </c>
      <c r="KO104" s="646" t="s">
        <v>943</v>
      </c>
      <c r="KP104" s="680">
        <v>702412</v>
      </c>
      <c r="KQ104" s="766" t="s">
        <v>946</v>
      </c>
      <c r="KR104" s="750" t="s">
        <v>947</v>
      </c>
      <c r="KS104" s="769" t="s">
        <v>943</v>
      </c>
      <c r="KT104" s="770" t="s">
        <v>947</v>
      </c>
      <c r="KU104" s="766" t="s">
        <v>948</v>
      </c>
      <c r="KV104" s="750">
        <v>702412</v>
      </c>
      <c r="KW104" s="771"/>
      <c r="KX104" s="750"/>
      <c r="KY104" s="769" t="s">
        <v>949</v>
      </c>
      <c r="KZ104" s="770" t="s">
        <v>950</v>
      </c>
    </row>
    <row r="105" s="628" customFormat="1" customHeight="1" spans="1:312">
      <c r="A105" s="682" t="s">
        <v>300</v>
      </c>
      <c r="B105" s="683">
        <v>101</v>
      </c>
      <c r="C105" s="689" t="s">
        <v>951</v>
      </c>
      <c r="D105" s="680">
        <v>723380</v>
      </c>
      <c r="E105" s="685">
        <v>37.99</v>
      </c>
      <c r="F105" s="685">
        <v>37.72</v>
      </c>
      <c r="G105" s="688">
        <v>0.019041</v>
      </c>
      <c r="H105" s="686">
        <v>0.019297</v>
      </c>
      <c r="I105" s="696">
        <v>1.68318</v>
      </c>
      <c r="J105" s="696">
        <v>1.68884</v>
      </c>
      <c r="K105" s="696">
        <v>1.69529</v>
      </c>
      <c r="L105" s="696">
        <v>1.7017</v>
      </c>
      <c r="M105" s="696">
        <v>1.70299</v>
      </c>
      <c r="N105" s="696">
        <v>1.70407</v>
      </c>
      <c r="O105" s="696">
        <v>1.7085</v>
      </c>
      <c r="P105" s="696">
        <v>1.71169</v>
      </c>
      <c r="Q105" s="697">
        <v>1.71471</v>
      </c>
      <c r="R105" s="697">
        <v>1.71781</v>
      </c>
      <c r="S105" s="697">
        <v>1.71869</v>
      </c>
      <c r="T105" s="701">
        <v>1.71952</v>
      </c>
      <c r="U105" s="697">
        <v>1.72325</v>
      </c>
      <c r="V105" s="697">
        <v>1.72341</v>
      </c>
      <c r="W105" s="697">
        <v>1.72793</v>
      </c>
      <c r="X105" s="697">
        <v>1.73685</v>
      </c>
      <c r="Y105" s="697">
        <v>1.73798</v>
      </c>
      <c r="Z105" s="697">
        <v>1.74793</v>
      </c>
      <c r="AA105" s="697">
        <v>1.75759</v>
      </c>
      <c r="AB105" s="697">
        <v>1.77526</v>
      </c>
      <c r="AC105" s="704">
        <v>2.88881294</v>
      </c>
      <c r="AD105" s="705">
        <v>-0.0112014238</v>
      </c>
      <c r="AE105" s="705">
        <v>0.0261117044</v>
      </c>
      <c r="AF105" s="705">
        <v>0.00131652955</v>
      </c>
      <c r="AG105" s="705">
        <v>-9.02985011e-5</v>
      </c>
      <c r="AH105" s="705">
        <v>1.01643068e-5</v>
      </c>
      <c r="AI105" s="709">
        <v>0.2941</v>
      </c>
      <c r="AJ105" s="709">
        <v>0.2374</v>
      </c>
      <c r="AK105" s="709">
        <v>0.5819</v>
      </c>
      <c r="AL105" s="709">
        <v>0.2446</v>
      </c>
      <c r="AM105" s="709">
        <v>0.2342</v>
      </c>
      <c r="AN105" s="709">
        <v>0.5156</v>
      </c>
      <c r="AO105" s="709">
        <v>-0.0008</v>
      </c>
      <c r="AP105" s="709">
        <v>0.0014</v>
      </c>
      <c r="AQ105" s="709">
        <v>-0.0026</v>
      </c>
      <c r="AR105" s="709">
        <v>-0.0026</v>
      </c>
      <c r="AS105" s="714">
        <v>3.6</v>
      </c>
      <c r="AT105" s="714">
        <v>3.7</v>
      </c>
      <c r="AU105" s="714">
        <v>3.6</v>
      </c>
      <c r="AV105" s="714">
        <v>3.6</v>
      </c>
      <c r="AW105" s="714">
        <v>3.7</v>
      </c>
      <c r="AX105" s="714">
        <v>3.7</v>
      </c>
      <c r="AY105" s="714">
        <v>3.7</v>
      </c>
      <c r="AZ105" s="714">
        <v>3.8</v>
      </c>
      <c r="BA105" s="714">
        <v>3.9</v>
      </c>
      <c r="BB105" s="714">
        <v>4</v>
      </c>
      <c r="BC105" s="714">
        <v>4.1</v>
      </c>
      <c r="BD105" s="714">
        <v>4</v>
      </c>
      <c r="BE105" s="714">
        <v>4.1</v>
      </c>
      <c r="BF105" s="714">
        <v>4.2</v>
      </c>
      <c r="BG105" s="714">
        <v>4.3</v>
      </c>
      <c r="BH105" s="714">
        <v>4.3</v>
      </c>
      <c r="BI105" s="714">
        <v>4.3</v>
      </c>
      <c r="BJ105" s="714">
        <v>4.5</v>
      </c>
      <c r="BK105" s="714">
        <v>4.5</v>
      </c>
      <c r="BL105" s="714">
        <v>4.7</v>
      </c>
      <c r="BM105" s="714">
        <v>4.8</v>
      </c>
      <c r="BN105" s="714">
        <v>4.9</v>
      </c>
      <c r="BO105" s="714">
        <v>4.4</v>
      </c>
      <c r="BP105" s="714">
        <v>4.4</v>
      </c>
      <c r="BQ105" s="714">
        <v>4.5</v>
      </c>
      <c r="BR105" s="714">
        <v>4.5</v>
      </c>
      <c r="BS105" s="714">
        <v>4.5</v>
      </c>
      <c r="BT105" s="714">
        <v>4.5</v>
      </c>
      <c r="BU105" s="714">
        <v>4.7</v>
      </c>
      <c r="BV105" s="714">
        <v>4.7</v>
      </c>
      <c r="BW105" s="714">
        <v>4.8</v>
      </c>
      <c r="BX105" s="714">
        <v>4.9</v>
      </c>
      <c r="BY105" s="714">
        <v>5</v>
      </c>
      <c r="BZ105" s="714">
        <v>4.4</v>
      </c>
      <c r="CA105" s="714">
        <v>4.4</v>
      </c>
      <c r="CB105" s="714">
        <v>4.5</v>
      </c>
      <c r="CC105" s="714">
        <v>4.5</v>
      </c>
      <c r="CD105" s="714">
        <v>4.5</v>
      </c>
      <c r="CE105" s="714">
        <v>4.5</v>
      </c>
      <c r="CF105" s="714">
        <v>4.7</v>
      </c>
      <c r="CG105" s="714">
        <v>4.8</v>
      </c>
      <c r="CH105" s="714">
        <v>4.9</v>
      </c>
      <c r="CI105" s="714">
        <v>4.9</v>
      </c>
      <c r="CJ105" s="714">
        <v>5</v>
      </c>
      <c r="CK105" s="714">
        <v>4.5</v>
      </c>
      <c r="CL105" s="715">
        <v>4.5</v>
      </c>
      <c r="CM105" s="715">
        <v>4.5</v>
      </c>
      <c r="CN105" s="715">
        <v>4.6</v>
      </c>
      <c r="CO105" s="715">
        <v>4.6</v>
      </c>
      <c r="CP105" s="715">
        <v>4.6</v>
      </c>
      <c r="CQ105" s="715">
        <v>4.8</v>
      </c>
      <c r="CR105" s="714">
        <v>4.9</v>
      </c>
      <c r="CS105" s="714">
        <v>5</v>
      </c>
      <c r="CT105" s="714">
        <v>5.1</v>
      </c>
      <c r="CU105" s="714">
        <v>5.2</v>
      </c>
      <c r="CV105" s="714">
        <v>4.7</v>
      </c>
      <c r="CW105" s="715">
        <v>4.7</v>
      </c>
      <c r="CX105" s="715">
        <v>4.7</v>
      </c>
      <c r="CY105" s="715">
        <v>4.8</v>
      </c>
      <c r="CZ105" s="715">
        <v>4.8</v>
      </c>
      <c r="DA105" s="715">
        <v>4.9</v>
      </c>
      <c r="DB105" s="715">
        <v>5</v>
      </c>
      <c r="DC105" s="714">
        <v>5.1</v>
      </c>
      <c r="DD105" s="714">
        <v>5.1</v>
      </c>
      <c r="DE105" s="714">
        <v>5.2</v>
      </c>
      <c r="DF105" s="714">
        <v>5.3</v>
      </c>
      <c r="DG105" s="714">
        <v>5</v>
      </c>
      <c r="DH105" s="715">
        <v>5.1</v>
      </c>
      <c r="DI105" s="715">
        <v>5.2</v>
      </c>
      <c r="DJ105" s="715">
        <v>5.2</v>
      </c>
      <c r="DK105" s="715">
        <v>5.2</v>
      </c>
      <c r="DL105" s="715">
        <v>5.3</v>
      </c>
      <c r="DM105" s="715">
        <v>5.4</v>
      </c>
      <c r="DN105" s="714">
        <v>5.5</v>
      </c>
      <c r="DO105" s="714">
        <v>5.4</v>
      </c>
      <c r="DP105" s="714">
        <v>5.6</v>
      </c>
      <c r="DQ105" s="714">
        <v>5.7</v>
      </c>
      <c r="DR105" s="714">
        <v>5.7</v>
      </c>
      <c r="DS105" s="715">
        <v>5.7</v>
      </c>
      <c r="DT105" s="715">
        <v>5.8</v>
      </c>
      <c r="DU105" s="715">
        <v>5.8</v>
      </c>
      <c r="DV105" s="715">
        <v>5.9</v>
      </c>
      <c r="DW105" s="715">
        <v>6.1</v>
      </c>
      <c r="DX105" s="715">
        <v>6.2</v>
      </c>
      <c r="DY105" s="714">
        <v>6.3</v>
      </c>
      <c r="DZ105" s="714">
        <v>6.5</v>
      </c>
      <c r="EA105" s="714">
        <v>6.6</v>
      </c>
      <c r="EB105" s="714">
        <v>6.7</v>
      </c>
      <c r="EC105" s="714">
        <v>5.8</v>
      </c>
      <c r="ED105" s="715">
        <v>5.8</v>
      </c>
      <c r="EE105" s="715">
        <v>5.9</v>
      </c>
      <c r="EF105" s="715">
        <v>6</v>
      </c>
      <c r="EG105" s="715">
        <v>6</v>
      </c>
      <c r="EH105" s="715">
        <v>6.2</v>
      </c>
      <c r="EI105" s="715">
        <v>6.3</v>
      </c>
      <c r="EJ105" s="714">
        <v>6.4</v>
      </c>
      <c r="EK105" s="714">
        <v>6.6</v>
      </c>
      <c r="EL105" s="714">
        <v>6.7</v>
      </c>
      <c r="EM105" s="714">
        <v>6.8</v>
      </c>
      <c r="EN105" s="714">
        <v>6.6</v>
      </c>
      <c r="EO105" s="715">
        <v>6.6</v>
      </c>
      <c r="EP105" s="715">
        <v>6.7</v>
      </c>
      <c r="EQ105" s="715">
        <v>6.8</v>
      </c>
      <c r="ER105" s="715">
        <v>6.8</v>
      </c>
      <c r="ES105" s="715">
        <v>7</v>
      </c>
      <c r="ET105" s="715">
        <v>7.3</v>
      </c>
      <c r="EU105" s="714">
        <v>7.4</v>
      </c>
      <c r="EV105" s="714">
        <v>7.5</v>
      </c>
      <c r="EW105" s="714">
        <v>7.6</v>
      </c>
      <c r="EX105" s="714">
        <v>7.7</v>
      </c>
      <c r="EY105" s="714">
        <v>1.7</v>
      </c>
      <c r="EZ105" s="715">
        <v>2.2</v>
      </c>
      <c r="FA105" s="715">
        <v>2.5</v>
      </c>
      <c r="FB105" s="715">
        <v>2.9</v>
      </c>
      <c r="FC105" s="715">
        <v>3.1</v>
      </c>
      <c r="FD105" s="715">
        <v>3.3</v>
      </c>
      <c r="FE105" s="715">
        <v>3.6</v>
      </c>
      <c r="FF105" s="714">
        <v>3.9</v>
      </c>
      <c r="FG105" s="714">
        <v>4.1</v>
      </c>
      <c r="FH105" s="714">
        <v>4.3</v>
      </c>
      <c r="FI105" s="714">
        <v>4.4</v>
      </c>
      <c r="FJ105" s="723">
        <v>3.29e-6</v>
      </c>
      <c r="FK105" s="723">
        <v>1.22e-8</v>
      </c>
      <c r="FL105" s="723">
        <v>-2.04e-11</v>
      </c>
      <c r="FM105" s="723">
        <v>6.43e-7</v>
      </c>
      <c r="FN105" s="723">
        <v>3.41e-10</v>
      </c>
      <c r="FO105" s="723">
        <v>0.274</v>
      </c>
      <c r="FP105" s="729">
        <v>1</v>
      </c>
      <c r="FQ105" s="729">
        <v>1</v>
      </c>
      <c r="FR105" s="729">
        <v>1</v>
      </c>
      <c r="FS105" s="729">
        <v>2</v>
      </c>
      <c r="FT105" s="729">
        <v>1</v>
      </c>
      <c r="FU105" s="729">
        <v>1</v>
      </c>
      <c r="FV105" s="681">
        <v>1</v>
      </c>
      <c r="FW105" s="729"/>
      <c r="FX105" s="729"/>
      <c r="FY105" s="729"/>
      <c r="FZ105" s="746">
        <v>614</v>
      </c>
      <c r="GA105" s="746">
        <v>666</v>
      </c>
      <c r="GB105" s="681">
        <v>558</v>
      </c>
      <c r="GC105" s="681">
        <v>596</v>
      </c>
      <c r="GD105" s="747">
        <v>0.98</v>
      </c>
      <c r="GE105" s="729"/>
      <c r="GF105" s="681">
        <v>67</v>
      </c>
      <c r="GG105" s="681">
        <v>83</v>
      </c>
      <c r="GH105" s="681">
        <v>58</v>
      </c>
      <c r="GI105" s="681">
        <v>61</v>
      </c>
      <c r="GJ105" s="681">
        <v>63</v>
      </c>
      <c r="GK105" s="681">
        <v>63</v>
      </c>
      <c r="GL105" s="681">
        <v>65</v>
      </c>
      <c r="GM105" s="681">
        <v>65</v>
      </c>
      <c r="GN105" s="681">
        <v>66</v>
      </c>
      <c r="GO105" s="681">
        <v>67</v>
      </c>
      <c r="GP105" s="681">
        <v>68</v>
      </c>
      <c r="GQ105" s="681">
        <v>68</v>
      </c>
      <c r="GR105" s="681">
        <v>69</v>
      </c>
      <c r="GS105" s="681">
        <v>69</v>
      </c>
      <c r="GT105" s="681">
        <v>70</v>
      </c>
      <c r="GU105" s="681">
        <v>71</v>
      </c>
      <c r="GV105" s="681">
        <v>71</v>
      </c>
      <c r="GW105" s="681">
        <v>72</v>
      </c>
      <c r="GX105" s="681">
        <v>73</v>
      </c>
      <c r="GY105" s="681">
        <v>75</v>
      </c>
      <c r="GZ105" s="681">
        <v>76</v>
      </c>
      <c r="HA105" s="681">
        <v>77</v>
      </c>
      <c r="HB105" s="681">
        <v>78</v>
      </c>
      <c r="HC105" s="681"/>
      <c r="HD105" s="750">
        <v>170</v>
      </c>
      <c r="HE105" s="681"/>
      <c r="HF105" s="681">
        <v>565</v>
      </c>
      <c r="HG105" s="681">
        <v>158</v>
      </c>
      <c r="HH105" s="714">
        <v>100.6</v>
      </c>
      <c r="HI105" s="714">
        <v>39.4</v>
      </c>
      <c r="HJ105" s="753">
        <v>0.276</v>
      </c>
      <c r="HK105" s="681">
        <v>90</v>
      </c>
      <c r="HL105" s="685">
        <v>1.98</v>
      </c>
      <c r="HM105" s="747">
        <v>3.61</v>
      </c>
      <c r="HN105" s="729" t="s">
        <v>952</v>
      </c>
      <c r="HO105" s="729" t="s">
        <v>953</v>
      </c>
      <c r="HP105" s="714">
        <v>-0.3</v>
      </c>
      <c r="HQ105" s="753">
        <v>0.949</v>
      </c>
      <c r="HR105" s="753">
        <v>0.98</v>
      </c>
      <c r="HS105" s="753">
        <v>0.992</v>
      </c>
      <c r="HT105" s="753">
        <v>0.999</v>
      </c>
      <c r="HU105" s="753">
        <v>0.999</v>
      </c>
      <c r="HV105" s="753">
        <v>0.999</v>
      </c>
      <c r="HW105" s="753">
        <v>0.999</v>
      </c>
      <c r="HX105" s="753">
        <v>0.999</v>
      </c>
      <c r="HY105" s="753">
        <v>0.999</v>
      </c>
      <c r="HZ105" s="753">
        <v>0.999</v>
      </c>
      <c r="IA105" s="753">
        <v>0.999</v>
      </c>
      <c r="IB105" s="753">
        <v>0.999</v>
      </c>
      <c r="IC105" s="753">
        <v>0.999</v>
      </c>
      <c r="ID105" s="753">
        <v>0.999</v>
      </c>
      <c r="IE105" s="753">
        <v>0.999</v>
      </c>
      <c r="IF105" s="753">
        <v>0.999</v>
      </c>
      <c r="IG105" s="753">
        <v>0.999</v>
      </c>
      <c r="IH105" s="753">
        <v>0.999</v>
      </c>
      <c r="II105" s="753">
        <v>0.995</v>
      </c>
      <c r="IJ105" s="753">
        <v>0.993</v>
      </c>
      <c r="IK105" s="753">
        <v>0.99</v>
      </c>
      <c r="IL105" s="753">
        <v>0.987</v>
      </c>
      <c r="IM105" s="753">
        <v>0.98</v>
      </c>
      <c r="IN105" s="753">
        <v>0.959</v>
      </c>
      <c r="IO105" s="753">
        <v>0.932</v>
      </c>
      <c r="IP105" s="753">
        <v>0.873</v>
      </c>
      <c r="IQ105" s="753">
        <v>0.739</v>
      </c>
      <c r="IR105" s="753">
        <v>0.463</v>
      </c>
      <c r="IS105" s="753">
        <v>0.131</v>
      </c>
      <c r="IT105" s="753"/>
      <c r="IU105" s="753"/>
      <c r="IV105" s="753"/>
      <c r="IW105" s="753"/>
      <c r="IX105" s="753"/>
      <c r="IY105" s="753"/>
      <c r="IZ105" s="753"/>
      <c r="JA105" s="754">
        <v>0.901</v>
      </c>
      <c r="JB105" s="754">
        <v>0.96</v>
      </c>
      <c r="JC105" s="754">
        <v>0.984</v>
      </c>
      <c r="JD105" s="754">
        <v>0.998</v>
      </c>
      <c r="JE105" s="754">
        <v>0.998</v>
      </c>
      <c r="JF105" s="754">
        <v>0.998</v>
      </c>
      <c r="JG105" s="754">
        <v>0.998</v>
      </c>
      <c r="JH105" s="754">
        <v>0.998</v>
      </c>
      <c r="JI105" s="754">
        <v>0.998</v>
      </c>
      <c r="JJ105" s="754">
        <v>0.998</v>
      </c>
      <c r="JK105" s="754">
        <v>0.998</v>
      </c>
      <c r="JL105" s="754">
        <v>0.998</v>
      </c>
      <c r="JM105" s="754">
        <v>0.998</v>
      </c>
      <c r="JN105" s="754">
        <v>0.998</v>
      </c>
      <c r="JO105" s="754">
        <v>0.998</v>
      </c>
      <c r="JP105" s="754">
        <v>0.998</v>
      </c>
      <c r="JQ105" s="754">
        <v>0.998</v>
      </c>
      <c r="JR105" s="754">
        <v>0.998</v>
      </c>
      <c r="JS105" s="754">
        <v>0.989</v>
      </c>
      <c r="JT105" s="754">
        <v>0.986</v>
      </c>
      <c r="JU105" s="754">
        <v>0.981</v>
      </c>
      <c r="JV105" s="754">
        <v>0.974</v>
      </c>
      <c r="JW105" s="754">
        <v>0.961</v>
      </c>
      <c r="JX105" s="754">
        <v>0.92</v>
      </c>
      <c r="JY105" s="754">
        <v>0.868</v>
      </c>
      <c r="JZ105" s="754">
        <v>0.762</v>
      </c>
      <c r="KA105" s="754">
        <v>0.547</v>
      </c>
      <c r="KB105" s="754">
        <v>0.215</v>
      </c>
      <c r="KC105" s="754">
        <v>0.017</v>
      </c>
      <c r="KD105" s="754"/>
      <c r="KE105" s="754"/>
      <c r="KF105" s="754"/>
      <c r="KG105" s="754"/>
      <c r="KH105" s="754"/>
      <c r="KI105" s="754"/>
      <c r="KJ105" s="754"/>
      <c r="KK105" s="765" t="s">
        <v>281</v>
      </c>
      <c r="KL105" s="738">
        <v>25</v>
      </c>
      <c r="KM105" s="738">
        <v>90</v>
      </c>
      <c r="KN105" s="646" t="s">
        <v>339</v>
      </c>
      <c r="KO105" s="646" t="s">
        <v>951</v>
      </c>
      <c r="KP105" s="680">
        <v>723380</v>
      </c>
      <c r="KQ105" s="766" t="s">
        <v>954</v>
      </c>
      <c r="KR105" s="750" t="s">
        <v>955</v>
      </c>
      <c r="KS105" s="769" t="s">
        <v>951</v>
      </c>
      <c r="KT105" s="770" t="s">
        <v>955</v>
      </c>
      <c r="KU105" s="766" t="s">
        <v>956</v>
      </c>
      <c r="KV105" s="750">
        <v>723380</v>
      </c>
      <c r="KW105" s="771"/>
      <c r="KX105" s="750"/>
      <c r="KY105" s="769"/>
      <c r="KZ105" s="770"/>
    </row>
    <row r="106" s="628" customFormat="1" customHeight="1" spans="1:312">
      <c r="A106" s="682" t="s">
        <v>300</v>
      </c>
      <c r="B106" s="683">
        <v>102</v>
      </c>
      <c r="C106" s="689" t="s">
        <v>957</v>
      </c>
      <c r="D106" s="680">
        <v>658509</v>
      </c>
      <c r="E106" s="685">
        <v>50.85</v>
      </c>
      <c r="F106" s="685">
        <v>50.57</v>
      </c>
      <c r="G106" s="688">
        <v>0.012948</v>
      </c>
      <c r="H106" s="686">
        <v>0.013082</v>
      </c>
      <c r="I106" s="696">
        <v>1.62814</v>
      </c>
      <c r="J106" s="696">
        <v>1.63271</v>
      </c>
      <c r="K106" s="696">
        <v>1.63788</v>
      </c>
      <c r="L106" s="696">
        <v>1.64287</v>
      </c>
      <c r="M106" s="696">
        <v>1.64384</v>
      </c>
      <c r="N106" s="696">
        <v>1.64466</v>
      </c>
      <c r="O106" s="696">
        <v>1.64791</v>
      </c>
      <c r="P106" s="696">
        <v>1.65021</v>
      </c>
      <c r="Q106" s="697">
        <v>1.65237</v>
      </c>
      <c r="R106" s="697">
        <v>1.65455</v>
      </c>
      <c r="S106" s="697">
        <v>1.65517</v>
      </c>
      <c r="T106" s="701">
        <v>1.65575</v>
      </c>
      <c r="U106" s="697">
        <v>1.65833</v>
      </c>
      <c r="V106" s="697">
        <v>1.65844</v>
      </c>
      <c r="W106" s="697">
        <v>1.66152</v>
      </c>
      <c r="X106" s="697">
        <v>1.6675</v>
      </c>
      <c r="Y106" s="697">
        <v>1.66825</v>
      </c>
      <c r="Z106" s="697">
        <v>1.67472</v>
      </c>
      <c r="AA106" s="697">
        <v>1.68081</v>
      </c>
      <c r="AB106" s="697">
        <v>1.69138</v>
      </c>
      <c r="AC106" s="704">
        <v>2.6951382</v>
      </c>
      <c r="AD106" s="705">
        <v>-0.00884212838</v>
      </c>
      <c r="AE106" s="705">
        <v>0.0189677206</v>
      </c>
      <c r="AF106" s="705">
        <v>0.000417388089</v>
      </c>
      <c r="AG106" s="705">
        <v>-9.33466805e-6</v>
      </c>
      <c r="AH106" s="705">
        <v>1.53699645e-6</v>
      </c>
      <c r="AI106" s="709">
        <v>0.3004</v>
      </c>
      <c r="AJ106" s="709">
        <v>0.2379</v>
      </c>
      <c r="AK106" s="709">
        <v>0.5576</v>
      </c>
      <c r="AL106" s="709">
        <v>0.25</v>
      </c>
      <c r="AM106" s="709">
        <v>0.2354</v>
      </c>
      <c r="AN106" s="709">
        <v>0.4946</v>
      </c>
      <c r="AO106" s="709">
        <v>-0.0003</v>
      </c>
      <c r="AP106" s="709">
        <v>-0.0015</v>
      </c>
      <c r="AQ106" s="709">
        <v>-0.0227</v>
      </c>
      <c r="AR106" s="709">
        <v>-0.0096</v>
      </c>
      <c r="AS106" s="714">
        <v>2.4</v>
      </c>
      <c r="AT106" s="714">
        <v>2.4</v>
      </c>
      <c r="AU106" s="714">
        <v>2.4</v>
      </c>
      <c r="AV106" s="714">
        <v>2.4</v>
      </c>
      <c r="AW106" s="714">
        <v>2.4</v>
      </c>
      <c r="AX106" s="714">
        <v>2.3</v>
      </c>
      <c r="AY106" s="714">
        <v>2.5</v>
      </c>
      <c r="AZ106" s="714">
        <v>2.6</v>
      </c>
      <c r="BA106" s="714">
        <v>2.7</v>
      </c>
      <c r="BB106" s="714">
        <v>2.7</v>
      </c>
      <c r="BC106" s="714">
        <v>2.7</v>
      </c>
      <c r="BD106" s="714">
        <v>2.7</v>
      </c>
      <c r="BE106" s="714">
        <v>2.8</v>
      </c>
      <c r="BF106" s="714">
        <v>2.7</v>
      </c>
      <c r="BG106" s="714">
        <v>2.7</v>
      </c>
      <c r="BH106" s="714">
        <v>2.7</v>
      </c>
      <c r="BI106" s="714">
        <v>2.9</v>
      </c>
      <c r="BJ106" s="714">
        <v>3</v>
      </c>
      <c r="BK106" s="714">
        <v>3.1</v>
      </c>
      <c r="BL106" s="714">
        <v>3.2</v>
      </c>
      <c r="BM106" s="714">
        <v>3.3</v>
      </c>
      <c r="BN106" s="714">
        <v>3.3</v>
      </c>
      <c r="BO106" s="714">
        <v>3</v>
      </c>
      <c r="BP106" s="714">
        <v>3</v>
      </c>
      <c r="BQ106" s="714">
        <v>3</v>
      </c>
      <c r="BR106" s="714">
        <v>3</v>
      </c>
      <c r="BS106" s="714">
        <v>3</v>
      </c>
      <c r="BT106" s="714">
        <v>3.2</v>
      </c>
      <c r="BU106" s="714">
        <v>3.2</v>
      </c>
      <c r="BV106" s="714">
        <v>3.3</v>
      </c>
      <c r="BW106" s="714">
        <v>3.4</v>
      </c>
      <c r="BX106" s="714">
        <v>3.5</v>
      </c>
      <c r="BY106" s="714">
        <v>3.6</v>
      </c>
      <c r="BZ106" s="714">
        <v>3</v>
      </c>
      <c r="CA106" s="714">
        <v>3</v>
      </c>
      <c r="CB106" s="714">
        <v>3</v>
      </c>
      <c r="CC106" s="714">
        <v>3.1</v>
      </c>
      <c r="CD106" s="714">
        <v>3</v>
      </c>
      <c r="CE106" s="714">
        <v>3.2</v>
      </c>
      <c r="CF106" s="714">
        <v>3.3</v>
      </c>
      <c r="CG106" s="714">
        <v>3.4</v>
      </c>
      <c r="CH106" s="714">
        <v>3.5</v>
      </c>
      <c r="CI106" s="714">
        <v>3.6</v>
      </c>
      <c r="CJ106" s="714">
        <v>3.6</v>
      </c>
      <c r="CK106" s="714">
        <v>3</v>
      </c>
      <c r="CL106" s="715">
        <v>3</v>
      </c>
      <c r="CM106" s="715">
        <v>3</v>
      </c>
      <c r="CN106" s="715">
        <v>3.1</v>
      </c>
      <c r="CO106" s="715">
        <v>3</v>
      </c>
      <c r="CP106" s="715">
        <v>3.2</v>
      </c>
      <c r="CQ106" s="715">
        <v>3.3</v>
      </c>
      <c r="CR106" s="714">
        <v>3.4</v>
      </c>
      <c r="CS106" s="714">
        <v>3.5</v>
      </c>
      <c r="CT106" s="714">
        <v>3.6</v>
      </c>
      <c r="CU106" s="714">
        <v>3.7</v>
      </c>
      <c r="CV106" s="714">
        <v>3.2</v>
      </c>
      <c r="CW106" s="715">
        <v>3.2</v>
      </c>
      <c r="CX106" s="715">
        <v>3.2</v>
      </c>
      <c r="CY106" s="715">
        <v>3.2</v>
      </c>
      <c r="CZ106" s="715">
        <v>3.2</v>
      </c>
      <c r="DA106" s="715">
        <v>3.3</v>
      </c>
      <c r="DB106" s="715">
        <v>3.4</v>
      </c>
      <c r="DC106" s="714">
        <v>3.6</v>
      </c>
      <c r="DD106" s="714">
        <v>3.7</v>
      </c>
      <c r="DE106" s="714">
        <v>3.8</v>
      </c>
      <c r="DF106" s="714">
        <v>3.9</v>
      </c>
      <c r="DG106" s="714">
        <v>3.4</v>
      </c>
      <c r="DH106" s="715">
        <v>3.4</v>
      </c>
      <c r="DI106" s="715">
        <v>3.4</v>
      </c>
      <c r="DJ106" s="715">
        <v>3.4</v>
      </c>
      <c r="DK106" s="715">
        <v>3.4</v>
      </c>
      <c r="DL106" s="715">
        <v>3.5</v>
      </c>
      <c r="DM106" s="715">
        <v>3.6</v>
      </c>
      <c r="DN106" s="714">
        <v>3.8</v>
      </c>
      <c r="DO106" s="714">
        <v>3.9</v>
      </c>
      <c r="DP106" s="714">
        <v>4</v>
      </c>
      <c r="DQ106" s="714">
        <v>4.1</v>
      </c>
      <c r="DR106" s="714">
        <v>3.7</v>
      </c>
      <c r="DS106" s="715">
        <v>3.8</v>
      </c>
      <c r="DT106" s="715">
        <v>3.9</v>
      </c>
      <c r="DU106" s="715">
        <v>3.9</v>
      </c>
      <c r="DV106" s="715">
        <v>4</v>
      </c>
      <c r="DW106" s="715">
        <v>4.2</v>
      </c>
      <c r="DX106" s="715">
        <v>4.3</v>
      </c>
      <c r="DY106" s="714">
        <v>4.5</v>
      </c>
      <c r="DZ106" s="714">
        <v>4.6</v>
      </c>
      <c r="EA106" s="714">
        <v>4.7</v>
      </c>
      <c r="EB106" s="714">
        <v>4.9</v>
      </c>
      <c r="EC106" s="714">
        <v>3.8</v>
      </c>
      <c r="ED106" s="715">
        <v>3.9</v>
      </c>
      <c r="EE106" s="715">
        <v>4</v>
      </c>
      <c r="EF106" s="715">
        <v>4</v>
      </c>
      <c r="EG106" s="715">
        <v>4.1</v>
      </c>
      <c r="EH106" s="715">
        <v>4.3</v>
      </c>
      <c r="EI106" s="715">
        <v>4.4</v>
      </c>
      <c r="EJ106" s="714">
        <v>4.6</v>
      </c>
      <c r="EK106" s="714">
        <v>4.7</v>
      </c>
      <c r="EL106" s="714">
        <v>4.8</v>
      </c>
      <c r="EM106" s="714">
        <v>5</v>
      </c>
      <c r="EN106" s="714">
        <v>4.5</v>
      </c>
      <c r="EO106" s="715">
        <v>4.5</v>
      </c>
      <c r="EP106" s="715">
        <v>4.5</v>
      </c>
      <c r="EQ106" s="715">
        <v>4.5</v>
      </c>
      <c r="ER106" s="715">
        <v>4.6</v>
      </c>
      <c r="ES106" s="715">
        <v>4.7</v>
      </c>
      <c r="ET106" s="715">
        <v>4.9</v>
      </c>
      <c r="EU106" s="714">
        <v>5</v>
      </c>
      <c r="EV106" s="714">
        <v>5.2</v>
      </c>
      <c r="EW106" s="714">
        <v>5.3</v>
      </c>
      <c r="EX106" s="714">
        <v>5.5</v>
      </c>
      <c r="EY106" s="714">
        <v>0.3</v>
      </c>
      <c r="EZ106" s="715">
        <v>0.8</v>
      </c>
      <c r="FA106" s="715">
        <v>1.1</v>
      </c>
      <c r="FB106" s="715">
        <v>1.4</v>
      </c>
      <c r="FC106" s="715">
        <v>1.6</v>
      </c>
      <c r="FD106" s="715">
        <v>1.9</v>
      </c>
      <c r="FE106" s="715">
        <v>2.2</v>
      </c>
      <c r="FF106" s="714">
        <v>2.4</v>
      </c>
      <c r="FG106" s="714">
        <v>2.6</v>
      </c>
      <c r="FH106" s="714">
        <v>2.8</v>
      </c>
      <c r="FI106" s="714">
        <v>3</v>
      </c>
      <c r="FJ106" s="723">
        <v>1.19e-6</v>
      </c>
      <c r="FK106" s="723">
        <v>1.2e-8</v>
      </c>
      <c r="FL106" s="723">
        <v>-1.58e-11</v>
      </c>
      <c r="FM106" s="723">
        <v>6.13e-7</v>
      </c>
      <c r="FN106" s="723">
        <v>5.48e-10</v>
      </c>
      <c r="FO106" s="723">
        <v>0.223</v>
      </c>
      <c r="FP106" s="729">
        <v>1</v>
      </c>
      <c r="FQ106" s="729">
        <v>3</v>
      </c>
      <c r="FR106" s="729">
        <v>1</v>
      </c>
      <c r="FS106" s="729">
        <v>3</v>
      </c>
      <c r="FT106" s="729">
        <v>2</v>
      </c>
      <c r="FU106" s="729">
        <v>2</v>
      </c>
      <c r="FV106" s="681">
        <v>2</v>
      </c>
      <c r="FW106" s="729"/>
      <c r="FX106" s="729"/>
      <c r="FY106" s="729"/>
      <c r="FZ106" s="746">
        <v>650</v>
      </c>
      <c r="GA106" s="746">
        <v>695</v>
      </c>
      <c r="GB106" s="681">
        <v>572</v>
      </c>
      <c r="GC106" s="681">
        <v>630</v>
      </c>
      <c r="GD106" s="747">
        <v>0.69</v>
      </c>
      <c r="GE106" s="729"/>
      <c r="GF106" s="681">
        <v>74</v>
      </c>
      <c r="GG106" s="681">
        <v>86</v>
      </c>
      <c r="GH106" s="681">
        <v>66</v>
      </c>
      <c r="GI106" s="681">
        <v>68</v>
      </c>
      <c r="GJ106" s="681">
        <v>70</v>
      </c>
      <c r="GK106" s="681">
        <v>71</v>
      </c>
      <c r="GL106" s="681">
        <v>72</v>
      </c>
      <c r="GM106" s="681">
        <v>73</v>
      </c>
      <c r="GN106" s="681">
        <v>74</v>
      </c>
      <c r="GO106" s="681">
        <v>75</v>
      </c>
      <c r="GP106" s="681">
        <v>76</v>
      </c>
      <c r="GQ106" s="681">
        <v>77</v>
      </c>
      <c r="GR106" s="681">
        <v>77</v>
      </c>
      <c r="GS106" s="681">
        <v>78</v>
      </c>
      <c r="GT106" s="681">
        <v>78</v>
      </c>
      <c r="GU106" s="681">
        <v>79</v>
      </c>
      <c r="GV106" s="681">
        <v>80</v>
      </c>
      <c r="GW106" s="681">
        <v>81</v>
      </c>
      <c r="GX106" s="681">
        <v>82</v>
      </c>
      <c r="GY106" s="681">
        <v>83</v>
      </c>
      <c r="GZ106" s="681">
        <v>83</v>
      </c>
      <c r="HA106" s="681">
        <v>84</v>
      </c>
      <c r="HB106" s="681">
        <v>85</v>
      </c>
      <c r="HC106" s="681"/>
      <c r="HD106" s="750">
        <v>110</v>
      </c>
      <c r="HE106" s="681"/>
      <c r="HF106" s="681">
        <v>520</v>
      </c>
      <c r="HG106" s="681">
        <v>132</v>
      </c>
      <c r="HH106" s="714">
        <v>93.4</v>
      </c>
      <c r="HI106" s="714">
        <v>37.3</v>
      </c>
      <c r="HJ106" s="753">
        <v>0.253</v>
      </c>
      <c r="HK106" s="681">
        <v>60</v>
      </c>
      <c r="HL106" s="685">
        <v>1.84</v>
      </c>
      <c r="HM106" s="747">
        <v>3.9</v>
      </c>
      <c r="HN106" s="729" t="s">
        <v>958</v>
      </c>
      <c r="HO106" s="729" t="s">
        <v>912</v>
      </c>
      <c r="HP106" s="714">
        <v>-0.7</v>
      </c>
      <c r="HQ106" s="753">
        <v>0.937</v>
      </c>
      <c r="HR106" s="753">
        <v>0.971</v>
      </c>
      <c r="HS106" s="753">
        <v>0.993</v>
      </c>
      <c r="HT106" s="753">
        <v>0.995</v>
      </c>
      <c r="HU106" s="753">
        <v>0.999</v>
      </c>
      <c r="HV106" s="753">
        <v>0.999</v>
      </c>
      <c r="HW106" s="753">
        <v>0.999</v>
      </c>
      <c r="HX106" s="753">
        <v>0.999</v>
      </c>
      <c r="HY106" s="753">
        <v>0.999</v>
      </c>
      <c r="HZ106" s="753">
        <v>0.999</v>
      </c>
      <c r="IA106" s="753">
        <v>0.999</v>
      </c>
      <c r="IB106" s="753">
        <v>0.999</v>
      </c>
      <c r="IC106" s="753">
        <v>0.999</v>
      </c>
      <c r="ID106" s="753">
        <v>0.999</v>
      </c>
      <c r="IE106" s="753">
        <v>0.999</v>
      </c>
      <c r="IF106" s="753">
        <v>0.999</v>
      </c>
      <c r="IG106" s="753">
        <v>0.999</v>
      </c>
      <c r="IH106" s="753">
        <v>0.999</v>
      </c>
      <c r="II106" s="753">
        <v>0.999</v>
      </c>
      <c r="IJ106" s="753">
        <v>0.999</v>
      </c>
      <c r="IK106" s="753">
        <v>0.998</v>
      </c>
      <c r="IL106" s="753">
        <v>0.997</v>
      </c>
      <c r="IM106" s="753">
        <v>0.996</v>
      </c>
      <c r="IN106" s="753">
        <v>0.991</v>
      </c>
      <c r="IO106" s="753">
        <v>0.983</v>
      </c>
      <c r="IP106" s="753">
        <v>0.969</v>
      </c>
      <c r="IQ106" s="753">
        <v>0.937</v>
      </c>
      <c r="IR106" s="753">
        <v>0.876</v>
      </c>
      <c r="IS106" s="753">
        <v>0.752</v>
      </c>
      <c r="IT106" s="753">
        <v>0.521</v>
      </c>
      <c r="IU106" s="753">
        <v>0.203</v>
      </c>
      <c r="IV106" s="753"/>
      <c r="IW106" s="753"/>
      <c r="IX106" s="753"/>
      <c r="IY106" s="753"/>
      <c r="IZ106" s="753"/>
      <c r="JA106" s="754">
        <v>0.88</v>
      </c>
      <c r="JB106" s="754">
        <v>0.946</v>
      </c>
      <c r="JC106" s="754">
        <v>0.982</v>
      </c>
      <c r="JD106" s="754">
        <v>0.992</v>
      </c>
      <c r="JE106" s="754">
        <v>0.998</v>
      </c>
      <c r="JF106" s="754">
        <v>0.998</v>
      </c>
      <c r="JG106" s="754">
        <v>0.998</v>
      </c>
      <c r="JH106" s="754">
        <v>0.998</v>
      </c>
      <c r="JI106" s="754">
        <v>0.998</v>
      </c>
      <c r="JJ106" s="754">
        <v>0.998</v>
      </c>
      <c r="JK106" s="754">
        <v>0.998</v>
      </c>
      <c r="JL106" s="754">
        <v>0.998</v>
      </c>
      <c r="JM106" s="754">
        <v>0.998</v>
      </c>
      <c r="JN106" s="754">
        <v>0.998</v>
      </c>
      <c r="JO106" s="754">
        <v>0.998</v>
      </c>
      <c r="JP106" s="754">
        <v>0.998</v>
      </c>
      <c r="JQ106" s="754">
        <v>0.998</v>
      </c>
      <c r="JR106" s="754">
        <v>0.998</v>
      </c>
      <c r="JS106" s="754">
        <v>0.998</v>
      </c>
      <c r="JT106" s="754">
        <v>0.998</v>
      </c>
      <c r="JU106" s="754">
        <v>0.996</v>
      </c>
      <c r="JV106" s="754">
        <v>0.994</v>
      </c>
      <c r="JW106" s="754">
        <v>0.992</v>
      </c>
      <c r="JX106" s="754">
        <v>0.983</v>
      </c>
      <c r="JY106" s="754">
        <v>0.97</v>
      </c>
      <c r="JZ106" s="754">
        <v>0.946</v>
      </c>
      <c r="KA106" s="754">
        <v>0.893</v>
      </c>
      <c r="KB106" s="754">
        <v>0.787</v>
      </c>
      <c r="KC106" s="754">
        <v>0.585</v>
      </c>
      <c r="KD106" s="754">
        <v>0.275</v>
      </c>
      <c r="KE106" s="754">
        <v>0.037</v>
      </c>
      <c r="KF106" s="754"/>
      <c r="KG106" s="754"/>
      <c r="KH106" s="754"/>
      <c r="KI106" s="754"/>
      <c r="KJ106" s="754"/>
      <c r="KK106" s="765" t="s">
        <v>281</v>
      </c>
      <c r="KL106" s="738">
        <v>23</v>
      </c>
      <c r="KM106" s="738">
        <v>90</v>
      </c>
      <c r="KN106" s="646" t="s">
        <v>339</v>
      </c>
      <c r="KO106" s="646" t="s">
        <v>957</v>
      </c>
      <c r="KP106" s="680">
        <v>658509</v>
      </c>
      <c r="KQ106" s="766" t="s">
        <v>959</v>
      </c>
      <c r="KR106" s="750" t="s">
        <v>914</v>
      </c>
      <c r="KS106" s="769" t="s">
        <v>957</v>
      </c>
      <c r="KT106" s="770" t="s">
        <v>914</v>
      </c>
      <c r="KU106" s="766" t="s">
        <v>960</v>
      </c>
      <c r="KV106" s="750">
        <v>658509</v>
      </c>
      <c r="KW106" s="771"/>
      <c r="KX106" s="750"/>
      <c r="KY106" s="769" t="s">
        <v>961</v>
      </c>
      <c r="KZ106" s="770" t="s">
        <v>914</v>
      </c>
    </row>
    <row r="107" s="628" customFormat="1" customHeight="1" spans="1:312">
      <c r="A107" s="682" t="s">
        <v>300</v>
      </c>
      <c r="B107" s="683">
        <v>103</v>
      </c>
      <c r="C107" s="689" t="s">
        <v>962</v>
      </c>
      <c r="D107" s="680">
        <v>670472</v>
      </c>
      <c r="E107" s="685">
        <v>47.2</v>
      </c>
      <c r="F107" s="685">
        <v>46.9</v>
      </c>
      <c r="G107" s="688">
        <v>0.014197</v>
      </c>
      <c r="H107" s="686">
        <v>0.014358</v>
      </c>
      <c r="I107" s="696">
        <v>1.63652</v>
      </c>
      <c r="J107" s="696">
        <v>1.64169</v>
      </c>
      <c r="K107" s="696">
        <v>1.6475</v>
      </c>
      <c r="L107" s="696">
        <v>1.65305</v>
      </c>
      <c r="M107" s="696">
        <v>1.65411</v>
      </c>
      <c r="N107" s="696">
        <v>1.655</v>
      </c>
      <c r="O107" s="696">
        <v>1.65856</v>
      </c>
      <c r="P107" s="696">
        <v>1.66107</v>
      </c>
      <c r="Q107" s="697">
        <v>1.66342</v>
      </c>
      <c r="R107" s="697">
        <v>1.66579</v>
      </c>
      <c r="S107" s="697">
        <v>1.66646</v>
      </c>
      <c r="T107" s="701">
        <v>1.66709</v>
      </c>
      <c r="U107" s="697">
        <v>1.6699</v>
      </c>
      <c r="V107" s="697">
        <v>1.67003</v>
      </c>
      <c r="W107" s="697">
        <v>1.6734</v>
      </c>
      <c r="X107" s="697">
        <v>1.67999</v>
      </c>
      <c r="Y107" s="697">
        <v>1.68082</v>
      </c>
      <c r="Z107" s="697">
        <v>1.68798</v>
      </c>
      <c r="AA107" s="697">
        <v>1.69475</v>
      </c>
      <c r="AB107" s="697">
        <v>1.70662</v>
      </c>
      <c r="AC107" s="704">
        <v>2.72917137</v>
      </c>
      <c r="AD107" s="705">
        <v>-0.0101247435</v>
      </c>
      <c r="AE107" s="705">
        <v>0.0203135768</v>
      </c>
      <c r="AF107" s="705">
        <v>0.000548969301</v>
      </c>
      <c r="AG107" s="705">
        <v>-1.03383424e-5</v>
      </c>
      <c r="AH107" s="705">
        <v>1.79727765e-6</v>
      </c>
      <c r="AI107" s="709">
        <v>0.2987</v>
      </c>
      <c r="AJ107" s="709">
        <v>0.2374</v>
      </c>
      <c r="AK107" s="709">
        <v>0.5628</v>
      </c>
      <c r="AL107" s="709">
        <v>0.2486</v>
      </c>
      <c r="AM107" s="709">
        <v>0.2347</v>
      </c>
      <c r="AN107" s="709">
        <v>0.4987</v>
      </c>
      <c r="AO107" s="709">
        <v>0</v>
      </c>
      <c r="AP107" s="709">
        <v>-0.0024</v>
      </c>
      <c r="AQ107" s="709">
        <v>-0.0088</v>
      </c>
      <c r="AR107" s="709">
        <v>-0.0044</v>
      </c>
      <c r="AS107" s="714">
        <v>3.5</v>
      </c>
      <c r="AT107" s="714">
        <v>3.5</v>
      </c>
      <c r="AU107" s="714">
        <v>3.6</v>
      </c>
      <c r="AV107" s="714">
        <v>3.6</v>
      </c>
      <c r="AW107" s="714">
        <v>3.6</v>
      </c>
      <c r="AX107" s="714">
        <v>3.6</v>
      </c>
      <c r="AY107" s="714">
        <v>3.6</v>
      </c>
      <c r="AZ107" s="714">
        <v>3.6</v>
      </c>
      <c r="BA107" s="714">
        <v>3.7</v>
      </c>
      <c r="BB107" s="714">
        <v>3.7</v>
      </c>
      <c r="BC107" s="714">
        <v>3.8</v>
      </c>
      <c r="BD107" s="714">
        <v>3.9</v>
      </c>
      <c r="BE107" s="714">
        <v>3.8</v>
      </c>
      <c r="BF107" s="714">
        <v>3.9</v>
      </c>
      <c r="BG107" s="714">
        <v>3.9</v>
      </c>
      <c r="BH107" s="714">
        <v>3.9</v>
      </c>
      <c r="BI107" s="714">
        <v>4</v>
      </c>
      <c r="BJ107" s="714">
        <v>4</v>
      </c>
      <c r="BK107" s="714">
        <v>4</v>
      </c>
      <c r="BL107" s="714">
        <v>4.1</v>
      </c>
      <c r="BM107" s="714">
        <v>4.1</v>
      </c>
      <c r="BN107" s="714">
        <v>4.2</v>
      </c>
      <c r="BO107" s="714">
        <v>4.1</v>
      </c>
      <c r="BP107" s="714">
        <v>4.1</v>
      </c>
      <c r="BQ107" s="714">
        <v>4.1</v>
      </c>
      <c r="BR107" s="714">
        <v>4.1</v>
      </c>
      <c r="BS107" s="714">
        <v>4</v>
      </c>
      <c r="BT107" s="714">
        <v>4.1</v>
      </c>
      <c r="BU107" s="714">
        <v>4.1</v>
      </c>
      <c r="BV107" s="714">
        <v>4.2</v>
      </c>
      <c r="BW107" s="714">
        <v>4.4</v>
      </c>
      <c r="BX107" s="714">
        <v>4.5</v>
      </c>
      <c r="BY107" s="714">
        <v>4.6</v>
      </c>
      <c r="BZ107" s="714">
        <v>4.2</v>
      </c>
      <c r="CA107" s="714">
        <v>4.2</v>
      </c>
      <c r="CB107" s="714">
        <v>4.2</v>
      </c>
      <c r="CC107" s="714">
        <v>4.2</v>
      </c>
      <c r="CD107" s="714">
        <v>4.1</v>
      </c>
      <c r="CE107" s="714">
        <v>4.2</v>
      </c>
      <c r="CF107" s="714">
        <v>4.2</v>
      </c>
      <c r="CG107" s="714">
        <v>4.3</v>
      </c>
      <c r="CH107" s="714">
        <v>4.5</v>
      </c>
      <c r="CI107" s="714">
        <v>4.6</v>
      </c>
      <c r="CJ107" s="714">
        <v>4.7</v>
      </c>
      <c r="CK107" s="714">
        <v>4.3</v>
      </c>
      <c r="CL107" s="715">
        <v>4.3</v>
      </c>
      <c r="CM107" s="715">
        <v>4.2</v>
      </c>
      <c r="CN107" s="715">
        <v>4.2</v>
      </c>
      <c r="CO107" s="715">
        <v>4.3</v>
      </c>
      <c r="CP107" s="715">
        <v>4.3</v>
      </c>
      <c r="CQ107" s="715">
        <v>4.3</v>
      </c>
      <c r="CR107" s="714">
        <v>4.4</v>
      </c>
      <c r="CS107" s="714">
        <v>4.5</v>
      </c>
      <c r="CT107" s="714">
        <v>4.6</v>
      </c>
      <c r="CU107" s="714">
        <v>4.7</v>
      </c>
      <c r="CV107" s="714">
        <v>4.5</v>
      </c>
      <c r="CW107" s="715">
        <v>4.5</v>
      </c>
      <c r="CX107" s="715">
        <v>4.5</v>
      </c>
      <c r="CY107" s="715">
        <v>4.5</v>
      </c>
      <c r="CZ107" s="715">
        <v>4.5</v>
      </c>
      <c r="DA107" s="715">
        <v>4.5</v>
      </c>
      <c r="DB107" s="715">
        <v>4.6</v>
      </c>
      <c r="DC107" s="714">
        <v>4.6</v>
      </c>
      <c r="DD107" s="714">
        <v>4.6</v>
      </c>
      <c r="DE107" s="714">
        <v>4.7</v>
      </c>
      <c r="DF107" s="714">
        <v>4.7</v>
      </c>
      <c r="DG107" s="714">
        <v>4.7</v>
      </c>
      <c r="DH107" s="715">
        <v>4.7</v>
      </c>
      <c r="DI107" s="715">
        <v>4.7</v>
      </c>
      <c r="DJ107" s="715">
        <v>4.7</v>
      </c>
      <c r="DK107" s="715">
        <v>4.7</v>
      </c>
      <c r="DL107" s="715">
        <v>4.8</v>
      </c>
      <c r="DM107" s="715">
        <v>4.9</v>
      </c>
      <c r="DN107" s="714">
        <v>4.9</v>
      </c>
      <c r="DO107" s="714">
        <v>5.1</v>
      </c>
      <c r="DP107" s="714">
        <v>5.1</v>
      </c>
      <c r="DQ107" s="714">
        <v>5.2</v>
      </c>
      <c r="DR107" s="714">
        <v>5.2</v>
      </c>
      <c r="DS107" s="715">
        <v>5.2</v>
      </c>
      <c r="DT107" s="715">
        <v>5.2</v>
      </c>
      <c r="DU107" s="715">
        <v>5.2</v>
      </c>
      <c r="DV107" s="715">
        <v>5.3</v>
      </c>
      <c r="DW107" s="715">
        <v>5.4</v>
      </c>
      <c r="DX107" s="715">
        <v>5.5</v>
      </c>
      <c r="DY107" s="714">
        <v>5.7</v>
      </c>
      <c r="DZ107" s="714">
        <v>6</v>
      </c>
      <c r="EA107" s="714">
        <v>6.1</v>
      </c>
      <c r="EB107" s="714">
        <v>6.3</v>
      </c>
      <c r="EC107" s="714">
        <v>5.2</v>
      </c>
      <c r="ED107" s="715">
        <v>5.2</v>
      </c>
      <c r="EE107" s="715">
        <v>5.3</v>
      </c>
      <c r="EF107" s="715">
        <v>5.3</v>
      </c>
      <c r="EG107" s="715">
        <v>5.4</v>
      </c>
      <c r="EH107" s="715">
        <v>5.5</v>
      </c>
      <c r="EI107" s="715">
        <v>5.6</v>
      </c>
      <c r="EJ107" s="714">
        <v>5.8</v>
      </c>
      <c r="EK107" s="714">
        <v>6.1</v>
      </c>
      <c r="EL107" s="714">
        <v>6.2</v>
      </c>
      <c r="EM107" s="714">
        <v>6.4</v>
      </c>
      <c r="EN107" s="714">
        <v>5.6</v>
      </c>
      <c r="EO107" s="715">
        <v>5.6</v>
      </c>
      <c r="EP107" s="715">
        <v>5.8</v>
      </c>
      <c r="EQ107" s="715">
        <v>5.8</v>
      </c>
      <c r="ER107" s="715">
        <v>5.9</v>
      </c>
      <c r="ES107" s="715">
        <v>6</v>
      </c>
      <c r="ET107" s="715">
        <v>6.2</v>
      </c>
      <c r="EU107" s="714">
        <v>6.3</v>
      </c>
      <c r="EV107" s="714">
        <v>6.4</v>
      </c>
      <c r="EW107" s="714">
        <v>6.5</v>
      </c>
      <c r="EX107" s="714">
        <v>6.7</v>
      </c>
      <c r="EY107" s="714">
        <v>1.6</v>
      </c>
      <c r="EZ107" s="715">
        <v>2</v>
      </c>
      <c r="FA107" s="715">
        <v>2.3</v>
      </c>
      <c r="FB107" s="715">
        <v>2.5</v>
      </c>
      <c r="FC107" s="715">
        <v>2.8</v>
      </c>
      <c r="FD107" s="715">
        <v>3</v>
      </c>
      <c r="FE107" s="715">
        <v>3.2</v>
      </c>
      <c r="FF107" s="714">
        <v>3.4</v>
      </c>
      <c r="FG107" s="714">
        <v>3.6</v>
      </c>
      <c r="FH107" s="714">
        <v>3.8</v>
      </c>
      <c r="FI107" s="714">
        <v>4</v>
      </c>
      <c r="FJ107" s="723">
        <v>3.13e-6</v>
      </c>
      <c r="FK107" s="723">
        <v>9.94e-9</v>
      </c>
      <c r="FL107" s="723">
        <v>-1.48e-11</v>
      </c>
      <c r="FM107" s="723">
        <v>6.71e-7</v>
      </c>
      <c r="FN107" s="723">
        <v>8.33e-10</v>
      </c>
      <c r="FO107" s="723">
        <v>0.217</v>
      </c>
      <c r="FP107" s="729">
        <v>1</v>
      </c>
      <c r="FQ107" s="729">
        <v>3</v>
      </c>
      <c r="FR107" s="729">
        <v>1</v>
      </c>
      <c r="FS107" s="729">
        <v>1</v>
      </c>
      <c r="FT107" s="729">
        <v>1</v>
      </c>
      <c r="FU107" s="729">
        <v>1</v>
      </c>
      <c r="FV107" s="681">
        <v>1</v>
      </c>
      <c r="FW107" s="729"/>
      <c r="FX107" s="729"/>
      <c r="FY107" s="729"/>
      <c r="FZ107" s="746">
        <v>602</v>
      </c>
      <c r="GA107" s="746">
        <v>661</v>
      </c>
      <c r="GB107" s="681">
        <v>539</v>
      </c>
      <c r="GC107" s="681">
        <v>582</v>
      </c>
      <c r="GD107" s="747">
        <v>1.08</v>
      </c>
      <c r="GE107" s="729"/>
      <c r="GF107" s="681">
        <v>67</v>
      </c>
      <c r="GG107" s="681">
        <v>85</v>
      </c>
      <c r="GH107" s="681">
        <v>55</v>
      </c>
      <c r="GI107" s="681">
        <v>59</v>
      </c>
      <c r="GJ107" s="681">
        <v>62</v>
      </c>
      <c r="GK107" s="681">
        <v>64</v>
      </c>
      <c r="GL107" s="681">
        <v>66</v>
      </c>
      <c r="GM107" s="681">
        <v>68</v>
      </c>
      <c r="GN107" s="681">
        <v>70</v>
      </c>
      <c r="GO107" s="681">
        <v>71</v>
      </c>
      <c r="GP107" s="681">
        <v>72</v>
      </c>
      <c r="GQ107" s="681">
        <v>73</v>
      </c>
      <c r="GR107" s="681">
        <v>73</v>
      </c>
      <c r="GS107" s="681">
        <v>74</v>
      </c>
      <c r="GT107" s="681">
        <v>74</v>
      </c>
      <c r="GU107" s="681">
        <v>75</v>
      </c>
      <c r="GV107" s="681">
        <v>76</v>
      </c>
      <c r="GW107" s="681">
        <v>77</v>
      </c>
      <c r="GX107" s="681">
        <v>77</v>
      </c>
      <c r="GY107" s="681">
        <v>78</v>
      </c>
      <c r="GZ107" s="681">
        <v>79</v>
      </c>
      <c r="HA107" s="681">
        <v>81</v>
      </c>
      <c r="HB107" s="681">
        <v>82</v>
      </c>
      <c r="HC107" s="681"/>
      <c r="HD107" s="750">
        <v>112</v>
      </c>
      <c r="HE107" s="681"/>
      <c r="HF107" s="681">
        <v>626</v>
      </c>
      <c r="HG107" s="681">
        <v>151</v>
      </c>
      <c r="HH107" s="714">
        <v>96.3</v>
      </c>
      <c r="HI107" s="714">
        <v>37.6</v>
      </c>
      <c r="HJ107" s="753">
        <v>0.279</v>
      </c>
      <c r="HK107" s="681">
        <v>70</v>
      </c>
      <c r="HL107" s="685">
        <v>1.9</v>
      </c>
      <c r="HM107" s="747">
        <v>3.49</v>
      </c>
      <c r="HN107" s="729" t="s">
        <v>919</v>
      </c>
      <c r="HO107" s="729" t="s">
        <v>963</v>
      </c>
      <c r="HP107" s="714">
        <v>-1</v>
      </c>
      <c r="HQ107" s="753">
        <v>0.938</v>
      </c>
      <c r="HR107" s="753">
        <v>0.97</v>
      </c>
      <c r="HS107" s="753">
        <v>0.989</v>
      </c>
      <c r="HT107" s="753">
        <v>0.993</v>
      </c>
      <c r="HU107" s="753">
        <v>0.999</v>
      </c>
      <c r="HV107" s="753">
        <v>0.999</v>
      </c>
      <c r="HW107" s="753">
        <v>0.999</v>
      </c>
      <c r="HX107" s="753">
        <v>0.999</v>
      </c>
      <c r="HY107" s="753">
        <v>0.999</v>
      </c>
      <c r="HZ107" s="753">
        <v>0.999</v>
      </c>
      <c r="IA107" s="753">
        <v>0.999</v>
      </c>
      <c r="IB107" s="753">
        <v>0.999</v>
      </c>
      <c r="IC107" s="753">
        <v>0.999</v>
      </c>
      <c r="ID107" s="753">
        <v>0.999</v>
      </c>
      <c r="IE107" s="753">
        <v>0.999</v>
      </c>
      <c r="IF107" s="753">
        <v>0.999</v>
      </c>
      <c r="IG107" s="753">
        <v>0.999</v>
      </c>
      <c r="IH107" s="753">
        <v>0.999</v>
      </c>
      <c r="II107" s="753">
        <v>0.998</v>
      </c>
      <c r="IJ107" s="753">
        <v>0.996</v>
      </c>
      <c r="IK107" s="753">
        <v>0.995</v>
      </c>
      <c r="IL107" s="753">
        <v>0.994</v>
      </c>
      <c r="IM107" s="753">
        <v>0.992</v>
      </c>
      <c r="IN107" s="753">
        <v>0.983</v>
      </c>
      <c r="IO107" s="753">
        <v>0.973</v>
      </c>
      <c r="IP107" s="753">
        <v>0.952</v>
      </c>
      <c r="IQ107" s="753">
        <v>0.909</v>
      </c>
      <c r="IR107" s="753">
        <v>0.807</v>
      </c>
      <c r="IS107" s="753">
        <v>0.596</v>
      </c>
      <c r="IT107" s="753">
        <v>0.269</v>
      </c>
      <c r="IU107" s="753"/>
      <c r="IV107" s="753"/>
      <c r="IW107" s="753"/>
      <c r="IX107" s="753"/>
      <c r="IY107" s="753"/>
      <c r="IZ107" s="753"/>
      <c r="JA107" s="754">
        <v>0.877</v>
      </c>
      <c r="JB107" s="754">
        <v>0.944</v>
      </c>
      <c r="JC107" s="754">
        <v>0.978</v>
      </c>
      <c r="JD107" s="754">
        <v>0.987</v>
      </c>
      <c r="JE107" s="754">
        <v>0.998</v>
      </c>
      <c r="JF107" s="754">
        <v>0.998</v>
      </c>
      <c r="JG107" s="754">
        <v>0.998</v>
      </c>
      <c r="JH107" s="754">
        <v>0.998</v>
      </c>
      <c r="JI107" s="754">
        <v>0.998</v>
      </c>
      <c r="JJ107" s="754">
        <v>0.998</v>
      </c>
      <c r="JK107" s="754">
        <v>0.998</v>
      </c>
      <c r="JL107" s="754">
        <v>0.998</v>
      </c>
      <c r="JM107" s="754">
        <v>0.998</v>
      </c>
      <c r="JN107" s="754">
        <v>0.998</v>
      </c>
      <c r="JO107" s="754">
        <v>0.998</v>
      </c>
      <c r="JP107" s="754">
        <v>0.998</v>
      </c>
      <c r="JQ107" s="754">
        <v>0.998</v>
      </c>
      <c r="JR107" s="754">
        <v>0.998</v>
      </c>
      <c r="JS107" s="754">
        <v>0.996</v>
      </c>
      <c r="JT107" s="754">
        <v>0.993</v>
      </c>
      <c r="JU107" s="754">
        <v>0.991</v>
      </c>
      <c r="JV107" s="754">
        <v>0.988</v>
      </c>
      <c r="JW107" s="754">
        <v>0.983</v>
      </c>
      <c r="JX107" s="754">
        <v>0.967</v>
      </c>
      <c r="JY107" s="754">
        <v>0.947</v>
      </c>
      <c r="JZ107" s="754">
        <v>0.907</v>
      </c>
      <c r="KA107" s="754">
        <v>0.826</v>
      </c>
      <c r="KB107" s="754">
        <v>0.652</v>
      </c>
      <c r="KC107" s="754">
        <v>0.355</v>
      </c>
      <c r="KD107" s="754">
        <v>0.072</v>
      </c>
      <c r="KE107" s="754"/>
      <c r="KF107" s="754"/>
      <c r="KG107" s="754"/>
      <c r="KH107" s="754"/>
      <c r="KI107" s="754"/>
      <c r="KJ107" s="754"/>
      <c r="KK107" s="765" t="s">
        <v>281</v>
      </c>
      <c r="KL107" s="738">
        <v>25</v>
      </c>
      <c r="KM107" s="738">
        <v>87</v>
      </c>
      <c r="KN107" s="646" t="s">
        <v>339</v>
      </c>
      <c r="KO107" s="646" t="s">
        <v>962</v>
      </c>
      <c r="KP107" s="680">
        <v>670472</v>
      </c>
      <c r="KQ107" s="766"/>
      <c r="KR107" s="750"/>
      <c r="KS107" s="769" t="s">
        <v>962</v>
      </c>
      <c r="KT107" s="770" t="s">
        <v>964</v>
      </c>
      <c r="KU107" s="766" t="s">
        <v>965</v>
      </c>
      <c r="KV107" s="750">
        <v>670472</v>
      </c>
      <c r="KW107" s="771" t="s">
        <v>966</v>
      </c>
      <c r="KX107" s="750" t="s">
        <v>967</v>
      </c>
      <c r="KY107" s="769" t="s">
        <v>968</v>
      </c>
      <c r="KZ107" s="770" t="s">
        <v>924</v>
      </c>
    </row>
    <row r="108" s="628" customFormat="1" customHeight="1" spans="1:312">
      <c r="A108" s="682" t="s">
        <v>277</v>
      </c>
      <c r="B108" s="683">
        <v>104</v>
      </c>
      <c r="C108" s="689" t="s">
        <v>969</v>
      </c>
      <c r="D108" s="680">
        <v>654397</v>
      </c>
      <c r="E108" s="685">
        <v>39.68</v>
      </c>
      <c r="F108" s="685">
        <v>39.46</v>
      </c>
      <c r="G108" s="688">
        <v>0.016484</v>
      </c>
      <c r="H108" s="686">
        <v>0.016678</v>
      </c>
      <c r="I108" s="696">
        <v>1.61564</v>
      </c>
      <c r="J108" s="696">
        <v>1.62166</v>
      </c>
      <c r="K108" s="696">
        <v>1.62838</v>
      </c>
      <c r="L108" s="696">
        <v>1.63471</v>
      </c>
      <c r="M108" s="696">
        <v>1.63592</v>
      </c>
      <c r="N108" s="696">
        <v>1.63693</v>
      </c>
      <c r="O108" s="696">
        <v>1.64097</v>
      </c>
      <c r="P108" s="696">
        <v>1.64383</v>
      </c>
      <c r="Q108" s="697">
        <v>1.64651</v>
      </c>
      <c r="R108" s="697">
        <v>1.64922</v>
      </c>
      <c r="S108" s="697">
        <v>1.65</v>
      </c>
      <c r="T108" s="701">
        <v>1.65072</v>
      </c>
      <c r="U108" s="697">
        <v>1.65397</v>
      </c>
      <c r="V108" s="697">
        <v>1.65412</v>
      </c>
      <c r="W108" s="697">
        <v>1.65803</v>
      </c>
      <c r="X108" s="697">
        <v>1.66571</v>
      </c>
      <c r="Y108" s="697">
        <v>1.66668</v>
      </c>
      <c r="Z108" s="697">
        <v>1.67515</v>
      </c>
      <c r="AA108" s="697">
        <v>1.68327</v>
      </c>
      <c r="AB108" s="697">
        <v>1.69784</v>
      </c>
      <c r="AC108" s="704">
        <v>2.66955809</v>
      </c>
      <c r="AD108" s="705">
        <v>-0.011705378</v>
      </c>
      <c r="AE108" s="705">
        <v>0.0216385159</v>
      </c>
      <c r="AF108" s="705">
        <v>0.00109755393</v>
      </c>
      <c r="AG108" s="705">
        <v>-7.38357886e-5</v>
      </c>
      <c r="AH108" s="705">
        <v>6.82335888e-6</v>
      </c>
      <c r="AI108" s="709">
        <v>0.2973</v>
      </c>
      <c r="AJ108" s="709">
        <v>0.2372</v>
      </c>
      <c r="AK108" s="709">
        <v>0.5727</v>
      </c>
      <c r="AL108" s="709">
        <v>0.247</v>
      </c>
      <c r="AM108" s="709">
        <v>0.2344</v>
      </c>
      <c r="AN108" s="709">
        <v>0.5079</v>
      </c>
      <c r="AO108" s="709">
        <v>-0.0024</v>
      </c>
      <c r="AP108" s="709">
        <v>-0.005</v>
      </c>
      <c r="AQ108" s="709">
        <v>0.0132</v>
      </c>
      <c r="AR108" s="709">
        <v>0.0049</v>
      </c>
      <c r="AS108" s="714">
        <v>2</v>
      </c>
      <c r="AT108" s="714">
        <v>2.1</v>
      </c>
      <c r="AU108" s="714">
        <v>2.4</v>
      </c>
      <c r="AV108" s="714">
        <v>2.6</v>
      </c>
      <c r="AW108" s="714">
        <v>2.7</v>
      </c>
      <c r="AX108" s="714">
        <v>2.7</v>
      </c>
      <c r="AY108" s="714">
        <v>2.9</v>
      </c>
      <c r="AZ108" s="714">
        <v>3</v>
      </c>
      <c r="BA108" s="714">
        <v>3.2</v>
      </c>
      <c r="BB108" s="714">
        <v>3.3</v>
      </c>
      <c r="BC108" s="714">
        <v>3.4</v>
      </c>
      <c r="BD108" s="714">
        <v>2.4</v>
      </c>
      <c r="BE108" s="714">
        <v>2.5</v>
      </c>
      <c r="BF108" s="714">
        <v>2.7</v>
      </c>
      <c r="BG108" s="714">
        <v>2.9</v>
      </c>
      <c r="BH108" s="714">
        <v>3</v>
      </c>
      <c r="BI108" s="714">
        <v>3</v>
      </c>
      <c r="BJ108" s="714">
        <v>3.1</v>
      </c>
      <c r="BK108" s="714">
        <v>3.2</v>
      </c>
      <c r="BL108" s="714">
        <v>3.4</v>
      </c>
      <c r="BM108" s="714">
        <v>3.5</v>
      </c>
      <c r="BN108" s="714">
        <v>3.6</v>
      </c>
      <c r="BO108" s="714">
        <v>2.7</v>
      </c>
      <c r="BP108" s="714">
        <v>2.7</v>
      </c>
      <c r="BQ108" s="714">
        <v>2.9</v>
      </c>
      <c r="BR108" s="714">
        <v>3.1</v>
      </c>
      <c r="BS108" s="714">
        <v>3.2</v>
      </c>
      <c r="BT108" s="714">
        <v>3.3</v>
      </c>
      <c r="BU108" s="714">
        <v>3.3</v>
      </c>
      <c r="BV108" s="714">
        <v>3.4</v>
      </c>
      <c r="BW108" s="714">
        <v>3.6</v>
      </c>
      <c r="BX108" s="714">
        <v>3.8</v>
      </c>
      <c r="BY108" s="714">
        <v>3.9</v>
      </c>
      <c r="BZ108" s="714">
        <v>2.8</v>
      </c>
      <c r="CA108" s="714">
        <v>2.8</v>
      </c>
      <c r="CB108" s="714">
        <v>2.9</v>
      </c>
      <c r="CC108" s="714">
        <v>3.1</v>
      </c>
      <c r="CD108" s="714">
        <v>3.2</v>
      </c>
      <c r="CE108" s="714">
        <v>3.3</v>
      </c>
      <c r="CF108" s="714">
        <v>3.3</v>
      </c>
      <c r="CG108" s="714">
        <v>3.5</v>
      </c>
      <c r="CH108" s="714">
        <v>3.7</v>
      </c>
      <c r="CI108" s="714">
        <v>3.9</v>
      </c>
      <c r="CJ108" s="714">
        <v>4</v>
      </c>
      <c r="CK108" s="714">
        <v>2.9</v>
      </c>
      <c r="CL108" s="715">
        <v>2.9</v>
      </c>
      <c r="CM108" s="715">
        <v>3</v>
      </c>
      <c r="CN108" s="715">
        <v>3.2</v>
      </c>
      <c r="CO108" s="715">
        <v>3.3</v>
      </c>
      <c r="CP108" s="715">
        <v>3.4</v>
      </c>
      <c r="CQ108" s="715">
        <v>3.4</v>
      </c>
      <c r="CR108" s="714">
        <v>3.6</v>
      </c>
      <c r="CS108" s="714">
        <v>3.8</v>
      </c>
      <c r="CT108" s="714">
        <v>4</v>
      </c>
      <c r="CU108" s="714">
        <v>4.1</v>
      </c>
      <c r="CV108" s="714">
        <v>3.1</v>
      </c>
      <c r="CW108" s="715">
        <v>3.2</v>
      </c>
      <c r="CX108" s="715">
        <v>3.3</v>
      </c>
      <c r="CY108" s="715">
        <v>3.5</v>
      </c>
      <c r="CZ108" s="715">
        <v>3.6</v>
      </c>
      <c r="DA108" s="715">
        <v>3.7</v>
      </c>
      <c r="DB108" s="715">
        <v>3.9</v>
      </c>
      <c r="DC108" s="714">
        <v>4</v>
      </c>
      <c r="DD108" s="714">
        <v>4.1</v>
      </c>
      <c r="DE108" s="714">
        <v>4.3</v>
      </c>
      <c r="DF108" s="714">
        <v>4.4</v>
      </c>
      <c r="DG108" s="714">
        <v>3.3</v>
      </c>
      <c r="DH108" s="715">
        <v>3.5</v>
      </c>
      <c r="DI108" s="715">
        <v>3.5</v>
      </c>
      <c r="DJ108" s="715">
        <v>3.6</v>
      </c>
      <c r="DK108" s="715">
        <v>3.7</v>
      </c>
      <c r="DL108" s="715">
        <v>4</v>
      </c>
      <c r="DM108" s="715">
        <v>4.3</v>
      </c>
      <c r="DN108" s="714">
        <v>4.4</v>
      </c>
      <c r="DO108" s="714">
        <v>4.5</v>
      </c>
      <c r="DP108" s="714">
        <v>4.6</v>
      </c>
      <c r="DQ108" s="714">
        <v>4.8</v>
      </c>
      <c r="DR108" s="714">
        <v>3.7</v>
      </c>
      <c r="DS108" s="715">
        <v>3.8</v>
      </c>
      <c r="DT108" s="715">
        <v>3.9</v>
      </c>
      <c r="DU108" s="715">
        <v>4.1</v>
      </c>
      <c r="DV108" s="715">
        <v>4.3</v>
      </c>
      <c r="DW108" s="715">
        <v>4.6</v>
      </c>
      <c r="DX108" s="715">
        <v>4.8</v>
      </c>
      <c r="DY108" s="714">
        <v>5</v>
      </c>
      <c r="DZ108" s="714">
        <v>5.2</v>
      </c>
      <c r="EA108" s="714">
        <v>5.3</v>
      </c>
      <c r="EB108" s="714">
        <v>5.3</v>
      </c>
      <c r="EC108" s="714">
        <v>3.8</v>
      </c>
      <c r="ED108" s="715">
        <v>3.9</v>
      </c>
      <c r="EE108" s="715">
        <v>3.9</v>
      </c>
      <c r="EF108" s="715">
        <v>4.1</v>
      </c>
      <c r="EG108" s="715">
        <v>4.3</v>
      </c>
      <c r="EH108" s="715">
        <v>4.6</v>
      </c>
      <c r="EI108" s="715">
        <v>4.8</v>
      </c>
      <c r="EJ108" s="714">
        <v>5</v>
      </c>
      <c r="EK108" s="714">
        <v>5.2</v>
      </c>
      <c r="EL108" s="714">
        <v>5.3</v>
      </c>
      <c r="EM108" s="714">
        <v>5.4</v>
      </c>
      <c r="EN108" s="714">
        <v>4.6</v>
      </c>
      <c r="EO108" s="715">
        <v>4.8</v>
      </c>
      <c r="EP108" s="715">
        <v>4.9</v>
      </c>
      <c r="EQ108" s="715">
        <v>4.9</v>
      </c>
      <c r="ER108" s="715">
        <v>5.1</v>
      </c>
      <c r="ES108" s="715">
        <v>5.4</v>
      </c>
      <c r="ET108" s="715">
        <v>5.6</v>
      </c>
      <c r="EU108" s="714">
        <v>5.8</v>
      </c>
      <c r="EV108" s="714">
        <v>6</v>
      </c>
      <c r="EW108" s="714">
        <v>6.1</v>
      </c>
      <c r="EX108" s="714">
        <v>6.3</v>
      </c>
      <c r="EY108" s="714">
        <v>0.2</v>
      </c>
      <c r="EZ108" s="715">
        <v>0.7</v>
      </c>
      <c r="FA108" s="715">
        <v>1.1</v>
      </c>
      <c r="FB108" s="715">
        <v>1.6</v>
      </c>
      <c r="FC108" s="715">
        <v>1.9</v>
      </c>
      <c r="FD108" s="715">
        <v>2.1</v>
      </c>
      <c r="FE108" s="715">
        <v>2.3</v>
      </c>
      <c r="FF108" s="714">
        <v>2.6</v>
      </c>
      <c r="FG108" s="714">
        <v>2.9</v>
      </c>
      <c r="FH108" s="714">
        <v>3.2</v>
      </c>
      <c r="FI108" s="714">
        <v>3.4</v>
      </c>
      <c r="FJ108" s="723">
        <v>1.44e-6</v>
      </c>
      <c r="FK108" s="723">
        <v>1.63e-8</v>
      </c>
      <c r="FL108" s="723">
        <v>-2.55e-11</v>
      </c>
      <c r="FM108" s="723">
        <v>5.71e-7</v>
      </c>
      <c r="FN108" s="723">
        <v>3.95e-10</v>
      </c>
      <c r="FO108" s="723">
        <v>0.277</v>
      </c>
      <c r="FP108" s="729">
        <v>1</v>
      </c>
      <c r="FQ108" s="729">
        <v>1</v>
      </c>
      <c r="FR108" s="729">
        <v>1</v>
      </c>
      <c r="FS108" s="729">
        <v>1</v>
      </c>
      <c r="FT108" s="729">
        <v>1</v>
      </c>
      <c r="FU108" s="729">
        <v>1</v>
      </c>
      <c r="FV108" s="681">
        <v>1</v>
      </c>
      <c r="FW108" s="729"/>
      <c r="FX108" s="729"/>
      <c r="FY108" s="729"/>
      <c r="FZ108" s="746">
        <v>609</v>
      </c>
      <c r="GA108" s="746">
        <v>665</v>
      </c>
      <c r="GB108" s="681">
        <v>549</v>
      </c>
      <c r="GC108" s="681">
        <v>590</v>
      </c>
      <c r="GD108" s="747">
        <v>1.13</v>
      </c>
      <c r="GE108" s="729"/>
      <c r="GF108" s="681">
        <v>74</v>
      </c>
      <c r="GG108" s="681">
        <v>89</v>
      </c>
      <c r="GH108" s="681">
        <v>66</v>
      </c>
      <c r="GI108" s="681">
        <v>69</v>
      </c>
      <c r="GJ108" s="681">
        <v>71</v>
      </c>
      <c r="GK108" s="681">
        <v>72</v>
      </c>
      <c r="GL108" s="681">
        <v>73</v>
      </c>
      <c r="GM108" s="681">
        <v>74</v>
      </c>
      <c r="GN108" s="681">
        <v>75</v>
      </c>
      <c r="GO108" s="681">
        <v>75</v>
      </c>
      <c r="GP108" s="681">
        <v>76</v>
      </c>
      <c r="GQ108" s="681">
        <v>77</v>
      </c>
      <c r="GR108" s="681">
        <v>78</v>
      </c>
      <c r="GS108" s="681">
        <v>78</v>
      </c>
      <c r="GT108" s="681">
        <v>79</v>
      </c>
      <c r="GU108" s="681">
        <v>79</v>
      </c>
      <c r="GV108" s="681">
        <v>80</v>
      </c>
      <c r="GW108" s="681">
        <v>81</v>
      </c>
      <c r="GX108" s="681">
        <v>82</v>
      </c>
      <c r="GY108" s="681">
        <v>83</v>
      </c>
      <c r="GZ108" s="681">
        <v>84</v>
      </c>
      <c r="HA108" s="681">
        <v>85</v>
      </c>
      <c r="HB108" s="681">
        <v>85</v>
      </c>
      <c r="HC108" s="681"/>
      <c r="HD108" s="750">
        <v>134</v>
      </c>
      <c r="HE108" s="681"/>
      <c r="HF108" s="681">
        <v>565</v>
      </c>
      <c r="HG108" s="681">
        <v>141</v>
      </c>
      <c r="HH108" s="714">
        <v>92</v>
      </c>
      <c r="HI108" s="714">
        <v>37</v>
      </c>
      <c r="HJ108" s="753">
        <v>0.243</v>
      </c>
      <c r="HK108" s="681">
        <v>88</v>
      </c>
      <c r="HL108" s="685">
        <v>2.77</v>
      </c>
      <c r="HM108" s="747">
        <v>3.01</v>
      </c>
      <c r="HN108" s="729" t="s">
        <v>970</v>
      </c>
      <c r="HO108" s="729" t="s">
        <v>971</v>
      </c>
      <c r="HP108" s="714">
        <v>-1.6</v>
      </c>
      <c r="HQ108" s="753">
        <v>0.917</v>
      </c>
      <c r="HR108" s="753">
        <v>0.95</v>
      </c>
      <c r="HS108" s="753">
        <v>0.987</v>
      </c>
      <c r="HT108" s="753">
        <v>0.993</v>
      </c>
      <c r="HU108" s="753">
        <v>0.999</v>
      </c>
      <c r="HV108" s="753">
        <v>0.999</v>
      </c>
      <c r="HW108" s="753">
        <v>0.999</v>
      </c>
      <c r="HX108" s="753">
        <v>0.999</v>
      </c>
      <c r="HY108" s="753">
        <v>0.999</v>
      </c>
      <c r="HZ108" s="753">
        <v>0.999</v>
      </c>
      <c r="IA108" s="753">
        <v>0.999</v>
      </c>
      <c r="IB108" s="753">
        <v>0.999</v>
      </c>
      <c r="IC108" s="753">
        <v>0.999</v>
      </c>
      <c r="ID108" s="753">
        <v>0.999</v>
      </c>
      <c r="IE108" s="753">
        <v>0.999</v>
      </c>
      <c r="IF108" s="753">
        <v>0.999</v>
      </c>
      <c r="IG108" s="753">
        <v>0.999</v>
      </c>
      <c r="IH108" s="753">
        <v>0.999</v>
      </c>
      <c r="II108" s="753">
        <v>0.999</v>
      </c>
      <c r="IJ108" s="753">
        <v>0.998</v>
      </c>
      <c r="IK108" s="753">
        <v>0.997</v>
      </c>
      <c r="IL108" s="753">
        <v>0.996</v>
      </c>
      <c r="IM108" s="753">
        <v>0.994</v>
      </c>
      <c r="IN108" s="753">
        <v>0.991</v>
      </c>
      <c r="IO108" s="753">
        <v>0.988</v>
      </c>
      <c r="IP108" s="753">
        <v>0.977</v>
      </c>
      <c r="IQ108" s="753">
        <v>0.957</v>
      </c>
      <c r="IR108" s="753">
        <v>0.899</v>
      </c>
      <c r="IS108" s="753">
        <v>0.751</v>
      </c>
      <c r="IT108" s="753">
        <v>0.401</v>
      </c>
      <c r="IU108" s="753"/>
      <c r="IV108" s="753"/>
      <c r="IW108" s="753"/>
      <c r="IX108" s="753"/>
      <c r="IY108" s="753"/>
      <c r="IZ108" s="753"/>
      <c r="JA108" s="754">
        <v>0.84</v>
      </c>
      <c r="JB108" s="754">
        <v>0.9</v>
      </c>
      <c r="JC108" s="754">
        <v>0.974</v>
      </c>
      <c r="JD108" s="754">
        <v>0.986</v>
      </c>
      <c r="JE108" s="754">
        <v>0.998</v>
      </c>
      <c r="JF108" s="754">
        <v>0.998</v>
      </c>
      <c r="JG108" s="754">
        <v>0.998</v>
      </c>
      <c r="JH108" s="754">
        <v>0.998</v>
      </c>
      <c r="JI108" s="754">
        <v>0.998</v>
      </c>
      <c r="JJ108" s="754">
        <v>0.998</v>
      </c>
      <c r="JK108" s="754">
        <v>0.998</v>
      </c>
      <c r="JL108" s="754">
        <v>0.998</v>
      </c>
      <c r="JM108" s="754">
        <v>0.998</v>
      </c>
      <c r="JN108" s="754">
        <v>0.998</v>
      </c>
      <c r="JO108" s="754">
        <v>0.998</v>
      </c>
      <c r="JP108" s="754">
        <v>0.998</v>
      </c>
      <c r="JQ108" s="754">
        <v>0.998</v>
      </c>
      <c r="JR108" s="754">
        <v>0.998</v>
      </c>
      <c r="JS108" s="754">
        <v>0.998</v>
      </c>
      <c r="JT108" s="754">
        <v>0.996</v>
      </c>
      <c r="JU108" s="754">
        <v>0.994</v>
      </c>
      <c r="JV108" s="754">
        <v>0.992</v>
      </c>
      <c r="JW108" s="754">
        <v>0.99</v>
      </c>
      <c r="JX108" s="754">
        <v>0.983</v>
      </c>
      <c r="JY108" s="754">
        <v>0.974</v>
      </c>
      <c r="JZ108" s="754">
        <v>0.958</v>
      </c>
      <c r="KA108" s="754">
        <v>0.919</v>
      </c>
      <c r="KB108" s="754">
        <v>0.813</v>
      </c>
      <c r="KC108" s="754">
        <v>0.568</v>
      </c>
      <c r="KD108" s="754">
        <v>0.164</v>
      </c>
      <c r="KE108" s="754"/>
      <c r="KF108" s="754"/>
      <c r="KG108" s="754"/>
      <c r="KH108" s="754"/>
      <c r="KI108" s="754"/>
      <c r="KJ108" s="754"/>
      <c r="KK108" s="765" t="s">
        <v>281</v>
      </c>
      <c r="KL108" s="738">
        <v>82</v>
      </c>
      <c r="KM108" s="738">
        <v>247</v>
      </c>
      <c r="KN108" s="646" t="s">
        <v>339</v>
      </c>
      <c r="KO108" s="646" t="s">
        <v>969</v>
      </c>
      <c r="KP108" s="680">
        <v>654397</v>
      </c>
      <c r="KQ108" s="766" t="s">
        <v>972</v>
      </c>
      <c r="KR108" s="750" t="s">
        <v>973</v>
      </c>
      <c r="KS108" s="769" t="s">
        <v>974</v>
      </c>
      <c r="KT108" s="770" t="s">
        <v>975</v>
      </c>
      <c r="KU108" s="766" t="s">
        <v>976</v>
      </c>
      <c r="KV108" s="750">
        <v>654396</v>
      </c>
      <c r="KW108" s="771"/>
      <c r="KX108" s="750"/>
      <c r="KY108" s="769" t="s">
        <v>977</v>
      </c>
      <c r="KZ108" s="770" t="s">
        <v>973</v>
      </c>
    </row>
    <row r="109" s="628" customFormat="1" customHeight="1" spans="1:312">
      <c r="A109" s="682" t="s">
        <v>374</v>
      </c>
      <c r="B109" s="683">
        <v>105</v>
      </c>
      <c r="C109" s="689" t="s">
        <v>978</v>
      </c>
      <c r="D109" s="680">
        <v>694492</v>
      </c>
      <c r="E109" s="685">
        <v>49.2</v>
      </c>
      <c r="F109" s="685">
        <v>48.85</v>
      </c>
      <c r="G109" s="688">
        <v>0.014099</v>
      </c>
      <c r="H109" s="686">
        <v>0.014266</v>
      </c>
      <c r="I109" s="696">
        <v>1.6599</v>
      </c>
      <c r="J109" s="696">
        <v>1.66516</v>
      </c>
      <c r="K109" s="696">
        <v>1.67106</v>
      </c>
      <c r="L109" s="696">
        <v>1.67666</v>
      </c>
      <c r="M109" s="696">
        <v>1.67773</v>
      </c>
      <c r="N109" s="696">
        <v>1.67863</v>
      </c>
      <c r="O109" s="696">
        <v>1.6822</v>
      </c>
      <c r="P109" s="696">
        <v>1.68471</v>
      </c>
      <c r="Q109" s="697">
        <v>1.68705</v>
      </c>
      <c r="R109" s="697">
        <v>1.68941</v>
      </c>
      <c r="S109" s="697">
        <v>1.69007</v>
      </c>
      <c r="T109" s="701">
        <v>1.6907</v>
      </c>
      <c r="U109" s="697">
        <v>1.6935</v>
      </c>
      <c r="V109" s="697">
        <v>1.69362</v>
      </c>
      <c r="W109" s="697">
        <v>1.69696</v>
      </c>
      <c r="X109" s="697">
        <v>1.70351</v>
      </c>
      <c r="Y109" s="697">
        <v>1.70433</v>
      </c>
      <c r="Z109" s="697">
        <v>1.71141</v>
      </c>
      <c r="AA109" s="697">
        <v>1.71805</v>
      </c>
      <c r="AB109" s="697">
        <v>1.72957</v>
      </c>
      <c r="AC109" s="704">
        <v>2.80794251</v>
      </c>
      <c r="AD109" s="705">
        <v>-0.0104533648</v>
      </c>
      <c r="AE109" s="705">
        <v>0.0207773005</v>
      </c>
      <c r="AF109" s="705">
        <v>0.000406086547</v>
      </c>
      <c r="AG109" s="705">
        <v>1.98268226e-5</v>
      </c>
      <c r="AH109" s="705">
        <v>-7.40077504e-7</v>
      </c>
      <c r="AI109" s="709">
        <v>0.2986</v>
      </c>
      <c r="AJ109" s="709">
        <v>0.2369</v>
      </c>
      <c r="AK109" s="709">
        <v>0.5603</v>
      </c>
      <c r="AL109" s="709">
        <v>0.2488</v>
      </c>
      <c r="AM109" s="709">
        <v>0.2341</v>
      </c>
      <c r="AN109" s="709">
        <v>0.4963</v>
      </c>
      <c r="AO109" s="709">
        <v>0.0015</v>
      </c>
      <c r="AP109" s="709">
        <v>-0.0016</v>
      </c>
      <c r="AQ109" s="709">
        <v>-0.0139</v>
      </c>
      <c r="AR109" s="709">
        <v>-0.0071</v>
      </c>
      <c r="AS109" s="714">
        <v>1.3</v>
      </c>
      <c r="AT109" s="714">
        <v>1.3</v>
      </c>
      <c r="AU109" s="714">
        <v>1.3</v>
      </c>
      <c r="AV109" s="714">
        <v>1.3</v>
      </c>
      <c r="AW109" s="714">
        <v>1.3</v>
      </c>
      <c r="AX109" s="714">
        <v>1.4</v>
      </c>
      <c r="AY109" s="714">
        <v>1.5</v>
      </c>
      <c r="AZ109" s="714">
        <v>1.5</v>
      </c>
      <c r="BA109" s="714">
        <v>1.5</v>
      </c>
      <c r="BB109" s="714">
        <v>1.6</v>
      </c>
      <c r="BC109" s="714">
        <v>1.7</v>
      </c>
      <c r="BD109" s="714">
        <v>1.6</v>
      </c>
      <c r="BE109" s="714">
        <v>1.7</v>
      </c>
      <c r="BF109" s="714">
        <v>1.6</v>
      </c>
      <c r="BG109" s="714">
        <v>1.7</v>
      </c>
      <c r="BH109" s="714">
        <v>1.8</v>
      </c>
      <c r="BI109" s="714">
        <v>1.8</v>
      </c>
      <c r="BJ109" s="714">
        <v>1.9</v>
      </c>
      <c r="BK109" s="714">
        <v>1.9</v>
      </c>
      <c r="BL109" s="714">
        <v>1.9</v>
      </c>
      <c r="BM109" s="714">
        <v>2</v>
      </c>
      <c r="BN109" s="714">
        <v>2.1</v>
      </c>
      <c r="BO109" s="714">
        <v>1.8</v>
      </c>
      <c r="BP109" s="714">
        <v>1.9</v>
      </c>
      <c r="BQ109" s="714">
        <v>1.9</v>
      </c>
      <c r="BR109" s="714">
        <v>1.9</v>
      </c>
      <c r="BS109" s="714">
        <v>2</v>
      </c>
      <c r="BT109" s="714">
        <v>2.1</v>
      </c>
      <c r="BU109" s="714">
        <v>2.1</v>
      </c>
      <c r="BV109" s="714">
        <v>2.1</v>
      </c>
      <c r="BW109" s="714">
        <v>2.1</v>
      </c>
      <c r="BX109" s="714">
        <v>2.1</v>
      </c>
      <c r="BY109" s="714">
        <v>2.2</v>
      </c>
      <c r="BZ109" s="714">
        <v>1.8</v>
      </c>
      <c r="CA109" s="714">
        <v>1.9</v>
      </c>
      <c r="CB109" s="714">
        <v>1.9</v>
      </c>
      <c r="CC109" s="714">
        <v>1.9</v>
      </c>
      <c r="CD109" s="714">
        <v>2</v>
      </c>
      <c r="CE109" s="714">
        <v>2.1</v>
      </c>
      <c r="CF109" s="714">
        <v>2.1</v>
      </c>
      <c r="CG109" s="714">
        <v>2.2</v>
      </c>
      <c r="CH109" s="714">
        <v>2.2</v>
      </c>
      <c r="CI109" s="714">
        <v>2.2</v>
      </c>
      <c r="CJ109" s="714">
        <v>2.3</v>
      </c>
      <c r="CK109" s="714">
        <v>1.9</v>
      </c>
      <c r="CL109" s="715">
        <v>1.9</v>
      </c>
      <c r="CM109" s="715">
        <v>1.9</v>
      </c>
      <c r="CN109" s="715">
        <v>1.9</v>
      </c>
      <c r="CO109" s="715">
        <v>2</v>
      </c>
      <c r="CP109" s="715">
        <v>2.1</v>
      </c>
      <c r="CQ109" s="715">
        <v>2.1</v>
      </c>
      <c r="CR109" s="714">
        <v>2.2</v>
      </c>
      <c r="CS109" s="714">
        <v>2.2</v>
      </c>
      <c r="CT109" s="714">
        <v>2.3</v>
      </c>
      <c r="CU109" s="714">
        <v>2.4</v>
      </c>
      <c r="CV109" s="714">
        <v>2</v>
      </c>
      <c r="CW109" s="715">
        <v>2</v>
      </c>
      <c r="CX109" s="715">
        <v>2.1</v>
      </c>
      <c r="CY109" s="715">
        <v>2.1</v>
      </c>
      <c r="CZ109" s="715">
        <v>2.1</v>
      </c>
      <c r="DA109" s="715">
        <v>2.1</v>
      </c>
      <c r="DB109" s="715">
        <v>2.3</v>
      </c>
      <c r="DC109" s="714">
        <v>2.3</v>
      </c>
      <c r="DD109" s="714">
        <v>2.3</v>
      </c>
      <c r="DE109" s="714">
        <v>2.4</v>
      </c>
      <c r="DF109" s="714">
        <v>2.6</v>
      </c>
      <c r="DG109" s="714">
        <v>2.2</v>
      </c>
      <c r="DH109" s="715">
        <v>2.2</v>
      </c>
      <c r="DI109" s="715">
        <v>2.3</v>
      </c>
      <c r="DJ109" s="715">
        <v>2.3</v>
      </c>
      <c r="DK109" s="715">
        <v>2.4</v>
      </c>
      <c r="DL109" s="715">
        <v>2.4</v>
      </c>
      <c r="DM109" s="715">
        <v>2.5</v>
      </c>
      <c r="DN109" s="714">
        <v>2.6</v>
      </c>
      <c r="DO109" s="714">
        <v>2.7</v>
      </c>
      <c r="DP109" s="714">
        <v>2.8</v>
      </c>
      <c r="DQ109" s="714">
        <v>3</v>
      </c>
      <c r="DR109" s="714">
        <v>2.6</v>
      </c>
      <c r="DS109" s="715">
        <v>2.6</v>
      </c>
      <c r="DT109" s="715">
        <v>2.7</v>
      </c>
      <c r="DU109" s="715">
        <v>2.7</v>
      </c>
      <c r="DV109" s="715">
        <v>2.7</v>
      </c>
      <c r="DW109" s="715">
        <v>2.8</v>
      </c>
      <c r="DX109" s="715">
        <v>3</v>
      </c>
      <c r="DY109" s="714">
        <v>3.1</v>
      </c>
      <c r="DZ109" s="714">
        <v>3.2</v>
      </c>
      <c r="EA109" s="714">
        <v>3.3</v>
      </c>
      <c r="EB109" s="714">
        <v>3.5</v>
      </c>
      <c r="EC109" s="714">
        <v>2.7</v>
      </c>
      <c r="ED109" s="715">
        <v>2.7</v>
      </c>
      <c r="EE109" s="715">
        <v>2.8</v>
      </c>
      <c r="EF109" s="715">
        <v>2.8</v>
      </c>
      <c r="EG109" s="715">
        <v>2.8</v>
      </c>
      <c r="EH109" s="715">
        <v>2.9</v>
      </c>
      <c r="EI109" s="715">
        <v>3.1</v>
      </c>
      <c r="EJ109" s="714">
        <v>3.3</v>
      </c>
      <c r="EK109" s="714">
        <v>3.4</v>
      </c>
      <c r="EL109" s="714">
        <v>3.4</v>
      </c>
      <c r="EM109" s="714">
        <v>3.6</v>
      </c>
      <c r="EN109" s="714">
        <v>3.2</v>
      </c>
      <c r="EO109" s="715">
        <v>3.2</v>
      </c>
      <c r="EP109" s="715">
        <v>3.3</v>
      </c>
      <c r="EQ109" s="715">
        <v>3.3</v>
      </c>
      <c r="ER109" s="715">
        <v>3.5</v>
      </c>
      <c r="ES109" s="715">
        <v>3.5</v>
      </c>
      <c r="ET109" s="715">
        <v>3.6</v>
      </c>
      <c r="EU109" s="714">
        <v>3.7</v>
      </c>
      <c r="EV109" s="714">
        <v>3.8</v>
      </c>
      <c r="EW109" s="714">
        <v>3.9</v>
      </c>
      <c r="EX109" s="714">
        <v>4</v>
      </c>
      <c r="EY109" s="714">
        <v>-0.8</v>
      </c>
      <c r="EZ109" s="715">
        <v>-0.4</v>
      </c>
      <c r="FA109" s="715">
        <v>-0.1</v>
      </c>
      <c r="FB109" s="715">
        <v>0.2</v>
      </c>
      <c r="FC109" s="715">
        <v>0.5</v>
      </c>
      <c r="FD109" s="715">
        <v>0.8</v>
      </c>
      <c r="FE109" s="715">
        <v>1</v>
      </c>
      <c r="FF109" s="714">
        <v>1.2</v>
      </c>
      <c r="FG109" s="714">
        <v>1.3</v>
      </c>
      <c r="FH109" s="714">
        <v>1.5</v>
      </c>
      <c r="FI109" s="714">
        <v>1.6</v>
      </c>
      <c r="FJ109" s="723">
        <v>-7.87e-7</v>
      </c>
      <c r="FK109" s="723">
        <v>1.19e-8</v>
      </c>
      <c r="FL109" s="723">
        <v>-2.18e-11</v>
      </c>
      <c r="FM109" s="723">
        <v>5.08e-7</v>
      </c>
      <c r="FN109" s="723">
        <v>3.7e-10</v>
      </c>
      <c r="FO109" s="723">
        <v>0.242</v>
      </c>
      <c r="FP109" s="729">
        <v>1</v>
      </c>
      <c r="FQ109" s="729">
        <v>3</v>
      </c>
      <c r="FR109" s="729">
        <v>1</v>
      </c>
      <c r="FS109" s="729">
        <v>3</v>
      </c>
      <c r="FT109" s="729">
        <v>1</v>
      </c>
      <c r="FU109" s="729">
        <v>2</v>
      </c>
      <c r="FV109" s="681">
        <v>2</v>
      </c>
      <c r="FW109" s="729"/>
      <c r="FX109" s="729"/>
      <c r="FY109" s="729"/>
      <c r="FZ109" s="746">
        <v>663</v>
      </c>
      <c r="GA109" s="746">
        <v>699</v>
      </c>
      <c r="GB109" s="681">
        <v>603</v>
      </c>
      <c r="GC109" s="681">
        <v>640</v>
      </c>
      <c r="GD109" s="747">
        <v>0.87</v>
      </c>
      <c r="GE109" s="729"/>
      <c r="GF109" s="681">
        <v>74</v>
      </c>
      <c r="GG109" s="681">
        <v>87</v>
      </c>
      <c r="GH109" s="681">
        <v>65</v>
      </c>
      <c r="GI109" s="681">
        <v>68</v>
      </c>
      <c r="GJ109" s="681">
        <v>70</v>
      </c>
      <c r="GK109" s="681">
        <v>71</v>
      </c>
      <c r="GL109" s="681">
        <v>72</v>
      </c>
      <c r="GM109" s="681">
        <v>73</v>
      </c>
      <c r="GN109" s="681">
        <v>73</v>
      </c>
      <c r="GO109" s="681">
        <v>75</v>
      </c>
      <c r="GP109" s="681">
        <v>76</v>
      </c>
      <c r="GQ109" s="681">
        <v>76</v>
      </c>
      <c r="GR109" s="681">
        <v>77</v>
      </c>
      <c r="GS109" s="681">
        <v>78</v>
      </c>
      <c r="GT109" s="681">
        <v>78</v>
      </c>
      <c r="GU109" s="681">
        <v>79</v>
      </c>
      <c r="GV109" s="681">
        <v>80</v>
      </c>
      <c r="GW109" s="681">
        <v>80</v>
      </c>
      <c r="GX109" s="681">
        <v>81</v>
      </c>
      <c r="GY109" s="681">
        <v>82</v>
      </c>
      <c r="GZ109" s="681">
        <v>83</v>
      </c>
      <c r="HA109" s="681">
        <v>83</v>
      </c>
      <c r="HB109" s="681">
        <v>84</v>
      </c>
      <c r="HC109" s="681"/>
      <c r="HD109" s="750">
        <v>120</v>
      </c>
      <c r="HE109" s="681"/>
      <c r="HF109" s="681">
        <v>545</v>
      </c>
      <c r="HG109" s="681">
        <v>159</v>
      </c>
      <c r="HH109" s="714">
        <v>91.9</v>
      </c>
      <c r="HI109" s="714">
        <v>36</v>
      </c>
      <c r="HJ109" s="753">
        <v>0.277</v>
      </c>
      <c r="HK109" s="681">
        <v>74</v>
      </c>
      <c r="HL109" s="685">
        <v>1.7</v>
      </c>
      <c r="HM109" s="747">
        <v>3.97</v>
      </c>
      <c r="HN109" s="729" t="s">
        <v>979</v>
      </c>
      <c r="HO109" s="729" t="s">
        <v>980</v>
      </c>
      <c r="HP109" s="714">
        <v>-0.5</v>
      </c>
      <c r="HQ109" s="753">
        <v>0.922</v>
      </c>
      <c r="HR109" s="753">
        <v>0.976</v>
      </c>
      <c r="HS109" s="753">
        <v>0.99</v>
      </c>
      <c r="HT109" s="753">
        <v>0.999</v>
      </c>
      <c r="HU109" s="753">
        <v>0.999</v>
      </c>
      <c r="HV109" s="753">
        <v>0.999</v>
      </c>
      <c r="HW109" s="753">
        <v>0.999</v>
      </c>
      <c r="HX109" s="753">
        <v>0.999</v>
      </c>
      <c r="HY109" s="753">
        <v>0.999</v>
      </c>
      <c r="HZ109" s="753">
        <v>0.999</v>
      </c>
      <c r="IA109" s="753">
        <v>0.999</v>
      </c>
      <c r="IB109" s="753">
        <v>0.999</v>
      </c>
      <c r="IC109" s="753">
        <v>0.999</v>
      </c>
      <c r="ID109" s="753">
        <v>0.999</v>
      </c>
      <c r="IE109" s="753">
        <v>0.999</v>
      </c>
      <c r="IF109" s="753">
        <v>0.999</v>
      </c>
      <c r="IG109" s="753">
        <v>0.999</v>
      </c>
      <c r="IH109" s="753">
        <v>0.999</v>
      </c>
      <c r="II109" s="753">
        <v>0.999</v>
      </c>
      <c r="IJ109" s="753">
        <v>0.997</v>
      </c>
      <c r="IK109" s="753">
        <v>0.995</v>
      </c>
      <c r="IL109" s="753">
        <v>0.992</v>
      </c>
      <c r="IM109" s="753">
        <v>0.987</v>
      </c>
      <c r="IN109" s="753">
        <v>0.981</v>
      </c>
      <c r="IO109" s="753">
        <v>0.974</v>
      </c>
      <c r="IP109" s="753">
        <v>0.961</v>
      </c>
      <c r="IQ109" s="753">
        <v>0.932</v>
      </c>
      <c r="IR109" s="753">
        <v>0.866</v>
      </c>
      <c r="IS109" s="753">
        <v>0.716</v>
      </c>
      <c r="IT109" s="753">
        <v>0.409</v>
      </c>
      <c r="IU109" s="753">
        <v>0.078</v>
      </c>
      <c r="IV109" s="753"/>
      <c r="IW109" s="753"/>
      <c r="IX109" s="753"/>
      <c r="IY109" s="753"/>
      <c r="IZ109" s="753"/>
      <c r="JA109" s="754">
        <v>0.85</v>
      </c>
      <c r="JB109" s="754">
        <v>0.953</v>
      </c>
      <c r="JC109" s="754">
        <v>0.98</v>
      </c>
      <c r="JD109" s="754">
        <v>0.998</v>
      </c>
      <c r="JE109" s="754">
        <v>0.998</v>
      </c>
      <c r="JF109" s="754">
        <v>0.998</v>
      </c>
      <c r="JG109" s="754">
        <v>0.998</v>
      </c>
      <c r="JH109" s="754">
        <v>0.998</v>
      </c>
      <c r="JI109" s="754">
        <v>0.998</v>
      </c>
      <c r="JJ109" s="754">
        <v>0.998</v>
      </c>
      <c r="JK109" s="754">
        <v>0.998</v>
      </c>
      <c r="JL109" s="754">
        <v>0.998</v>
      </c>
      <c r="JM109" s="754">
        <v>0.998</v>
      </c>
      <c r="JN109" s="754">
        <v>0.998</v>
      </c>
      <c r="JO109" s="754">
        <v>0.998</v>
      </c>
      <c r="JP109" s="754">
        <v>0.998</v>
      </c>
      <c r="JQ109" s="754">
        <v>0.998</v>
      </c>
      <c r="JR109" s="754">
        <v>0.998</v>
      </c>
      <c r="JS109" s="754">
        <v>0.998</v>
      </c>
      <c r="JT109" s="754">
        <v>0.994</v>
      </c>
      <c r="JU109" s="754">
        <v>0.99</v>
      </c>
      <c r="JV109" s="754">
        <v>0.986</v>
      </c>
      <c r="JW109" s="754">
        <v>0.982</v>
      </c>
      <c r="JX109" s="754">
        <v>0.971</v>
      </c>
      <c r="JY109" s="754">
        <v>0.957</v>
      </c>
      <c r="JZ109" s="754">
        <v>0.931</v>
      </c>
      <c r="KA109" s="754">
        <v>0.876</v>
      </c>
      <c r="KB109" s="754">
        <v>0.759</v>
      </c>
      <c r="KC109" s="754">
        <v>0.521</v>
      </c>
      <c r="KD109" s="754">
        <v>0.174</v>
      </c>
      <c r="KE109" s="754">
        <v>0.01</v>
      </c>
      <c r="KF109" s="754"/>
      <c r="KG109" s="754"/>
      <c r="KH109" s="754"/>
      <c r="KI109" s="754"/>
      <c r="KJ109" s="754"/>
      <c r="KK109" s="765" t="s">
        <v>281</v>
      </c>
      <c r="KL109" s="738">
        <v>42</v>
      </c>
      <c r="KM109" s="738">
        <v>167</v>
      </c>
      <c r="KN109" s="646" t="s">
        <v>339</v>
      </c>
      <c r="KO109" s="646" t="s">
        <v>978</v>
      </c>
      <c r="KP109" s="680">
        <v>694492</v>
      </c>
      <c r="KQ109" s="766" t="s">
        <v>981</v>
      </c>
      <c r="KR109" s="750" t="s">
        <v>982</v>
      </c>
      <c r="KS109" s="769" t="s">
        <v>978</v>
      </c>
      <c r="KT109" s="770" t="s">
        <v>983</v>
      </c>
      <c r="KU109" s="766"/>
      <c r="KV109" s="750"/>
      <c r="KW109" s="771"/>
      <c r="KX109" s="750"/>
      <c r="KY109" s="769"/>
      <c r="KZ109" s="770"/>
    </row>
    <row r="110" s="628" customFormat="1" customHeight="1" spans="1:312">
      <c r="A110" s="682" t="s">
        <v>300</v>
      </c>
      <c r="B110" s="683">
        <v>106</v>
      </c>
      <c r="C110" s="689" t="s">
        <v>984</v>
      </c>
      <c r="D110" s="680">
        <v>717479</v>
      </c>
      <c r="E110" s="685">
        <v>47.89</v>
      </c>
      <c r="F110" s="685">
        <v>47.65</v>
      </c>
      <c r="G110" s="688">
        <v>0.014972</v>
      </c>
      <c r="H110" s="686">
        <v>0.015122</v>
      </c>
      <c r="I110" s="696"/>
      <c r="J110" s="696"/>
      <c r="K110" s="696"/>
      <c r="L110" s="696">
        <v>1.69904</v>
      </c>
      <c r="M110" s="696">
        <v>1.70015</v>
      </c>
      <c r="N110" s="696">
        <v>1.70108</v>
      </c>
      <c r="O110" s="696">
        <v>1.70484</v>
      </c>
      <c r="P110" s="696">
        <v>1.7075</v>
      </c>
      <c r="Q110" s="697">
        <v>1.70999</v>
      </c>
      <c r="R110" s="697">
        <v>1.71251</v>
      </c>
      <c r="S110" s="697">
        <v>1.71323</v>
      </c>
      <c r="T110" s="701">
        <v>1.71388</v>
      </c>
      <c r="U110" s="697">
        <v>1.71687</v>
      </c>
      <c r="V110" s="697">
        <v>1.717</v>
      </c>
      <c r="W110" s="697">
        <v>1.72056</v>
      </c>
      <c r="X110" s="697">
        <v>1.72748</v>
      </c>
      <c r="Y110" s="697">
        <v>1.72835</v>
      </c>
      <c r="Z110" s="697">
        <v>1.73587</v>
      </c>
      <c r="AA110" s="697">
        <v>1.74295</v>
      </c>
      <c r="AB110" s="697">
        <v>1.75527</v>
      </c>
      <c r="AC110" s="704">
        <v>2.88020693</v>
      </c>
      <c r="AD110" s="705">
        <v>-0.00972282525</v>
      </c>
      <c r="AE110" s="705">
        <v>0.0240408618</v>
      </c>
      <c r="AF110" s="705">
        <v>2.48389828e-5</v>
      </c>
      <c r="AG110" s="705">
        <v>6.26809703e-5</v>
      </c>
      <c r="AH110" s="705">
        <v>-1.98030657e-6</v>
      </c>
      <c r="AI110" s="709">
        <v>0.2999</v>
      </c>
      <c r="AJ110" s="709">
        <v>0.2378</v>
      </c>
      <c r="AK110" s="709">
        <v>0.5604</v>
      </c>
      <c r="AL110" s="709">
        <v>0.2493</v>
      </c>
      <c r="AM110" s="709">
        <v>0.2354</v>
      </c>
      <c r="AN110" s="709">
        <v>0.4973</v>
      </c>
      <c r="AO110" s="709">
        <v>-0.0016</v>
      </c>
      <c r="AP110" s="709">
        <v>-0.0037</v>
      </c>
      <c r="AQ110" s="709">
        <v>-0.0087</v>
      </c>
      <c r="AR110" s="709">
        <v>-0.003</v>
      </c>
      <c r="AS110" s="714">
        <v>-0.2</v>
      </c>
      <c r="AT110" s="714">
        <v>-0.2</v>
      </c>
      <c r="AU110" s="714">
        <v>-0.1</v>
      </c>
      <c r="AV110" s="714">
        <v>-0.2</v>
      </c>
      <c r="AW110" s="714">
        <v>-0.2</v>
      </c>
      <c r="AX110" s="714">
        <v>-0.2</v>
      </c>
      <c r="AY110" s="714">
        <v>-0.2</v>
      </c>
      <c r="AZ110" s="714">
        <v>-0.1</v>
      </c>
      <c r="BA110" s="714">
        <v>-0.1</v>
      </c>
      <c r="BB110" s="714">
        <v>0</v>
      </c>
      <c r="BC110" s="714">
        <v>0</v>
      </c>
      <c r="BD110" s="714">
        <v>0.1</v>
      </c>
      <c r="BE110" s="714">
        <v>0.1</v>
      </c>
      <c r="BF110" s="714">
        <v>0.2</v>
      </c>
      <c r="BG110" s="714">
        <v>0.3</v>
      </c>
      <c r="BH110" s="714">
        <v>0.3</v>
      </c>
      <c r="BI110" s="714">
        <v>0.3</v>
      </c>
      <c r="BJ110" s="714">
        <v>0.4</v>
      </c>
      <c r="BK110" s="714">
        <v>0.5</v>
      </c>
      <c r="BL110" s="714">
        <v>0.6</v>
      </c>
      <c r="BM110" s="714">
        <v>0.6</v>
      </c>
      <c r="BN110" s="714">
        <v>0.6</v>
      </c>
      <c r="BO110" s="714">
        <v>0.3</v>
      </c>
      <c r="BP110" s="714">
        <v>0.3</v>
      </c>
      <c r="BQ110" s="714">
        <v>0.4</v>
      </c>
      <c r="BR110" s="714">
        <v>0.4</v>
      </c>
      <c r="BS110" s="714">
        <v>0.4</v>
      </c>
      <c r="BT110" s="714">
        <v>0.4</v>
      </c>
      <c r="BU110" s="714">
        <v>0.5</v>
      </c>
      <c r="BV110" s="714">
        <v>0.5</v>
      </c>
      <c r="BW110" s="714">
        <v>0.6</v>
      </c>
      <c r="BX110" s="714">
        <v>0.8</v>
      </c>
      <c r="BY110" s="714">
        <v>0.8</v>
      </c>
      <c r="BZ110" s="714">
        <v>0.4</v>
      </c>
      <c r="CA110" s="714">
        <v>0.4</v>
      </c>
      <c r="CB110" s="714">
        <v>0.4</v>
      </c>
      <c r="CC110" s="714">
        <v>0.5</v>
      </c>
      <c r="CD110" s="714">
        <v>0.5</v>
      </c>
      <c r="CE110" s="714">
        <v>0.5</v>
      </c>
      <c r="CF110" s="714">
        <v>0.6</v>
      </c>
      <c r="CG110" s="714">
        <v>0.7</v>
      </c>
      <c r="CH110" s="714">
        <v>0.7</v>
      </c>
      <c r="CI110" s="714">
        <v>0.8</v>
      </c>
      <c r="CJ110" s="714">
        <v>0.9</v>
      </c>
      <c r="CK110" s="714">
        <v>0.4</v>
      </c>
      <c r="CL110" s="715">
        <v>0.5</v>
      </c>
      <c r="CM110" s="715">
        <v>0.5</v>
      </c>
      <c r="CN110" s="715">
        <v>0.5</v>
      </c>
      <c r="CO110" s="715">
        <v>0.6</v>
      </c>
      <c r="CP110" s="715">
        <v>0.6</v>
      </c>
      <c r="CQ110" s="715">
        <v>0.7</v>
      </c>
      <c r="CR110" s="714">
        <v>0.9</v>
      </c>
      <c r="CS110" s="714">
        <v>1</v>
      </c>
      <c r="CT110" s="714">
        <v>1.1</v>
      </c>
      <c r="CU110" s="714">
        <v>1.2</v>
      </c>
      <c r="CV110" s="714">
        <v>0.7</v>
      </c>
      <c r="CW110" s="715">
        <v>0.7</v>
      </c>
      <c r="CX110" s="715">
        <v>0.7</v>
      </c>
      <c r="CY110" s="715">
        <v>0.8</v>
      </c>
      <c r="CZ110" s="715">
        <v>0.8</v>
      </c>
      <c r="DA110" s="715">
        <v>0.9</v>
      </c>
      <c r="DB110" s="715">
        <v>0.9</v>
      </c>
      <c r="DC110" s="714">
        <v>1</v>
      </c>
      <c r="DD110" s="714">
        <v>1.2</v>
      </c>
      <c r="DE110" s="714">
        <v>1.4</v>
      </c>
      <c r="DF110" s="714">
        <v>1.6</v>
      </c>
      <c r="DG110" s="714">
        <v>0.9</v>
      </c>
      <c r="DH110" s="715">
        <v>0.9</v>
      </c>
      <c r="DI110" s="715">
        <v>1</v>
      </c>
      <c r="DJ110" s="715">
        <v>1</v>
      </c>
      <c r="DK110" s="715">
        <v>1</v>
      </c>
      <c r="DL110" s="715">
        <v>1.1</v>
      </c>
      <c r="DM110" s="715">
        <v>1.1</v>
      </c>
      <c r="DN110" s="714">
        <v>1.3</v>
      </c>
      <c r="DO110" s="714">
        <v>1.4</v>
      </c>
      <c r="DP110" s="714">
        <v>1.5</v>
      </c>
      <c r="DQ110" s="714">
        <v>1.8</v>
      </c>
      <c r="DR110" s="714">
        <v>1.2</v>
      </c>
      <c r="DS110" s="715">
        <v>1.3</v>
      </c>
      <c r="DT110" s="715">
        <v>1.3</v>
      </c>
      <c r="DU110" s="715">
        <v>1.3</v>
      </c>
      <c r="DV110" s="715">
        <v>1.3</v>
      </c>
      <c r="DW110" s="715">
        <v>1.3</v>
      </c>
      <c r="DX110" s="715">
        <v>1.3</v>
      </c>
      <c r="DY110" s="714">
        <v>1.5</v>
      </c>
      <c r="DZ110" s="714">
        <v>1.7</v>
      </c>
      <c r="EA110" s="714">
        <v>1.9</v>
      </c>
      <c r="EB110" s="714">
        <v>1.9</v>
      </c>
      <c r="EC110" s="714">
        <v>1.2</v>
      </c>
      <c r="ED110" s="715">
        <v>1.3</v>
      </c>
      <c r="EE110" s="715">
        <v>1.3</v>
      </c>
      <c r="EF110" s="715">
        <v>1.3</v>
      </c>
      <c r="EG110" s="715">
        <v>1.4</v>
      </c>
      <c r="EH110" s="715">
        <v>1.4</v>
      </c>
      <c r="EI110" s="715">
        <v>1.4</v>
      </c>
      <c r="EJ110" s="714">
        <v>1.6</v>
      </c>
      <c r="EK110" s="714">
        <v>1.9</v>
      </c>
      <c r="EL110" s="714">
        <v>2.1</v>
      </c>
      <c r="EM110" s="714">
        <v>2.1</v>
      </c>
      <c r="EN110" s="714">
        <v>1.6</v>
      </c>
      <c r="EO110" s="715">
        <v>1.6</v>
      </c>
      <c r="EP110" s="715">
        <v>1.7</v>
      </c>
      <c r="EQ110" s="715">
        <v>1.7</v>
      </c>
      <c r="ER110" s="715">
        <v>1.8</v>
      </c>
      <c r="ES110" s="715">
        <v>1.8</v>
      </c>
      <c r="ET110" s="715">
        <v>1.8</v>
      </c>
      <c r="EU110" s="714">
        <v>2</v>
      </c>
      <c r="EV110" s="714">
        <v>2.1</v>
      </c>
      <c r="EW110" s="714">
        <v>2.3</v>
      </c>
      <c r="EX110" s="714">
        <v>2.3</v>
      </c>
      <c r="EY110" s="714">
        <v>-2.4</v>
      </c>
      <c r="EZ110" s="715">
        <v>-1.8</v>
      </c>
      <c r="FA110" s="715">
        <v>-1.5</v>
      </c>
      <c r="FB110" s="715">
        <v>-1.2</v>
      </c>
      <c r="FC110" s="715">
        <v>-0.9</v>
      </c>
      <c r="FD110" s="715">
        <v>-0.7</v>
      </c>
      <c r="FE110" s="715">
        <v>-0.5</v>
      </c>
      <c r="FF110" s="714">
        <v>-0.1</v>
      </c>
      <c r="FG110" s="714">
        <v>0.1</v>
      </c>
      <c r="FH110" s="714">
        <v>0.3</v>
      </c>
      <c r="FI110" s="714">
        <v>0.4</v>
      </c>
      <c r="FJ110" s="723">
        <v>-3.77e-6</v>
      </c>
      <c r="FK110" s="723">
        <v>1.15e-8</v>
      </c>
      <c r="FL110" s="723">
        <v>-1.71e-11</v>
      </c>
      <c r="FM110" s="723">
        <v>7.48e-7</v>
      </c>
      <c r="FN110" s="723">
        <v>4.03e-10</v>
      </c>
      <c r="FO110" s="723">
        <v>8.88e-9</v>
      </c>
      <c r="FP110" s="729">
        <v>1</v>
      </c>
      <c r="FQ110" s="729">
        <v>2</v>
      </c>
      <c r="FR110" s="729">
        <v>1</v>
      </c>
      <c r="FS110" s="729">
        <v>4</v>
      </c>
      <c r="FT110" s="729">
        <v>1</v>
      </c>
      <c r="FU110" s="729">
        <v>2</v>
      </c>
      <c r="FV110" s="681">
        <v>1</v>
      </c>
      <c r="FW110" s="729"/>
      <c r="FX110" s="729"/>
      <c r="FY110" s="729"/>
      <c r="FZ110" s="746">
        <v>689</v>
      </c>
      <c r="GA110" s="746">
        <v>731</v>
      </c>
      <c r="GB110" s="681">
        <v>621</v>
      </c>
      <c r="GC110" s="681">
        <v>662</v>
      </c>
      <c r="GD110" s="747">
        <v>0.63</v>
      </c>
      <c r="GE110" s="729"/>
      <c r="GF110" s="681">
        <v>77</v>
      </c>
      <c r="GG110" s="681">
        <v>90</v>
      </c>
      <c r="GH110" s="681">
        <v>67</v>
      </c>
      <c r="GI110" s="681">
        <v>72</v>
      </c>
      <c r="GJ110" s="681">
        <v>73</v>
      </c>
      <c r="GK110" s="681">
        <v>75</v>
      </c>
      <c r="GL110" s="681">
        <v>75</v>
      </c>
      <c r="GM110" s="681">
        <v>76</v>
      </c>
      <c r="GN110" s="681">
        <v>78</v>
      </c>
      <c r="GO110" s="681">
        <v>78</v>
      </c>
      <c r="GP110" s="681">
        <v>78</v>
      </c>
      <c r="GQ110" s="681">
        <v>80</v>
      </c>
      <c r="GR110" s="681">
        <v>80</v>
      </c>
      <c r="GS110" s="681">
        <v>83</v>
      </c>
      <c r="GT110" s="681">
        <v>83</v>
      </c>
      <c r="GU110" s="681">
        <v>84</v>
      </c>
      <c r="GV110" s="681">
        <v>84</v>
      </c>
      <c r="GW110" s="681">
        <v>84</v>
      </c>
      <c r="GX110" s="681">
        <v>85</v>
      </c>
      <c r="GY110" s="681">
        <v>85</v>
      </c>
      <c r="GZ110" s="681">
        <v>86</v>
      </c>
      <c r="HA110" s="681">
        <v>88</v>
      </c>
      <c r="HB110" s="681">
        <v>89</v>
      </c>
      <c r="HC110" s="681"/>
      <c r="HD110" s="750">
        <v>122</v>
      </c>
      <c r="HE110" s="681"/>
      <c r="HF110" s="681">
        <v>530</v>
      </c>
      <c r="HG110" s="681">
        <v>122</v>
      </c>
      <c r="HH110" s="714">
        <v>91.7</v>
      </c>
      <c r="HI110" s="714">
        <v>35.5</v>
      </c>
      <c r="HJ110" s="753">
        <v>0.293</v>
      </c>
      <c r="HK110" s="681">
        <v>85</v>
      </c>
      <c r="HL110" s="685">
        <v>1.29</v>
      </c>
      <c r="HM110" s="747">
        <v>4.21</v>
      </c>
      <c r="HN110" s="729" t="s">
        <v>970</v>
      </c>
      <c r="HO110" s="729" t="s">
        <v>985</v>
      </c>
      <c r="HP110" s="714">
        <v>0.3</v>
      </c>
      <c r="HQ110" s="753">
        <v>0.907</v>
      </c>
      <c r="HR110" s="753">
        <v>0.967</v>
      </c>
      <c r="HS110" s="753">
        <v>0.986</v>
      </c>
      <c r="HT110" s="753">
        <v>0.994</v>
      </c>
      <c r="HU110" s="753">
        <v>0.998</v>
      </c>
      <c r="HV110" s="753">
        <v>0.999</v>
      </c>
      <c r="HW110" s="753">
        <v>0.999</v>
      </c>
      <c r="HX110" s="753">
        <v>0.999</v>
      </c>
      <c r="HY110" s="753">
        <v>0.999</v>
      </c>
      <c r="HZ110" s="753">
        <v>0.999</v>
      </c>
      <c r="IA110" s="753">
        <v>0.999</v>
      </c>
      <c r="IB110" s="753">
        <v>0.999</v>
      </c>
      <c r="IC110" s="753">
        <v>0.999</v>
      </c>
      <c r="ID110" s="753">
        <v>0.999</v>
      </c>
      <c r="IE110" s="753">
        <v>0.999</v>
      </c>
      <c r="IF110" s="753">
        <v>0.998</v>
      </c>
      <c r="IG110" s="753">
        <v>0.999</v>
      </c>
      <c r="IH110" s="753">
        <v>0.999</v>
      </c>
      <c r="II110" s="753">
        <v>0.998</v>
      </c>
      <c r="IJ110" s="753">
        <v>0.997</v>
      </c>
      <c r="IK110" s="753">
        <v>0.996</v>
      </c>
      <c r="IL110" s="753">
        <v>0.995</v>
      </c>
      <c r="IM110" s="753">
        <v>0.993</v>
      </c>
      <c r="IN110" s="753">
        <v>0.989</v>
      </c>
      <c r="IO110" s="753">
        <v>0.983</v>
      </c>
      <c r="IP110" s="753">
        <v>0.974</v>
      </c>
      <c r="IQ110" s="753">
        <v>0.951</v>
      </c>
      <c r="IR110" s="753">
        <v>0.9</v>
      </c>
      <c r="IS110" s="753">
        <v>0.77</v>
      </c>
      <c r="IT110" s="753">
        <v>0.488</v>
      </c>
      <c r="IU110" s="753">
        <v>0.143</v>
      </c>
      <c r="IV110" s="753"/>
      <c r="IW110" s="753"/>
      <c r="IX110" s="753"/>
      <c r="IY110" s="753"/>
      <c r="IZ110" s="753"/>
      <c r="JA110" s="754">
        <v>0.822</v>
      </c>
      <c r="JB110" s="754">
        <v>0.935</v>
      </c>
      <c r="JC110" s="754">
        <v>0.971</v>
      </c>
      <c r="JD110" s="754">
        <v>0.988</v>
      </c>
      <c r="JE110" s="754">
        <v>0.995</v>
      </c>
      <c r="JF110" s="754">
        <v>0.998</v>
      </c>
      <c r="JG110" s="754">
        <v>0.998</v>
      </c>
      <c r="JH110" s="754">
        <v>0.998</v>
      </c>
      <c r="JI110" s="754">
        <v>0.998</v>
      </c>
      <c r="JJ110" s="754">
        <v>0.998</v>
      </c>
      <c r="JK110" s="754">
        <v>0.998</v>
      </c>
      <c r="JL110" s="754">
        <v>0.998</v>
      </c>
      <c r="JM110" s="754">
        <v>0.998</v>
      </c>
      <c r="JN110" s="754">
        <v>0.998</v>
      </c>
      <c r="JO110" s="754">
        <v>0.998</v>
      </c>
      <c r="JP110" s="754">
        <v>0.997</v>
      </c>
      <c r="JQ110" s="754">
        <v>0.997</v>
      </c>
      <c r="JR110" s="754">
        <v>0.997</v>
      </c>
      <c r="JS110" s="754">
        <v>0.996</v>
      </c>
      <c r="JT110" s="754">
        <v>0.994</v>
      </c>
      <c r="JU110" s="754">
        <v>0.992</v>
      </c>
      <c r="JV110" s="754">
        <v>0.99</v>
      </c>
      <c r="JW110" s="754">
        <v>0.986</v>
      </c>
      <c r="JX110" s="754">
        <v>0.977</v>
      </c>
      <c r="JY110" s="754">
        <v>0.967</v>
      </c>
      <c r="JZ110" s="754">
        <v>0.948</v>
      </c>
      <c r="KA110" s="754">
        <v>0.905</v>
      </c>
      <c r="KB110" s="754">
        <v>0.81</v>
      </c>
      <c r="KC110" s="754">
        <v>0.593</v>
      </c>
      <c r="KD110" s="754">
        <v>0.238</v>
      </c>
      <c r="KE110" s="754">
        <v>0.02</v>
      </c>
      <c r="KF110" s="754"/>
      <c r="KG110" s="754"/>
      <c r="KH110" s="754"/>
      <c r="KI110" s="754"/>
      <c r="KJ110" s="754"/>
      <c r="KK110" s="765" t="s">
        <v>281</v>
      </c>
      <c r="KL110" s="738">
        <v>36</v>
      </c>
      <c r="KM110" s="738">
        <v>152</v>
      </c>
      <c r="KN110" s="646" t="s">
        <v>339</v>
      </c>
      <c r="KO110" s="646" t="s">
        <v>984</v>
      </c>
      <c r="KP110" s="680">
        <v>717479</v>
      </c>
      <c r="KQ110" s="766" t="s">
        <v>986</v>
      </c>
      <c r="KR110" s="750" t="s">
        <v>987</v>
      </c>
      <c r="KS110" s="769" t="s">
        <v>988</v>
      </c>
      <c r="KT110" s="770" t="s">
        <v>987</v>
      </c>
      <c r="KU110" s="766" t="s">
        <v>989</v>
      </c>
      <c r="KV110" s="750">
        <v>717480</v>
      </c>
      <c r="KW110" s="771"/>
      <c r="KX110" s="750"/>
      <c r="KY110" s="769" t="s">
        <v>990</v>
      </c>
      <c r="KZ110" s="770" t="s">
        <v>991</v>
      </c>
    </row>
    <row r="111" s="628" customFormat="1" customHeight="1" spans="1:312">
      <c r="A111" s="682" t="s">
        <v>374</v>
      </c>
      <c r="B111" s="683">
        <v>107</v>
      </c>
      <c r="C111" s="689" t="s">
        <v>992</v>
      </c>
      <c r="D111" s="680">
        <v>744449</v>
      </c>
      <c r="E111" s="685">
        <v>44.9</v>
      </c>
      <c r="F111" s="685">
        <v>44.63</v>
      </c>
      <c r="G111" s="688">
        <v>0.01657</v>
      </c>
      <c r="H111" s="686">
        <v>0.01676</v>
      </c>
      <c r="I111" s="696">
        <v>1.70713</v>
      </c>
      <c r="J111" s="696">
        <v>1.71244</v>
      </c>
      <c r="K111" s="696">
        <v>1.71852</v>
      </c>
      <c r="L111" s="696">
        <v>1.72451</v>
      </c>
      <c r="M111" s="696">
        <v>1.72568</v>
      </c>
      <c r="N111" s="696">
        <v>1.72667</v>
      </c>
      <c r="O111" s="696">
        <v>1.7307</v>
      </c>
      <c r="P111" s="696">
        <v>1.73359</v>
      </c>
      <c r="Q111" s="697">
        <v>1.7363</v>
      </c>
      <c r="R111" s="697">
        <v>1.73906</v>
      </c>
      <c r="S111" s="697">
        <v>1.73984</v>
      </c>
      <c r="T111" s="701">
        <v>1.74057</v>
      </c>
      <c r="U111" s="697">
        <v>1.74386</v>
      </c>
      <c r="V111" s="697">
        <v>1.744</v>
      </c>
      <c r="W111" s="697">
        <v>1.74794</v>
      </c>
      <c r="X111" s="697">
        <v>1.75563</v>
      </c>
      <c r="Y111" s="697">
        <v>1.7566</v>
      </c>
      <c r="Z111" s="697">
        <v>1.76496</v>
      </c>
      <c r="AA111" s="697">
        <v>1.77285</v>
      </c>
      <c r="AB111" s="697">
        <v>1.78666</v>
      </c>
      <c r="AC111" s="704">
        <v>2.96773191</v>
      </c>
      <c r="AD111" s="705">
        <v>-0.0107334025</v>
      </c>
      <c r="AE111" s="705">
        <v>0.0246639798</v>
      </c>
      <c r="AF111" s="705">
        <v>0.000796273827</v>
      </c>
      <c r="AG111" s="705">
        <v>-3.49870097e-5</v>
      </c>
      <c r="AH111" s="705">
        <v>3.36130613e-6</v>
      </c>
      <c r="AI111" s="709">
        <v>0.2981</v>
      </c>
      <c r="AJ111" s="709">
        <v>0.2378</v>
      </c>
      <c r="AK111" s="709">
        <v>0.5631</v>
      </c>
      <c r="AL111" s="709">
        <v>0.2482</v>
      </c>
      <c r="AM111" s="709">
        <v>0.2351</v>
      </c>
      <c r="AN111" s="709">
        <v>0.4988</v>
      </c>
      <c r="AO111" s="709">
        <v>-0.0013</v>
      </c>
      <c r="AP111" s="709">
        <v>-0.006</v>
      </c>
      <c r="AQ111" s="709">
        <v>-0.0099</v>
      </c>
      <c r="AR111" s="709">
        <v>-0.0036</v>
      </c>
      <c r="AS111" s="714">
        <v>2.1</v>
      </c>
      <c r="AT111" s="714">
        <v>2</v>
      </c>
      <c r="AU111" s="714">
        <v>2</v>
      </c>
      <c r="AV111" s="714">
        <v>2</v>
      </c>
      <c r="AW111" s="714">
        <v>2</v>
      </c>
      <c r="AX111" s="714">
        <v>2</v>
      </c>
      <c r="AY111" s="714">
        <v>2</v>
      </c>
      <c r="AZ111" s="714">
        <v>2.1</v>
      </c>
      <c r="BA111" s="714">
        <v>2.1</v>
      </c>
      <c r="BB111" s="714">
        <v>2.2</v>
      </c>
      <c r="BC111" s="714">
        <v>2.3</v>
      </c>
      <c r="BD111" s="714">
        <v>2.4</v>
      </c>
      <c r="BE111" s="714">
        <v>2.3</v>
      </c>
      <c r="BF111" s="714">
        <v>2.4</v>
      </c>
      <c r="BG111" s="714">
        <v>2.4</v>
      </c>
      <c r="BH111" s="714">
        <v>2.4</v>
      </c>
      <c r="BI111" s="714">
        <v>2.4</v>
      </c>
      <c r="BJ111" s="714">
        <v>2.5</v>
      </c>
      <c r="BK111" s="714">
        <v>2.6</v>
      </c>
      <c r="BL111" s="714">
        <v>2.7</v>
      </c>
      <c r="BM111" s="714">
        <v>2.7</v>
      </c>
      <c r="BN111" s="714">
        <v>2.8</v>
      </c>
      <c r="BO111" s="714">
        <v>2.6</v>
      </c>
      <c r="BP111" s="714">
        <v>2.6</v>
      </c>
      <c r="BQ111" s="714">
        <v>2.6</v>
      </c>
      <c r="BR111" s="714">
        <v>2.6</v>
      </c>
      <c r="BS111" s="714">
        <v>2.6</v>
      </c>
      <c r="BT111" s="714">
        <v>2.7</v>
      </c>
      <c r="BU111" s="714">
        <v>2.7</v>
      </c>
      <c r="BV111" s="714">
        <v>2.9</v>
      </c>
      <c r="BW111" s="714">
        <v>2.9</v>
      </c>
      <c r="BX111" s="714">
        <v>3</v>
      </c>
      <c r="BY111" s="714">
        <v>3</v>
      </c>
      <c r="BZ111" s="714">
        <v>2.6</v>
      </c>
      <c r="CA111" s="714">
        <v>2.7</v>
      </c>
      <c r="CB111" s="714">
        <v>2.7</v>
      </c>
      <c r="CC111" s="714">
        <v>2.7</v>
      </c>
      <c r="CD111" s="714">
        <v>2.7</v>
      </c>
      <c r="CE111" s="714">
        <v>2.8</v>
      </c>
      <c r="CF111" s="714">
        <v>2.8</v>
      </c>
      <c r="CG111" s="714">
        <v>3</v>
      </c>
      <c r="CH111" s="714">
        <v>3</v>
      </c>
      <c r="CI111" s="714">
        <v>3.1</v>
      </c>
      <c r="CJ111" s="714">
        <v>3.1</v>
      </c>
      <c r="CK111" s="714">
        <v>2.6</v>
      </c>
      <c r="CL111" s="715">
        <v>2.7</v>
      </c>
      <c r="CM111" s="715">
        <v>2.7</v>
      </c>
      <c r="CN111" s="715">
        <v>2.7</v>
      </c>
      <c r="CO111" s="715">
        <v>2.7</v>
      </c>
      <c r="CP111" s="715">
        <v>2.8</v>
      </c>
      <c r="CQ111" s="715">
        <v>2.8</v>
      </c>
      <c r="CR111" s="714">
        <v>2.9</v>
      </c>
      <c r="CS111" s="714">
        <v>3</v>
      </c>
      <c r="CT111" s="714">
        <v>3</v>
      </c>
      <c r="CU111" s="714">
        <v>3.1</v>
      </c>
      <c r="CV111" s="714">
        <v>2.9</v>
      </c>
      <c r="CW111" s="715">
        <v>2.9</v>
      </c>
      <c r="CX111" s="715">
        <v>2.9</v>
      </c>
      <c r="CY111" s="715">
        <v>2.9</v>
      </c>
      <c r="CZ111" s="715">
        <v>2.9</v>
      </c>
      <c r="DA111" s="715">
        <v>3</v>
      </c>
      <c r="DB111" s="715">
        <v>3</v>
      </c>
      <c r="DC111" s="714">
        <v>3.1</v>
      </c>
      <c r="DD111" s="714">
        <v>3.1</v>
      </c>
      <c r="DE111" s="714">
        <v>3.3</v>
      </c>
      <c r="DF111" s="714">
        <v>3.3</v>
      </c>
      <c r="DG111" s="714">
        <v>3.2</v>
      </c>
      <c r="DH111" s="715">
        <v>3.2</v>
      </c>
      <c r="DI111" s="715">
        <v>3.2</v>
      </c>
      <c r="DJ111" s="715">
        <v>3.2</v>
      </c>
      <c r="DK111" s="715">
        <v>3.2</v>
      </c>
      <c r="DL111" s="715">
        <v>3.3</v>
      </c>
      <c r="DM111" s="715">
        <v>3.3</v>
      </c>
      <c r="DN111" s="714">
        <v>3.5</v>
      </c>
      <c r="DO111" s="714">
        <v>3.5</v>
      </c>
      <c r="DP111" s="714">
        <v>3.6</v>
      </c>
      <c r="DQ111" s="714">
        <v>3.6</v>
      </c>
      <c r="DR111" s="714">
        <v>3.7</v>
      </c>
      <c r="DS111" s="715">
        <v>3.7</v>
      </c>
      <c r="DT111" s="715">
        <v>3.7</v>
      </c>
      <c r="DU111" s="715">
        <v>3.8</v>
      </c>
      <c r="DV111" s="715">
        <v>3.9</v>
      </c>
      <c r="DW111" s="715">
        <v>4</v>
      </c>
      <c r="DX111" s="715">
        <v>4</v>
      </c>
      <c r="DY111" s="714">
        <v>4.1</v>
      </c>
      <c r="DZ111" s="714">
        <v>4.1</v>
      </c>
      <c r="EA111" s="714">
        <v>4.2</v>
      </c>
      <c r="EB111" s="714">
        <v>4.2</v>
      </c>
      <c r="EC111" s="714">
        <v>3.8</v>
      </c>
      <c r="ED111" s="715">
        <v>3.8</v>
      </c>
      <c r="EE111" s="715">
        <v>3.9</v>
      </c>
      <c r="EF111" s="715">
        <v>3.9</v>
      </c>
      <c r="EG111" s="715">
        <v>4</v>
      </c>
      <c r="EH111" s="715">
        <v>4</v>
      </c>
      <c r="EI111" s="715">
        <v>4.1</v>
      </c>
      <c r="EJ111" s="714">
        <v>4.2</v>
      </c>
      <c r="EK111" s="714">
        <v>4.2</v>
      </c>
      <c r="EL111" s="714">
        <v>4.3</v>
      </c>
      <c r="EM111" s="714">
        <v>4.3</v>
      </c>
      <c r="EN111" s="714">
        <v>4.4</v>
      </c>
      <c r="EO111" s="715">
        <v>4.4</v>
      </c>
      <c r="EP111" s="715">
        <v>4.5</v>
      </c>
      <c r="EQ111" s="715">
        <v>4.6</v>
      </c>
      <c r="ER111" s="715">
        <v>4.6</v>
      </c>
      <c r="ES111" s="715">
        <v>4.7</v>
      </c>
      <c r="ET111" s="715">
        <v>4.8</v>
      </c>
      <c r="EU111" s="714">
        <v>4.9</v>
      </c>
      <c r="EV111" s="714">
        <v>2</v>
      </c>
      <c r="EW111" s="714">
        <v>5.1</v>
      </c>
      <c r="EX111" s="714">
        <v>5.1</v>
      </c>
      <c r="EY111" s="714">
        <v>-0.1</v>
      </c>
      <c r="EZ111" s="715">
        <v>0.4</v>
      </c>
      <c r="FA111" s="715">
        <v>0.7</v>
      </c>
      <c r="FB111" s="715">
        <v>1</v>
      </c>
      <c r="FC111" s="715">
        <v>1.2</v>
      </c>
      <c r="FD111" s="715">
        <v>1.5</v>
      </c>
      <c r="FE111" s="715">
        <v>1.6</v>
      </c>
      <c r="FF111" s="714">
        <v>1.9</v>
      </c>
      <c r="FG111" s="714">
        <v>2.1</v>
      </c>
      <c r="FH111" s="714">
        <v>2.2</v>
      </c>
      <c r="FI111" s="714">
        <v>2.3</v>
      </c>
      <c r="FJ111" s="723">
        <v>3.99e-8</v>
      </c>
      <c r="FK111" s="723">
        <v>1.22e-8</v>
      </c>
      <c r="FL111" s="723">
        <v>-2.1e-11</v>
      </c>
      <c r="FM111" s="723">
        <v>7.06e-7</v>
      </c>
      <c r="FN111" s="723">
        <v>-1.18e-10</v>
      </c>
      <c r="FO111" s="723">
        <v>0.186</v>
      </c>
      <c r="FP111" s="729">
        <v>1</v>
      </c>
      <c r="FQ111" s="729">
        <v>3</v>
      </c>
      <c r="FR111" s="729">
        <v>1</v>
      </c>
      <c r="FS111" s="729">
        <v>3</v>
      </c>
      <c r="FT111" s="729">
        <v>1</v>
      </c>
      <c r="FU111" s="729">
        <v>1</v>
      </c>
      <c r="FV111" s="681"/>
      <c r="FW111" s="729"/>
      <c r="FX111" s="729"/>
      <c r="FY111" s="729"/>
      <c r="FZ111" s="746">
        <v>630</v>
      </c>
      <c r="GA111" s="746">
        <v>683</v>
      </c>
      <c r="GB111" s="681">
        <v>557</v>
      </c>
      <c r="GC111" s="681">
        <v>602</v>
      </c>
      <c r="GD111" s="747">
        <v>0.98</v>
      </c>
      <c r="GE111" s="729"/>
      <c r="GF111" s="681">
        <v>74</v>
      </c>
      <c r="GG111" s="681">
        <v>89</v>
      </c>
      <c r="GH111" s="681">
        <v>67</v>
      </c>
      <c r="GI111" s="681">
        <v>69</v>
      </c>
      <c r="GJ111" s="681">
        <v>71</v>
      </c>
      <c r="GK111" s="681">
        <v>72</v>
      </c>
      <c r="GL111" s="681">
        <v>73</v>
      </c>
      <c r="GM111" s="681">
        <v>74</v>
      </c>
      <c r="GN111" s="681">
        <v>75</v>
      </c>
      <c r="GO111" s="681">
        <v>76</v>
      </c>
      <c r="GP111" s="681">
        <v>77</v>
      </c>
      <c r="GQ111" s="681">
        <v>77</v>
      </c>
      <c r="GR111" s="681">
        <v>78</v>
      </c>
      <c r="GS111" s="681">
        <v>78</v>
      </c>
      <c r="GT111" s="681">
        <v>78</v>
      </c>
      <c r="GU111" s="681">
        <v>79</v>
      </c>
      <c r="GV111" s="681">
        <v>80</v>
      </c>
      <c r="GW111" s="681">
        <v>81</v>
      </c>
      <c r="GX111" s="681">
        <v>82</v>
      </c>
      <c r="GY111" s="681">
        <v>83</v>
      </c>
      <c r="GZ111" s="681">
        <v>84</v>
      </c>
      <c r="HA111" s="681">
        <v>85</v>
      </c>
      <c r="HB111" s="681">
        <v>86</v>
      </c>
      <c r="HC111" s="681"/>
      <c r="HD111" s="750">
        <v>108</v>
      </c>
      <c r="HE111" s="681"/>
      <c r="HF111" s="681">
        <v>551</v>
      </c>
      <c r="HG111" s="681">
        <v>149</v>
      </c>
      <c r="HH111" s="714">
        <v>97.3</v>
      </c>
      <c r="HI111" s="714">
        <v>37.6</v>
      </c>
      <c r="HJ111" s="753">
        <v>0.295</v>
      </c>
      <c r="HK111" s="681">
        <v>77</v>
      </c>
      <c r="HL111" s="685">
        <v>1.57</v>
      </c>
      <c r="HM111" s="747">
        <v>4.32</v>
      </c>
      <c r="HN111" s="729" t="s">
        <v>993</v>
      </c>
      <c r="HO111" s="729" t="s">
        <v>994</v>
      </c>
      <c r="HP111" s="714">
        <v>-0.3</v>
      </c>
      <c r="HQ111" s="753">
        <v>0.914</v>
      </c>
      <c r="HR111" s="753">
        <v>0.96</v>
      </c>
      <c r="HS111" s="753">
        <v>0.983</v>
      </c>
      <c r="HT111" s="753">
        <v>0.999</v>
      </c>
      <c r="HU111" s="753">
        <v>0.999</v>
      </c>
      <c r="HV111" s="753">
        <v>0.999</v>
      </c>
      <c r="HW111" s="753">
        <v>0.999</v>
      </c>
      <c r="HX111" s="753">
        <v>0.999</v>
      </c>
      <c r="HY111" s="753">
        <v>0.999</v>
      </c>
      <c r="HZ111" s="753">
        <v>0.999</v>
      </c>
      <c r="IA111" s="753">
        <v>0.999</v>
      </c>
      <c r="IB111" s="753">
        <v>0.999</v>
      </c>
      <c r="IC111" s="753">
        <v>0.999</v>
      </c>
      <c r="ID111" s="753">
        <v>0.999</v>
      </c>
      <c r="IE111" s="753">
        <v>0.999</v>
      </c>
      <c r="IF111" s="753">
        <v>0.999</v>
      </c>
      <c r="IG111" s="753">
        <v>0.999</v>
      </c>
      <c r="IH111" s="753">
        <v>0.999</v>
      </c>
      <c r="II111" s="753">
        <v>0.999</v>
      </c>
      <c r="IJ111" s="753">
        <v>0.999</v>
      </c>
      <c r="IK111" s="753">
        <v>0.999</v>
      </c>
      <c r="IL111" s="753">
        <v>0.999</v>
      </c>
      <c r="IM111" s="753">
        <v>0.997</v>
      </c>
      <c r="IN111" s="753">
        <v>0.994</v>
      </c>
      <c r="IO111" s="753">
        <v>0.99</v>
      </c>
      <c r="IP111" s="753">
        <v>0.987</v>
      </c>
      <c r="IQ111" s="753">
        <v>0.977</v>
      </c>
      <c r="IR111" s="753">
        <v>0.954</v>
      </c>
      <c r="IS111" s="753">
        <v>0.922</v>
      </c>
      <c r="IT111" s="753">
        <v>0.864</v>
      </c>
      <c r="IU111" s="753">
        <v>0.759</v>
      </c>
      <c r="IV111" s="753">
        <v>0.556</v>
      </c>
      <c r="IW111" s="753">
        <v>0.212</v>
      </c>
      <c r="IX111" s="753"/>
      <c r="IY111" s="753"/>
      <c r="IZ111" s="753"/>
      <c r="JA111" s="754">
        <v>0.835</v>
      </c>
      <c r="JB111" s="754">
        <v>0.922</v>
      </c>
      <c r="JC111" s="754">
        <v>0.966</v>
      </c>
      <c r="JD111" s="754">
        <v>0.998</v>
      </c>
      <c r="JE111" s="754">
        <v>0.998</v>
      </c>
      <c r="JF111" s="754">
        <v>0.998</v>
      </c>
      <c r="JG111" s="754">
        <v>0.998</v>
      </c>
      <c r="JH111" s="754">
        <v>0.998</v>
      </c>
      <c r="JI111" s="754">
        <v>0.998</v>
      </c>
      <c r="JJ111" s="754">
        <v>0.998</v>
      </c>
      <c r="JK111" s="754">
        <v>0.998</v>
      </c>
      <c r="JL111" s="754">
        <v>0.998</v>
      </c>
      <c r="JM111" s="754">
        <v>0.998</v>
      </c>
      <c r="JN111" s="754">
        <v>0.998</v>
      </c>
      <c r="JO111" s="754">
        <v>0.998</v>
      </c>
      <c r="JP111" s="754">
        <v>0.998</v>
      </c>
      <c r="JQ111" s="754">
        <v>0.998</v>
      </c>
      <c r="JR111" s="754">
        <v>0.998</v>
      </c>
      <c r="JS111" s="754">
        <v>0.998</v>
      </c>
      <c r="JT111" s="754">
        <v>0.998</v>
      </c>
      <c r="JU111" s="754">
        <v>0.998</v>
      </c>
      <c r="JV111" s="754">
        <v>0.998</v>
      </c>
      <c r="JW111" s="754">
        <v>0.995</v>
      </c>
      <c r="JX111" s="754">
        <v>0.99</v>
      </c>
      <c r="JY111" s="754">
        <v>0.984</v>
      </c>
      <c r="JZ111" s="754">
        <v>0.974</v>
      </c>
      <c r="KA111" s="754">
        <v>0.954</v>
      </c>
      <c r="KB111" s="754">
        <v>0.911</v>
      </c>
      <c r="KC111" s="754">
        <v>0.849</v>
      </c>
      <c r="KD111" s="754">
        <v>0.745</v>
      </c>
      <c r="KE111" s="754">
        <v>0.575</v>
      </c>
      <c r="KF111" s="754">
        <v>0.31</v>
      </c>
      <c r="KG111" s="754">
        <v>0.048</v>
      </c>
      <c r="KH111" s="754"/>
      <c r="KI111" s="754"/>
      <c r="KJ111" s="754"/>
      <c r="KK111" s="765" t="s">
        <v>281</v>
      </c>
      <c r="KL111" s="738">
        <v>35</v>
      </c>
      <c r="KM111" s="738">
        <v>151</v>
      </c>
      <c r="KN111" s="646" t="s">
        <v>282</v>
      </c>
      <c r="KO111" s="646" t="s">
        <v>992</v>
      </c>
      <c r="KP111" s="680">
        <v>744449</v>
      </c>
      <c r="KQ111" s="766" t="s">
        <v>995</v>
      </c>
      <c r="KR111" s="750" t="s">
        <v>996</v>
      </c>
      <c r="KS111" s="769" t="s">
        <v>992</v>
      </c>
      <c r="KT111" s="770" t="s">
        <v>997</v>
      </c>
      <c r="KU111" s="766" t="s">
        <v>998</v>
      </c>
      <c r="KV111" s="750">
        <v>744449</v>
      </c>
      <c r="KW111" s="771" t="s">
        <v>999</v>
      </c>
      <c r="KX111" s="750" t="s">
        <v>997</v>
      </c>
      <c r="KY111" s="769" t="s">
        <v>1000</v>
      </c>
      <c r="KZ111" s="770" t="s">
        <v>997</v>
      </c>
    </row>
    <row r="112" s="628" customFormat="1" customHeight="1" spans="1:312">
      <c r="A112" s="682" t="s">
        <v>277</v>
      </c>
      <c r="B112" s="683">
        <v>108</v>
      </c>
      <c r="C112" s="689" t="s">
        <v>1001</v>
      </c>
      <c r="D112" s="680">
        <v>744449</v>
      </c>
      <c r="E112" s="685">
        <v>44.9</v>
      </c>
      <c r="F112" s="685">
        <v>44.63</v>
      </c>
      <c r="G112" s="688">
        <v>0.01657</v>
      </c>
      <c r="H112" s="686">
        <v>0.01676</v>
      </c>
      <c r="I112" s="696"/>
      <c r="J112" s="696"/>
      <c r="K112" s="696"/>
      <c r="L112" s="696">
        <v>1.72461</v>
      </c>
      <c r="M112" s="696">
        <v>1.72577</v>
      </c>
      <c r="N112" s="696">
        <v>1.72675</v>
      </c>
      <c r="O112" s="696">
        <v>1.73074</v>
      </c>
      <c r="P112" s="696">
        <v>1.73361</v>
      </c>
      <c r="Q112" s="697">
        <v>1.73633</v>
      </c>
      <c r="R112" s="697">
        <v>1.73906</v>
      </c>
      <c r="S112" s="697">
        <v>1.73984</v>
      </c>
      <c r="T112" s="701">
        <v>1.74058</v>
      </c>
      <c r="U112" s="697">
        <v>1.74386</v>
      </c>
      <c r="V112" s="697">
        <v>1.744</v>
      </c>
      <c r="W112" s="697">
        <v>1.74794</v>
      </c>
      <c r="X112" s="697">
        <v>1.75563</v>
      </c>
      <c r="Y112" s="697">
        <v>1.7566</v>
      </c>
      <c r="Z112" s="697">
        <v>1.76496</v>
      </c>
      <c r="AA112" s="697">
        <v>1.77287</v>
      </c>
      <c r="AB112" s="697">
        <v>1.78671</v>
      </c>
      <c r="AC112" s="704">
        <v>2.96730744</v>
      </c>
      <c r="AD112" s="705">
        <v>-0.0101565086</v>
      </c>
      <c r="AE112" s="705">
        <v>0.02476458</v>
      </c>
      <c r="AF112" s="705">
        <v>0.00078710735</v>
      </c>
      <c r="AG112" s="705">
        <v>-3.51755571e-5</v>
      </c>
      <c r="AH112" s="705">
        <v>3.47733569e-6</v>
      </c>
      <c r="AI112" s="709">
        <v>0.2981</v>
      </c>
      <c r="AJ112" s="709">
        <v>0.2378</v>
      </c>
      <c r="AK112" s="709">
        <v>0.5631</v>
      </c>
      <c r="AL112" s="709">
        <v>0.2482</v>
      </c>
      <c r="AM112" s="709">
        <v>0.2351</v>
      </c>
      <c r="AN112" s="709">
        <v>0.4988</v>
      </c>
      <c r="AO112" s="709">
        <v>-0.0013</v>
      </c>
      <c r="AP112" s="709">
        <v>-0.006</v>
      </c>
      <c r="AQ112" s="709">
        <v>-0.0148</v>
      </c>
      <c r="AR112" s="709">
        <v>-0.006</v>
      </c>
      <c r="AS112" s="714">
        <v>0.5</v>
      </c>
      <c r="AT112" s="714">
        <v>0.5</v>
      </c>
      <c r="AU112" s="714">
        <v>0.5</v>
      </c>
      <c r="AV112" s="714">
        <v>0.6</v>
      </c>
      <c r="AW112" s="714">
        <v>0.6</v>
      </c>
      <c r="AX112" s="714">
        <v>0.6</v>
      </c>
      <c r="AY112" s="714">
        <v>0.7</v>
      </c>
      <c r="AZ112" s="714">
        <v>0.7</v>
      </c>
      <c r="BA112" s="714">
        <v>0.7</v>
      </c>
      <c r="BB112" s="714">
        <v>0.7</v>
      </c>
      <c r="BC112" s="714">
        <v>0.8</v>
      </c>
      <c r="BD112" s="714">
        <v>0.8</v>
      </c>
      <c r="BE112" s="714">
        <v>0.8</v>
      </c>
      <c r="BF112" s="714">
        <v>0.8</v>
      </c>
      <c r="BG112" s="714">
        <v>1</v>
      </c>
      <c r="BH112" s="714">
        <v>1.1</v>
      </c>
      <c r="BI112" s="714">
        <v>1.2</v>
      </c>
      <c r="BJ112" s="714">
        <v>1.3</v>
      </c>
      <c r="BK112" s="714">
        <v>1.3</v>
      </c>
      <c r="BL112" s="714">
        <v>1.4</v>
      </c>
      <c r="BM112" s="714">
        <v>1.5</v>
      </c>
      <c r="BN112" s="714">
        <v>1.5</v>
      </c>
      <c r="BO112" s="714">
        <v>0.9</v>
      </c>
      <c r="BP112" s="714">
        <v>1.1</v>
      </c>
      <c r="BQ112" s="714">
        <v>1.1</v>
      </c>
      <c r="BR112" s="714">
        <v>1.1</v>
      </c>
      <c r="BS112" s="714">
        <v>1.2</v>
      </c>
      <c r="BT112" s="714">
        <v>1.2</v>
      </c>
      <c r="BU112" s="714">
        <v>1.3</v>
      </c>
      <c r="BV112" s="714">
        <v>1.4</v>
      </c>
      <c r="BW112" s="714">
        <v>1.6</v>
      </c>
      <c r="BX112" s="714">
        <v>1.6</v>
      </c>
      <c r="BY112" s="714">
        <v>1.6</v>
      </c>
      <c r="BZ112" s="714">
        <v>1.1</v>
      </c>
      <c r="CA112" s="714">
        <v>1.2</v>
      </c>
      <c r="CB112" s="714">
        <v>1.2</v>
      </c>
      <c r="CC112" s="714">
        <v>1.2</v>
      </c>
      <c r="CD112" s="714">
        <v>1.3</v>
      </c>
      <c r="CE112" s="714">
        <v>1.3</v>
      </c>
      <c r="CF112" s="714">
        <v>1.4</v>
      </c>
      <c r="CG112" s="714">
        <v>1.5</v>
      </c>
      <c r="CH112" s="714">
        <v>1.7</v>
      </c>
      <c r="CI112" s="714">
        <v>1.8</v>
      </c>
      <c r="CJ112" s="714">
        <v>1.8</v>
      </c>
      <c r="CK112" s="714">
        <v>1.2</v>
      </c>
      <c r="CL112" s="715">
        <v>1.2</v>
      </c>
      <c r="CM112" s="715">
        <v>1.3</v>
      </c>
      <c r="CN112" s="715">
        <v>1.3</v>
      </c>
      <c r="CO112" s="715">
        <v>1.4</v>
      </c>
      <c r="CP112" s="715">
        <v>1.4</v>
      </c>
      <c r="CQ112" s="715">
        <v>1.6</v>
      </c>
      <c r="CR112" s="714">
        <v>1.8</v>
      </c>
      <c r="CS112" s="714">
        <v>1.9</v>
      </c>
      <c r="CT112" s="714">
        <v>2.1</v>
      </c>
      <c r="CU112" s="714">
        <v>2.1</v>
      </c>
      <c r="CV112" s="714">
        <v>1.4</v>
      </c>
      <c r="CW112" s="715">
        <v>1.4</v>
      </c>
      <c r="CX112" s="715">
        <v>1.4</v>
      </c>
      <c r="CY112" s="715">
        <v>1.6</v>
      </c>
      <c r="CZ112" s="715">
        <v>1.6</v>
      </c>
      <c r="DA112" s="715">
        <v>1.7</v>
      </c>
      <c r="DB112" s="715">
        <v>1.9</v>
      </c>
      <c r="DC112" s="714">
        <v>2</v>
      </c>
      <c r="DD112" s="714">
        <v>2.1</v>
      </c>
      <c r="DE112" s="714">
        <v>2.2</v>
      </c>
      <c r="DF112" s="714">
        <v>2.3</v>
      </c>
      <c r="DG112" s="714">
        <v>1.6</v>
      </c>
      <c r="DH112" s="715">
        <v>1.7</v>
      </c>
      <c r="DI112" s="715">
        <v>1.8</v>
      </c>
      <c r="DJ112" s="715">
        <v>1.8</v>
      </c>
      <c r="DK112" s="715">
        <v>1.9</v>
      </c>
      <c r="DL112" s="715">
        <v>1.9</v>
      </c>
      <c r="DM112" s="715">
        <v>2</v>
      </c>
      <c r="DN112" s="714">
        <v>2</v>
      </c>
      <c r="DO112" s="714">
        <v>2.3</v>
      </c>
      <c r="DP112" s="714">
        <v>2.3</v>
      </c>
      <c r="DQ112" s="714">
        <v>2.5</v>
      </c>
      <c r="DR112" s="714">
        <v>1.8</v>
      </c>
      <c r="DS112" s="715">
        <v>1.9</v>
      </c>
      <c r="DT112" s="715">
        <v>2</v>
      </c>
      <c r="DU112" s="715">
        <v>2</v>
      </c>
      <c r="DV112" s="715">
        <v>2.1</v>
      </c>
      <c r="DW112" s="715">
        <v>2.1</v>
      </c>
      <c r="DX112" s="715">
        <v>2.2</v>
      </c>
      <c r="DY112" s="714">
        <v>2.3</v>
      </c>
      <c r="DZ112" s="714">
        <v>2.4</v>
      </c>
      <c r="EA112" s="714">
        <v>2.5</v>
      </c>
      <c r="EB112" s="714">
        <v>2.6</v>
      </c>
      <c r="EC112" s="714">
        <v>2</v>
      </c>
      <c r="ED112" s="715">
        <v>2.1</v>
      </c>
      <c r="EE112" s="715">
        <v>2.1</v>
      </c>
      <c r="EF112" s="715">
        <v>2.2</v>
      </c>
      <c r="EG112" s="715">
        <v>2.2</v>
      </c>
      <c r="EH112" s="715">
        <v>2.3</v>
      </c>
      <c r="EI112" s="715">
        <v>2.4</v>
      </c>
      <c r="EJ112" s="714">
        <v>2.5</v>
      </c>
      <c r="EK112" s="714">
        <v>2.5</v>
      </c>
      <c r="EL112" s="714">
        <v>2.6</v>
      </c>
      <c r="EM112" s="714">
        <v>2.6</v>
      </c>
      <c r="EN112" s="714">
        <v>2.5</v>
      </c>
      <c r="EO112" s="715">
        <v>2.6</v>
      </c>
      <c r="EP112" s="715">
        <v>2.8</v>
      </c>
      <c r="EQ112" s="715">
        <v>2.9</v>
      </c>
      <c r="ER112" s="715">
        <v>3.1</v>
      </c>
      <c r="ES112" s="715">
        <v>3.2</v>
      </c>
      <c r="ET112" s="715">
        <v>3.4</v>
      </c>
      <c r="EU112" s="714">
        <v>3.4</v>
      </c>
      <c r="EV112" s="714">
        <v>3.6</v>
      </c>
      <c r="EW112" s="714">
        <v>3.8</v>
      </c>
      <c r="EX112" s="714">
        <v>3.9</v>
      </c>
      <c r="EY112" s="714">
        <v>-1.6</v>
      </c>
      <c r="EZ112" s="715">
        <v>-1.2</v>
      </c>
      <c r="FA112" s="715">
        <v>-0.7</v>
      </c>
      <c r="FB112" s="715">
        <v>-0.4</v>
      </c>
      <c r="FC112" s="715">
        <v>-0.1</v>
      </c>
      <c r="FD112" s="715">
        <v>0.1</v>
      </c>
      <c r="FE112" s="715">
        <v>0.4</v>
      </c>
      <c r="FF112" s="714">
        <v>0.7</v>
      </c>
      <c r="FG112" s="714">
        <v>1</v>
      </c>
      <c r="FH112" s="714">
        <v>1.2</v>
      </c>
      <c r="FI112" s="714">
        <v>1.3</v>
      </c>
      <c r="FJ112" s="723">
        <v>-2.11e-6</v>
      </c>
      <c r="FK112" s="723">
        <v>1.25e-8</v>
      </c>
      <c r="FL112" s="723">
        <v>-2.36e-11</v>
      </c>
      <c r="FM112" s="723">
        <v>5.31e-7</v>
      </c>
      <c r="FN112" s="723">
        <v>3.26e-10</v>
      </c>
      <c r="FO112" s="723">
        <v>0.244</v>
      </c>
      <c r="FP112" s="729">
        <v>1</v>
      </c>
      <c r="FQ112" s="729">
        <v>2</v>
      </c>
      <c r="FR112" s="729">
        <v>1</v>
      </c>
      <c r="FS112" s="729">
        <v>3</v>
      </c>
      <c r="FT112" s="729">
        <v>1</v>
      </c>
      <c r="FU112" s="729">
        <v>2</v>
      </c>
      <c r="FV112" s="681">
        <v>1</v>
      </c>
      <c r="FW112" s="729"/>
      <c r="FX112" s="729"/>
      <c r="FY112" s="729"/>
      <c r="FZ112" s="746">
        <v>626</v>
      </c>
      <c r="GA112" s="746">
        <v>676</v>
      </c>
      <c r="GB112" s="681">
        <v>553</v>
      </c>
      <c r="GC112" s="681">
        <v>598</v>
      </c>
      <c r="GD112" s="747">
        <v>0.7</v>
      </c>
      <c r="GE112" s="729"/>
      <c r="GF112" s="681">
        <v>73</v>
      </c>
      <c r="GG112" s="681">
        <v>91</v>
      </c>
      <c r="GH112" s="681">
        <v>78</v>
      </c>
      <c r="GI112" s="681">
        <v>81</v>
      </c>
      <c r="GJ112" s="681">
        <v>84</v>
      </c>
      <c r="GK112" s="681">
        <v>86</v>
      </c>
      <c r="GL112" s="681">
        <v>88</v>
      </c>
      <c r="GM112" s="681">
        <v>89</v>
      </c>
      <c r="GN112" s="681">
        <v>90</v>
      </c>
      <c r="GO112" s="681">
        <v>90</v>
      </c>
      <c r="GP112" s="681">
        <v>91</v>
      </c>
      <c r="GQ112" s="681">
        <v>92</v>
      </c>
      <c r="GR112" s="681">
        <v>92</v>
      </c>
      <c r="GS112" s="681">
        <v>93</v>
      </c>
      <c r="GT112" s="681">
        <v>93</v>
      </c>
      <c r="GU112" s="681">
        <v>94</v>
      </c>
      <c r="GV112" s="681">
        <v>95</v>
      </c>
      <c r="GW112" s="681">
        <v>97</v>
      </c>
      <c r="GX112" s="681">
        <v>98</v>
      </c>
      <c r="GY112" s="681">
        <v>99</v>
      </c>
      <c r="GZ112" s="681">
        <v>100</v>
      </c>
      <c r="HA112" s="681">
        <v>101</v>
      </c>
      <c r="HB112" s="681">
        <v>102</v>
      </c>
      <c r="HC112" s="681"/>
      <c r="HD112" s="750">
        <v>110</v>
      </c>
      <c r="HE112" s="681"/>
      <c r="HF112" s="681">
        <v>502</v>
      </c>
      <c r="HG112" s="681">
        <v>195</v>
      </c>
      <c r="HH112" s="714"/>
      <c r="HI112" s="714"/>
      <c r="HJ112" s="753"/>
      <c r="HK112" s="681">
        <v>76</v>
      </c>
      <c r="HL112" s="685"/>
      <c r="HM112" s="747">
        <v>4.34</v>
      </c>
      <c r="HN112" s="729" t="s">
        <v>970</v>
      </c>
      <c r="HO112" s="729" t="s">
        <v>1002</v>
      </c>
      <c r="HP112" s="714">
        <v>-0.4</v>
      </c>
      <c r="HQ112" s="753">
        <v>0.91</v>
      </c>
      <c r="HR112" s="753">
        <v>0.962</v>
      </c>
      <c r="HS112" s="753">
        <v>0.982</v>
      </c>
      <c r="HT112" s="753">
        <v>0.992</v>
      </c>
      <c r="HU112" s="753">
        <v>0.998</v>
      </c>
      <c r="HV112" s="753">
        <v>0.999</v>
      </c>
      <c r="HW112" s="753">
        <v>0.999</v>
      </c>
      <c r="HX112" s="753">
        <v>0.999</v>
      </c>
      <c r="HY112" s="753">
        <v>0.999</v>
      </c>
      <c r="HZ112" s="753">
        <v>0.999</v>
      </c>
      <c r="IA112" s="753">
        <v>0.999</v>
      </c>
      <c r="IB112" s="753">
        <v>0.999</v>
      </c>
      <c r="IC112" s="753">
        <v>0.999</v>
      </c>
      <c r="ID112" s="753">
        <v>0.999</v>
      </c>
      <c r="IE112" s="753">
        <v>0.999</v>
      </c>
      <c r="IF112" s="753">
        <v>0.999</v>
      </c>
      <c r="IG112" s="753">
        <v>0.999</v>
      </c>
      <c r="IH112" s="753">
        <v>0.999</v>
      </c>
      <c r="II112" s="753">
        <v>0.999</v>
      </c>
      <c r="IJ112" s="753">
        <v>0.999</v>
      </c>
      <c r="IK112" s="753">
        <v>0.998</v>
      </c>
      <c r="IL112" s="753">
        <v>0.998</v>
      </c>
      <c r="IM112" s="753">
        <v>0.997</v>
      </c>
      <c r="IN112" s="753">
        <v>0.995</v>
      </c>
      <c r="IO112" s="753">
        <v>0.993</v>
      </c>
      <c r="IP112" s="753">
        <v>0.986</v>
      </c>
      <c r="IQ112" s="753">
        <v>0.972</v>
      </c>
      <c r="IR112" s="753">
        <v>0.934</v>
      </c>
      <c r="IS112" s="753">
        <v>0.828</v>
      </c>
      <c r="IT112" s="753">
        <v>0.565</v>
      </c>
      <c r="IU112" s="753">
        <v>0.187</v>
      </c>
      <c r="IV112" s="753"/>
      <c r="IW112" s="753"/>
      <c r="IX112" s="753"/>
      <c r="IY112" s="753"/>
      <c r="IZ112" s="753"/>
      <c r="JA112" s="754">
        <v>0.828</v>
      </c>
      <c r="JB112" s="754">
        <v>0.926</v>
      </c>
      <c r="JC112" s="754">
        <v>0.965</v>
      </c>
      <c r="JD112" s="754">
        <v>0.983</v>
      </c>
      <c r="JE112" s="754">
        <v>0.995</v>
      </c>
      <c r="JF112" s="754">
        <v>0.997</v>
      </c>
      <c r="JG112" s="754">
        <v>0.998</v>
      </c>
      <c r="JH112" s="754">
        <v>0.998</v>
      </c>
      <c r="JI112" s="754">
        <v>0.998</v>
      </c>
      <c r="JJ112" s="754">
        <v>0.998</v>
      </c>
      <c r="JK112" s="754">
        <v>0.998</v>
      </c>
      <c r="JL112" s="754">
        <v>0.998</v>
      </c>
      <c r="JM112" s="754">
        <v>0.998</v>
      </c>
      <c r="JN112" s="754">
        <v>0.998</v>
      </c>
      <c r="JO112" s="754">
        <v>0.998</v>
      </c>
      <c r="JP112" s="754">
        <v>0.998</v>
      </c>
      <c r="JQ112" s="754">
        <v>0.998</v>
      </c>
      <c r="JR112" s="754">
        <v>0.998</v>
      </c>
      <c r="JS112" s="754">
        <v>0.998</v>
      </c>
      <c r="JT112" s="754">
        <v>0.997</v>
      </c>
      <c r="JU112" s="754">
        <v>0.996</v>
      </c>
      <c r="JV112" s="754">
        <v>0.995</v>
      </c>
      <c r="JW112" s="754">
        <v>0.993</v>
      </c>
      <c r="JX112" s="754">
        <v>0.991</v>
      </c>
      <c r="JY112" s="754">
        <v>0.984</v>
      </c>
      <c r="JZ112" s="754">
        <v>0.971</v>
      </c>
      <c r="KA112" s="754">
        <v>0.943</v>
      </c>
      <c r="KB112" s="754">
        <v>0.87</v>
      </c>
      <c r="KC112" s="754">
        <v>0.685</v>
      </c>
      <c r="KD112" s="754">
        <v>0.325</v>
      </c>
      <c r="KE112" s="754">
        <v>0.038</v>
      </c>
      <c r="KF112" s="754"/>
      <c r="KG112" s="754"/>
      <c r="KH112" s="754"/>
      <c r="KI112" s="754"/>
      <c r="KJ112" s="754"/>
      <c r="KK112" s="765" t="s">
        <v>281</v>
      </c>
      <c r="KL112" s="738">
        <v>32</v>
      </c>
      <c r="KM112" s="738">
        <v>139</v>
      </c>
      <c r="KN112" s="646" t="s">
        <v>282</v>
      </c>
      <c r="KO112" s="646" t="s">
        <v>1001</v>
      </c>
      <c r="KP112" s="680">
        <v>744449</v>
      </c>
      <c r="KQ112" s="766" t="s">
        <v>995</v>
      </c>
      <c r="KR112" s="750" t="s">
        <v>996</v>
      </c>
      <c r="KS112" s="769" t="s">
        <v>992</v>
      </c>
      <c r="KT112" s="770" t="s">
        <v>997</v>
      </c>
      <c r="KU112" s="766" t="s">
        <v>998</v>
      </c>
      <c r="KV112" s="750">
        <v>744449</v>
      </c>
      <c r="KW112" s="771" t="s">
        <v>999</v>
      </c>
      <c r="KX112" s="750" t="s">
        <v>997</v>
      </c>
      <c r="KY112" s="769" t="s">
        <v>1000</v>
      </c>
      <c r="KZ112" s="770" t="s">
        <v>997</v>
      </c>
    </row>
    <row r="113" s="628" customFormat="1" customHeight="1" spans="1:312">
      <c r="A113" s="682" t="s">
        <v>277</v>
      </c>
      <c r="B113" s="683">
        <v>109</v>
      </c>
      <c r="C113" s="689" t="s">
        <v>1003</v>
      </c>
      <c r="D113" s="680">
        <v>750350</v>
      </c>
      <c r="E113" s="685">
        <v>35.04</v>
      </c>
      <c r="F113" s="685">
        <v>34.77</v>
      </c>
      <c r="G113" s="688">
        <v>0.02139</v>
      </c>
      <c r="H113" s="686">
        <v>0.0217</v>
      </c>
      <c r="I113" s="696"/>
      <c r="J113" s="696"/>
      <c r="K113" s="696"/>
      <c r="L113" s="696">
        <v>1.72537</v>
      </c>
      <c r="M113" s="696">
        <v>1.72677</v>
      </c>
      <c r="N113" s="696">
        <v>1.72796</v>
      </c>
      <c r="O113" s="696">
        <v>1.73284</v>
      </c>
      <c r="P113" s="696">
        <v>1.7364</v>
      </c>
      <c r="Q113" s="697">
        <v>1.73977</v>
      </c>
      <c r="R113" s="697">
        <v>1.74324</v>
      </c>
      <c r="S113" s="697">
        <v>1.74422</v>
      </c>
      <c r="T113" s="701">
        <v>1.74513</v>
      </c>
      <c r="U113" s="697">
        <v>1.74931</v>
      </c>
      <c r="V113" s="697">
        <v>1.7495</v>
      </c>
      <c r="W113" s="697">
        <v>1.75456</v>
      </c>
      <c r="X113" s="697">
        <v>1.76463</v>
      </c>
      <c r="Y113" s="697">
        <v>1.76592</v>
      </c>
      <c r="Z113" s="697">
        <v>1.77721</v>
      </c>
      <c r="AA113" s="697">
        <v>1.78821</v>
      </c>
      <c r="AB113" s="697">
        <v>1.8084</v>
      </c>
      <c r="AC113" s="704">
        <v>2.96710812</v>
      </c>
      <c r="AD113" s="705">
        <v>-0.0116353219</v>
      </c>
      <c r="AE113" s="705">
        <v>0.0304712653</v>
      </c>
      <c r="AF113" s="705">
        <v>0.00114514132</v>
      </c>
      <c r="AG113" s="705">
        <v>-3.15749319e-5</v>
      </c>
      <c r="AH113" s="705">
        <v>7.84016441e-6</v>
      </c>
      <c r="AI113" s="709">
        <v>0.2927</v>
      </c>
      <c r="AJ113" s="709">
        <v>0.2366</v>
      </c>
      <c r="AK113" s="709">
        <v>0.5881</v>
      </c>
      <c r="AL113" s="709">
        <v>0.2433</v>
      </c>
      <c r="AM113" s="709">
        <v>0.2332</v>
      </c>
      <c r="AN113" s="709">
        <v>0.5203</v>
      </c>
      <c r="AO113" s="709">
        <v>-0.0001</v>
      </c>
      <c r="AP113" s="709">
        <v>0.0027</v>
      </c>
      <c r="AQ113" s="709">
        <v>0.0044</v>
      </c>
      <c r="AR113" s="709">
        <v>0.0017</v>
      </c>
      <c r="AS113" s="714">
        <v>0.6</v>
      </c>
      <c r="AT113" s="714">
        <v>0.6</v>
      </c>
      <c r="AU113" s="714">
        <v>0.6</v>
      </c>
      <c r="AV113" s="714">
        <v>0.7</v>
      </c>
      <c r="AW113" s="714">
        <v>0.7</v>
      </c>
      <c r="AX113" s="714">
        <v>0.8</v>
      </c>
      <c r="AY113" s="714">
        <v>0.9</v>
      </c>
      <c r="AZ113" s="714">
        <v>1</v>
      </c>
      <c r="BA113" s="714">
        <v>1.2</v>
      </c>
      <c r="BB113" s="714">
        <v>1.2</v>
      </c>
      <c r="BC113" s="714">
        <v>1.4</v>
      </c>
      <c r="BD113" s="714">
        <v>1</v>
      </c>
      <c r="BE113" s="714">
        <v>1</v>
      </c>
      <c r="BF113" s="714">
        <v>1</v>
      </c>
      <c r="BG113" s="714">
        <v>1.1</v>
      </c>
      <c r="BH113" s="714">
        <v>1.1</v>
      </c>
      <c r="BI113" s="714">
        <v>1.3</v>
      </c>
      <c r="BJ113" s="714">
        <v>1.5</v>
      </c>
      <c r="BK113" s="714">
        <v>1.7</v>
      </c>
      <c r="BL113" s="714">
        <v>1.9</v>
      </c>
      <c r="BM113" s="714">
        <v>2.1</v>
      </c>
      <c r="BN113" s="714">
        <v>2.2</v>
      </c>
      <c r="BO113" s="714">
        <v>1.4</v>
      </c>
      <c r="BP113" s="714">
        <v>1.4</v>
      </c>
      <c r="BQ113" s="714">
        <v>1.5</v>
      </c>
      <c r="BR113" s="714">
        <v>1.5</v>
      </c>
      <c r="BS113" s="714">
        <v>1.6</v>
      </c>
      <c r="BT113" s="714">
        <v>1.8</v>
      </c>
      <c r="BU113" s="714">
        <v>1.9</v>
      </c>
      <c r="BV113" s="714">
        <v>2.1</v>
      </c>
      <c r="BW113" s="714">
        <v>2.1</v>
      </c>
      <c r="BX113" s="714">
        <v>2.4</v>
      </c>
      <c r="BY113" s="714">
        <v>2.5</v>
      </c>
      <c r="BZ113" s="714">
        <v>1.4</v>
      </c>
      <c r="CA113" s="714">
        <v>1.4</v>
      </c>
      <c r="CB113" s="714">
        <v>1.5</v>
      </c>
      <c r="CC113" s="714">
        <v>1.6</v>
      </c>
      <c r="CD113" s="714">
        <v>1.6</v>
      </c>
      <c r="CE113" s="714">
        <v>1.8</v>
      </c>
      <c r="CF113" s="714">
        <v>2</v>
      </c>
      <c r="CG113" s="714">
        <v>2.1</v>
      </c>
      <c r="CH113" s="714">
        <v>2.2</v>
      </c>
      <c r="CI113" s="714">
        <v>2.4</v>
      </c>
      <c r="CJ113" s="714">
        <v>2.5</v>
      </c>
      <c r="CK113" s="714">
        <v>1.5</v>
      </c>
      <c r="CL113" s="715">
        <v>1.5</v>
      </c>
      <c r="CM113" s="715">
        <v>1.5</v>
      </c>
      <c r="CN113" s="715">
        <v>1.6</v>
      </c>
      <c r="CO113" s="715">
        <v>1.7</v>
      </c>
      <c r="CP113" s="715">
        <v>1.9</v>
      </c>
      <c r="CQ113" s="715">
        <v>2.1</v>
      </c>
      <c r="CR113" s="714">
        <v>2.2</v>
      </c>
      <c r="CS113" s="714">
        <v>2.3</v>
      </c>
      <c r="CT113" s="714">
        <v>2.5</v>
      </c>
      <c r="CU113" s="714">
        <v>2.6</v>
      </c>
      <c r="CV113" s="714">
        <v>1.6</v>
      </c>
      <c r="CW113" s="715">
        <v>1.6</v>
      </c>
      <c r="CX113" s="715">
        <v>1.6</v>
      </c>
      <c r="CY113" s="715">
        <v>1.7</v>
      </c>
      <c r="CZ113" s="715">
        <v>1.8</v>
      </c>
      <c r="DA113" s="715">
        <v>2</v>
      </c>
      <c r="DB113" s="715">
        <v>2.2</v>
      </c>
      <c r="DC113" s="714">
        <v>2.3</v>
      </c>
      <c r="DD113" s="714">
        <v>2.5</v>
      </c>
      <c r="DE113" s="714">
        <v>2.6</v>
      </c>
      <c r="DF113" s="714">
        <v>2.7</v>
      </c>
      <c r="DG113" s="714">
        <v>2.1</v>
      </c>
      <c r="DH113" s="715">
        <v>2.1</v>
      </c>
      <c r="DI113" s="715">
        <v>2.2</v>
      </c>
      <c r="DJ113" s="715">
        <v>2.3</v>
      </c>
      <c r="DK113" s="715">
        <v>2.4</v>
      </c>
      <c r="DL113" s="715">
        <v>2.2</v>
      </c>
      <c r="DM113" s="715">
        <v>2.6</v>
      </c>
      <c r="DN113" s="714">
        <v>2.7</v>
      </c>
      <c r="DO113" s="714">
        <v>2.9</v>
      </c>
      <c r="DP113" s="714">
        <v>3.1</v>
      </c>
      <c r="DQ113" s="714">
        <v>3.3</v>
      </c>
      <c r="DR113" s="714">
        <v>2.5</v>
      </c>
      <c r="DS113" s="715">
        <v>2.6</v>
      </c>
      <c r="DT113" s="715">
        <v>2.6</v>
      </c>
      <c r="DU113" s="715">
        <v>2.7</v>
      </c>
      <c r="DV113" s="715">
        <v>2.8</v>
      </c>
      <c r="DW113" s="715">
        <v>3</v>
      </c>
      <c r="DX113" s="715">
        <v>3.3</v>
      </c>
      <c r="DY113" s="714">
        <v>3.6</v>
      </c>
      <c r="DZ113" s="714">
        <v>3.9</v>
      </c>
      <c r="EA113" s="714">
        <v>4.1</v>
      </c>
      <c r="EB113" s="714">
        <v>4.2</v>
      </c>
      <c r="EC113" s="714">
        <v>2.6</v>
      </c>
      <c r="ED113" s="715">
        <v>2.7</v>
      </c>
      <c r="EE113" s="715">
        <v>2.7</v>
      </c>
      <c r="EF113" s="715">
        <v>2.8</v>
      </c>
      <c r="EG113" s="715">
        <v>3</v>
      </c>
      <c r="EH113" s="715">
        <v>3.2</v>
      </c>
      <c r="EI113" s="715">
        <v>3.4</v>
      </c>
      <c r="EJ113" s="714">
        <v>3.7</v>
      </c>
      <c r="EK113" s="714">
        <v>4</v>
      </c>
      <c r="EL113" s="714">
        <v>4.1</v>
      </c>
      <c r="EM113" s="714">
        <v>4.3</v>
      </c>
      <c r="EN113" s="714">
        <v>3.5</v>
      </c>
      <c r="EO113" s="715">
        <v>3.6</v>
      </c>
      <c r="EP113" s="715">
        <v>3.8</v>
      </c>
      <c r="EQ113" s="715">
        <v>3.9</v>
      </c>
      <c r="ER113" s="715">
        <v>4.2</v>
      </c>
      <c r="ES113" s="715">
        <v>4.3</v>
      </c>
      <c r="ET113" s="715">
        <v>4.6</v>
      </c>
      <c r="EU113" s="714">
        <v>4.8</v>
      </c>
      <c r="EV113" s="714">
        <v>5</v>
      </c>
      <c r="EW113" s="714">
        <v>5.3</v>
      </c>
      <c r="EX113" s="714">
        <v>5.5</v>
      </c>
      <c r="EY113" s="714">
        <v>-1.3</v>
      </c>
      <c r="EZ113" s="715">
        <v>-0.9</v>
      </c>
      <c r="FA113" s="715">
        <v>-0.5</v>
      </c>
      <c r="FB113" s="715">
        <v>-0.1</v>
      </c>
      <c r="FC113" s="715">
        <v>0.2</v>
      </c>
      <c r="FD113" s="715">
        <v>0.6</v>
      </c>
      <c r="FE113" s="715">
        <v>0.9</v>
      </c>
      <c r="FF113" s="714">
        <v>1.1</v>
      </c>
      <c r="FG113" s="714">
        <v>1.4</v>
      </c>
      <c r="FH113" s="714">
        <v>1.6</v>
      </c>
      <c r="FI113" s="714">
        <v>1.8</v>
      </c>
      <c r="FJ113" s="723">
        <v>-1.97e-6</v>
      </c>
      <c r="FK113" s="723">
        <v>1.3e-8</v>
      </c>
      <c r="FL113" s="723">
        <v>-1.43e-11</v>
      </c>
      <c r="FM113" s="723">
        <v>6.27e-7</v>
      </c>
      <c r="FN113" s="723">
        <v>5.47e-10</v>
      </c>
      <c r="FO113" s="723">
        <v>0.284</v>
      </c>
      <c r="FP113" s="729">
        <v>1</v>
      </c>
      <c r="FQ113" s="729">
        <v>1</v>
      </c>
      <c r="FR113" s="729">
        <v>1</v>
      </c>
      <c r="FS113" s="729">
        <v>3</v>
      </c>
      <c r="FT113" s="729">
        <v>1</v>
      </c>
      <c r="FU113" s="729">
        <v>1</v>
      </c>
      <c r="FV113" s="681">
        <v>1</v>
      </c>
      <c r="FW113" s="729"/>
      <c r="FX113" s="729"/>
      <c r="FY113" s="729"/>
      <c r="FZ113" s="746">
        <v>576</v>
      </c>
      <c r="GA113" s="746">
        <v>620</v>
      </c>
      <c r="GB113" s="681">
        <v>507</v>
      </c>
      <c r="GC113" s="681">
        <v>548</v>
      </c>
      <c r="GD113" s="747">
        <v>0.81</v>
      </c>
      <c r="GE113" s="729"/>
      <c r="GF113" s="681">
        <v>80</v>
      </c>
      <c r="GG113" s="681">
        <v>98</v>
      </c>
      <c r="GH113" s="681">
        <v>72</v>
      </c>
      <c r="GI113" s="681">
        <v>74</v>
      </c>
      <c r="GJ113" s="681">
        <v>75</v>
      </c>
      <c r="GK113" s="681">
        <v>75</v>
      </c>
      <c r="GL113" s="681">
        <v>77</v>
      </c>
      <c r="GM113" s="681">
        <v>78</v>
      </c>
      <c r="GN113" s="681">
        <v>80</v>
      </c>
      <c r="GO113" s="681">
        <v>81</v>
      </c>
      <c r="GP113" s="681">
        <v>83</v>
      </c>
      <c r="GQ113" s="681">
        <v>85</v>
      </c>
      <c r="GR113" s="681">
        <v>85</v>
      </c>
      <c r="GS113" s="681">
        <v>86</v>
      </c>
      <c r="GT113" s="681">
        <v>87</v>
      </c>
      <c r="GU113" s="681">
        <v>87</v>
      </c>
      <c r="GV113" s="681">
        <v>87</v>
      </c>
      <c r="GW113" s="681">
        <v>88</v>
      </c>
      <c r="GX113" s="681">
        <v>89</v>
      </c>
      <c r="GY113" s="681">
        <v>89</v>
      </c>
      <c r="GZ113" s="681">
        <v>96</v>
      </c>
      <c r="HA113" s="681">
        <v>96</v>
      </c>
      <c r="HB113" s="681">
        <v>97</v>
      </c>
      <c r="HC113" s="681">
        <v>171</v>
      </c>
      <c r="HD113" s="750">
        <v>173</v>
      </c>
      <c r="HE113" s="681">
        <v>179</v>
      </c>
      <c r="HF113" s="681">
        <v>526</v>
      </c>
      <c r="HG113" s="681">
        <v>177</v>
      </c>
      <c r="HH113" s="714">
        <v>93.7</v>
      </c>
      <c r="HI113" s="714">
        <v>36.3</v>
      </c>
      <c r="HJ113" s="753">
        <v>0.29</v>
      </c>
      <c r="HK113" s="681">
        <v>72</v>
      </c>
      <c r="HL113" s="685">
        <v>2.36</v>
      </c>
      <c r="HM113" s="747">
        <v>3.84</v>
      </c>
      <c r="HN113" s="729" t="s">
        <v>1004</v>
      </c>
      <c r="HO113" s="729" t="s">
        <v>1005</v>
      </c>
      <c r="HP113" s="714">
        <v>-0.3</v>
      </c>
      <c r="HQ113" s="753">
        <v>0.933</v>
      </c>
      <c r="HR113" s="753">
        <v>0.98</v>
      </c>
      <c r="HS113" s="753">
        <v>0.992</v>
      </c>
      <c r="HT113" s="753">
        <v>0.996</v>
      </c>
      <c r="HU113" s="753">
        <v>0.999</v>
      </c>
      <c r="HV113" s="753">
        <v>0.999</v>
      </c>
      <c r="HW113" s="753">
        <v>0.999</v>
      </c>
      <c r="HX113" s="753">
        <v>0.999</v>
      </c>
      <c r="HY113" s="753">
        <v>0.999</v>
      </c>
      <c r="HZ113" s="753">
        <v>0.999</v>
      </c>
      <c r="IA113" s="753">
        <v>0.999</v>
      </c>
      <c r="IB113" s="753">
        <v>0.999</v>
      </c>
      <c r="IC113" s="753">
        <v>0.999</v>
      </c>
      <c r="ID113" s="753">
        <v>0.999</v>
      </c>
      <c r="IE113" s="753">
        <v>0.998</v>
      </c>
      <c r="IF113" s="753">
        <v>0.998</v>
      </c>
      <c r="IG113" s="753">
        <v>0.998</v>
      </c>
      <c r="IH113" s="753">
        <v>0.997</v>
      </c>
      <c r="II113" s="753">
        <v>0.994</v>
      </c>
      <c r="IJ113" s="753">
        <v>0.991</v>
      </c>
      <c r="IK113" s="753">
        <v>0.988</v>
      </c>
      <c r="IL113" s="753">
        <v>0.982</v>
      </c>
      <c r="IM113" s="753">
        <v>0.971</v>
      </c>
      <c r="IN113" s="753">
        <v>0.941</v>
      </c>
      <c r="IO113" s="753">
        <v>0.91</v>
      </c>
      <c r="IP113" s="753">
        <v>0.853</v>
      </c>
      <c r="IQ113" s="753">
        <v>0.733</v>
      </c>
      <c r="IR113" s="753">
        <v>0.489</v>
      </c>
      <c r="IS113" s="753">
        <v>0.161</v>
      </c>
      <c r="IT113" s="753"/>
      <c r="IU113" s="753"/>
      <c r="IV113" s="753"/>
      <c r="IW113" s="753"/>
      <c r="IX113" s="753"/>
      <c r="IY113" s="753"/>
      <c r="IZ113" s="753"/>
      <c r="JA113" s="754">
        <v>0.871</v>
      </c>
      <c r="JB113" s="754">
        <v>0.96</v>
      </c>
      <c r="JC113" s="754">
        <v>0.983</v>
      </c>
      <c r="JD113" s="754">
        <v>0.992</v>
      </c>
      <c r="JE113" s="754">
        <v>0.998</v>
      </c>
      <c r="JF113" s="754">
        <v>0.998</v>
      </c>
      <c r="JG113" s="754">
        <v>0.998</v>
      </c>
      <c r="JH113" s="754">
        <v>0.998</v>
      </c>
      <c r="JI113" s="754">
        <v>0.998</v>
      </c>
      <c r="JJ113" s="754">
        <v>0.998</v>
      </c>
      <c r="JK113" s="754">
        <v>0.998</v>
      </c>
      <c r="JL113" s="754">
        <v>0.998</v>
      </c>
      <c r="JM113" s="754">
        <v>0.998</v>
      </c>
      <c r="JN113" s="754">
        <v>0.998</v>
      </c>
      <c r="JO113" s="754">
        <v>0.997</v>
      </c>
      <c r="JP113" s="754">
        <v>0.997</v>
      </c>
      <c r="JQ113" s="754">
        <v>0.996</v>
      </c>
      <c r="JR113" s="754">
        <v>0.995</v>
      </c>
      <c r="JS113" s="754">
        <v>0.989</v>
      </c>
      <c r="JT113" s="754">
        <v>0.983</v>
      </c>
      <c r="JU113" s="754">
        <v>0.976</v>
      </c>
      <c r="JV113" s="754">
        <v>0.965</v>
      </c>
      <c r="JW113" s="754">
        <v>0.943</v>
      </c>
      <c r="JX113" s="754">
        <v>0.886</v>
      </c>
      <c r="JY113" s="754">
        <v>0.829</v>
      </c>
      <c r="JZ113" s="754">
        <v>0.727</v>
      </c>
      <c r="KA113" s="754">
        <v>0.537</v>
      </c>
      <c r="KB113" s="754">
        <v>0.239</v>
      </c>
      <c r="KC113" s="754">
        <v>0.026</v>
      </c>
      <c r="KD113" s="754"/>
      <c r="KE113" s="754"/>
      <c r="KF113" s="754"/>
      <c r="KG113" s="754"/>
      <c r="KH113" s="754"/>
      <c r="KI113" s="754"/>
      <c r="KJ113" s="754"/>
      <c r="KK113" s="765" t="s">
        <v>281</v>
      </c>
      <c r="KL113" s="738">
        <v>59</v>
      </c>
      <c r="KM113" s="738">
        <v>227</v>
      </c>
      <c r="KN113" s="646" t="s">
        <v>282</v>
      </c>
      <c r="KO113" s="646" t="s">
        <v>1003</v>
      </c>
      <c r="KP113" s="680">
        <v>750350</v>
      </c>
      <c r="KQ113" s="766" t="s">
        <v>1006</v>
      </c>
      <c r="KR113" s="750" t="s">
        <v>1007</v>
      </c>
      <c r="KS113" s="769" t="s">
        <v>1008</v>
      </c>
      <c r="KT113" s="770" t="s">
        <v>1009</v>
      </c>
      <c r="KU113" s="766" t="s">
        <v>1010</v>
      </c>
      <c r="KV113" s="750">
        <v>750350</v>
      </c>
      <c r="KW113" s="771"/>
      <c r="KX113" s="750"/>
      <c r="KY113" s="769" t="s">
        <v>1011</v>
      </c>
      <c r="KZ113" s="770" t="s">
        <v>1012</v>
      </c>
    </row>
    <row r="114" s="628" customFormat="1" customHeight="1" spans="1:312">
      <c r="A114" s="682" t="s">
        <v>374</v>
      </c>
      <c r="B114" s="683">
        <v>110</v>
      </c>
      <c r="C114" s="689" t="s">
        <v>1013</v>
      </c>
      <c r="D114" s="680">
        <v>757477</v>
      </c>
      <c r="E114" s="685">
        <v>47.71</v>
      </c>
      <c r="F114" s="685">
        <v>47.47</v>
      </c>
      <c r="G114" s="688">
        <v>0.015866</v>
      </c>
      <c r="H114" s="686">
        <v>0.016028</v>
      </c>
      <c r="I114" s="696">
        <v>1.71608</v>
      </c>
      <c r="J114" s="696">
        <v>1.72302</v>
      </c>
      <c r="K114" s="696">
        <v>1.73065</v>
      </c>
      <c r="L114" s="696">
        <v>1.73755</v>
      </c>
      <c r="M114" s="696">
        <v>1.73882</v>
      </c>
      <c r="N114" s="696">
        <v>1.73988</v>
      </c>
      <c r="O114" s="696">
        <v>1.74401</v>
      </c>
      <c r="P114" s="696">
        <v>1.74688</v>
      </c>
      <c r="Q114" s="697">
        <v>1.74954</v>
      </c>
      <c r="R114" s="697">
        <v>1.75223</v>
      </c>
      <c r="S114" s="697">
        <v>1.75298</v>
      </c>
      <c r="T114" s="701">
        <v>1.75368</v>
      </c>
      <c r="U114" s="697">
        <v>1.75686</v>
      </c>
      <c r="V114" s="697">
        <v>1.757</v>
      </c>
      <c r="W114" s="697">
        <v>1.76078</v>
      </c>
      <c r="X114" s="697">
        <v>1.76809</v>
      </c>
      <c r="Y114" s="697">
        <v>1.76901</v>
      </c>
      <c r="Z114" s="697">
        <v>1.77689</v>
      </c>
      <c r="AA114" s="697">
        <v>1.78427</v>
      </c>
      <c r="AB114" s="697">
        <v>1.79708</v>
      </c>
      <c r="AC114" s="704">
        <v>3.0195107</v>
      </c>
      <c r="AD114" s="705">
        <v>-0.0145577999</v>
      </c>
      <c r="AE114" s="705">
        <v>0.022137904</v>
      </c>
      <c r="AF114" s="705">
        <v>0.00127974562</v>
      </c>
      <c r="AG114" s="705">
        <v>-0.000116064079</v>
      </c>
      <c r="AH114" s="705">
        <v>7.16841005e-6</v>
      </c>
      <c r="AI114" s="709">
        <v>0.3006</v>
      </c>
      <c r="AJ114" s="709">
        <v>0.2382</v>
      </c>
      <c r="AK114" s="709">
        <v>0.5546</v>
      </c>
      <c r="AL114" s="709">
        <v>0.2508</v>
      </c>
      <c r="AM114" s="709">
        <v>0.2358</v>
      </c>
      <c r="AN114" s="709">
        <v>0.4916</v>
      </c>
      <c r="AO114" s="709">
        <v>-0.0031</v>
      </c>
      <c r="AP114" s="709">
        <v>-0.0097</v>
      </c>
      <c r="AQ114" s="709">
        <v>0.0071</v>
      </c>
      <c r="AR114" s="709">
        <v>0.0032</v>
      </c>
      <c r="AS114" s="714">
        <v>7.2</v>
      </c>
      <c r="AT114" s="714">
        <v>7.2</v>
      </c>
      <c r="AU114" s="714">
        <v>7.3</v>
      </c>
      <c r="AV114" s="714">
        <v>7.4</v>
      </c>
      <c r="AW114" s="714">
        <v>7.4</v>
      </c>
      <c r="AX114" s="714">
        <v>7.4</v>
      </c>
      <c r="AY114" s="714">
        <v>7.7</v>
      </c>
      <c r="AZ114" s="714">
        <v>7.7</v>
      </c>
      <c r="BA114" s="714">
        <v>7.9</v>
      </c>
      <c r="BB114" s="714">
        <v>8</v>
      </c>
      <c r="BC114" s="714">
        <v>8.1</v>
      </c>
      <c r="BD114" s="714">
        <v>7.7</v>
      </c>
      <c r="BE114" s="714">
        <v>7.7</v>
      </c>
      <c r="BF114" s="714">
        <v>7.7</v>
      </c>
      <c r="BG114" s="714">
        <v>7.7</v>
      </c>
      <c r="BH114" s="714">
        <v>7.9</v>
      </c>
      <c r="BI114" s="714">
        <v>8</v>
      </c>
      <c r="BJ114" s="714">
        <v>8.2</v>
      </c>
      <c r="BK114" s="714">
        <v>8.3</v>
      </c>
      <c r="BL114" s="714">
        <v>8.6</v>
      </c>
      <c r="BM114" s="714">
        <v>8.8</v>
      </c>
      <c r="BN114" s="714">
        <v>8.9</v>
      </c>
      <c r="BO114" s="714">
        <v>8</v>
      </c>
      <c r="BP114" s="714">
        <v>8</v>
      </c>
      <c r="BQ114" s="714">
        <v>8</v>
      </c>
      <c r="BR114" s="714">
        <v>8</v>
      </c>
      <c r="BS114" s="714">
        <v>8.1</v>
      </c>
      <c r="BT114" s="714">
        <v>8.2</v>
      </c>
      <c r="BU114" s="714">
        <v>8.4</v>
      </c>
      <c r="BV114" s="714">
        <v>8.5</v>
      </c>
      <c r="BW114" s="714">
        <v>8.9</v>
      </c>
      <c r="BX114" s="714">
        <v>9</v>
      </c>
      <c r="BY114" s="714">
        <v>9.2</v>
      </c>
      <c r="BZ114" s="714">
        <v>8</v>
      </c>
      <c r="CA114" s="714">
        <v>8.1</v>
      </c>
      <c r="CB114" s="714">
        <v>8.1</v>
      </c>
      <c r="CC114" s="714">
        <v>8.1</v>
      </c>
      <c r="CD114" s="714">
        <v>8.2</v>
      </c>
      <c r="CE114" s="714">
        <v>8.3</v>
      </c>
      <c r="CF114" s="714">
        <v>8.5</v>
      </c>
      <c r="CG114" s="714">
        <v>8.6</v>
      </c>
      <c r="CH114" s="714">
        <v>9</v>
      </c>
      <c r="CI114" s="714">
        <v>9.2</v>
      </c>
      <c r="CJ114" s="714">
        <v>9.3</v>
      </c>
      <c r="CK114" s="714">
        <v>8.1</v>
      </c>
      <c r="CL114" s="715">
        <v>8.1</v>
      </c>
      <c r="CM114" s="715">
        <v>8.1</v>
      </c>
      <c r="CN114" s="715">
        <v>8.2</v>
      </c>
      <c r="CO114" s="715">
        <v>8.2</v>
      </c>
      <c r="CP114" s="715">
        <v>8.4</v>
      </c>
      <c r="CQ114" s="715">
        <v>8.6</v>
      </c>
      <c r="CR114" s="714">
        <v>8.8</v>
      </c>
      <c r="CS114" s="714">
        <v>9.1</v>
      </c>
      <c r="CT114" s="714">
        <v>9.3</v>
      </c>
      <c r="CU114" s="714">
        <v>9.4</v>
      </c>
      <c r="CV114" s="714">
        <v>8.2</v>
      </c>
      <c r="CW114" s="715">
        <v>8.2</v>
      </c>
      <c r="CX114" s="715">
        <v>8.4</v>
      </c>
      <c r="CY114" s="715">
        <v>8.4</v>
      </c>
      <c r="CZ114" s="715">
        <v>8.6</v>
      </c>
      <c r="DA114" s="715">
        <v>8.7</v>
      </c>
      <c r="DB114" s="715">
        <v>8.9</v>
      </c>
      <c r="DC114" s="714">
        <v>9</v>
      </c>
      <c r="DD114" s="714">
        <v>9.2</v>
      </c>
      <c r="DE114" s="714">
        <v>9.4</v>
      </c>
      <c r="DF114" s="714">
        <v>9.5</v>
      </c>
      <c r="DG114" s="714">
        <v>8.5</v>
      </c>
      <c r="DH114" s="715">
        <v>8.6</v>
      </c>
      <c r="DI114" s="715">
        <v>8.6</v>
      </c>
      <c r="DJ114" s="715">
        <v>8.6</v>
      </c>
      <c r="DK114" s="715">
        <v>8.7</v>
      </c>
      <c r="DL114" s="715">
        <v>9</v>
      </c>
      <c r="DM114" s="715">
        <v>9</v>
      </c>
      <c r="DN114" s="714">
        <v>9.2</v>
      </c>
      <c r="DO114" s="714">
        <v>9.4</v>
      </c>
      <c r="DP114" s="714">
        <v>9.5</v>
      </c>
      <c r="DQ114" s="714">
        <v>9.7</v>
      </c>
      <c r="DR114" s="714">
        <v>9.2</v>
      </c>
      <c r="DS114" s="715">
        <v>9.2</v>
      </c>
      <c r="DT114" s="715">
        <v>9.3</v>
      </c>
      <c r="DU114" s="715">
        <v>9.4</v>
      </c>
      <c r="DV114" s="715">
        <v>9.4</v>
      </c>
      <c r="DW114" s="715">
        <v>9.5</v>
      </c>
      <c r="DX114" s="715">
        <v>9.8</v>
      </c>
      <c r="DY114" s="714">
        <v>10</v>
      </c>
      <c r="DZ114" s="714">
        <v>10.2</v>
      </c>
      <c r="EA114" s="714">
        <v>10.3</v>
      </c>
      <c r="EB114" s="714">
        <v>10.6</v>
      </c>
      <c r="EC114" s="714">
        <v>9.2</v>
      </c>
      <c r="ED114" s="715">
        <v>9.2</v>
      </c>
      <c r="EE114" s="715">
        <v>9.3</v>
      </c>
      <c r="EF114" s="715">
        <v>9.4</v>
      </c>
      <c r="EG114" s="715">
        <v>9.4</v>
      </c>
      <c r="EH114" s="715">
        <v>9.5</v>
      </c>
      <c r="EI114" s="715">
        <v>9.8</v>
      </c>
      <c r="EJ114" s="714">
        <v>10</v>
      </c>
      <c r="EK114" s="714">
        <v>10.2</v>
      </c>
      <c r="EL114" s="714">
        <v>10.3</v>
      </c>
      <c r="EM114" s="714">
        <v>10.6</v>
      </c>
      <c r="EN114" s="714">
        <v>9.8</v>
      </c>
      <c r="EO114" s="715">
        <v>9.8</v>
      </c>
      <c r="EP114" s="715">
        <v>9.9</v>
      </c>
      <c r="EQ114" s="715">
        <v>10</v>
      </c>
      <c r="ER114" s="715">
        <v>10</v>
      </c>
      <c r="ES114" s="715">
        <v>10.4</v>
      </c>
      <c r="ET114" s="715">
        <v>10.5</v>
      </c>
      <c r="EU114" s="714">
        <v>10.8</v>
      </c>
      <c r="EV114" s="714">
        <v>10.9</v>
      </c>
      <c r="EW114" s="714">
        <v>11.1</v>
      </c>
      <c r="EX114" s="714">
        <v>11.3</v>
      </c>
      <c r="EY114" s="714">
        <v>5.3</v>
      </c>
      <c r="EZ114" s="715">
        <v>5.7</v>
      </c>
      <c r="FA114" s="715">
        <v>6.1</v>
      </c>
      <c r="FB114" s="715">
        <v>6.5</v>
      </c>
      <c r="FC114" s="715">
        <v>6.7</v>
      </c>
      <c r="FD114" s="715">
        <v>7.1</v>
      </c>
      <c r="FE114" s="715">
        <v>7.4</v>
      </c>
      <c r="FF114" s="714">
        <v>7.7</v>
      </c>
      <c r="FG114" s="714">
        <v>8.1</v>
      </c>
      <c r="FH114" s="714">
        <v>8.4</v>
      </c>
      <c r="FI114" s="714">
        <v>8.6</v>
      </c>
      <c r="FJ114" s="723">
        <v>9.4e-6</v>
      </c>
      <c r="FK114" s="723">
        <v>1.36e-8</v>
      </c>
      <c r="FL114" s="723">
        <v>-1.08e-11</v>
      </c>
      <c r="FM114" s="723">
        <v>6.21e-7</v>
      </c>
      <c r="FN114" s="723">
        <v>2.74e-10</v>
      </c>
      <c r="FO114" s="723">
        <v>0.221</v>
      </c>
      <c r="FP114" s="729">
        <v>1</v>
      </c>
      <c r="FQ114" s="729">
        <v>3</v>
      </c>
      <c r="FR114" s="729">
        <v>1</v>
      </c>
      <c r="FS114" s="729">
        <v>3</v>
      </c>
      <c r="FT114" s="729">
        <v>1</v>
      </c>
      <c r="FU114" s="729">
        <v>2</v>
      </c>
      <c r="FV114" s="681">
        <v>1</v>
      </c>
      <c r="FW114" s="729"/>
      <c r="FX114" s="729"/>
      <c r="FY114" s="729"/>
      <c r="FZ114" s="746">
        <v>606</v>
      </c>
      <c r="GA114" s="746">
        <v>631</v>
      </c>
      <c r="GB114" s="681">
        <v>538</v>
      </c>
      <c r="GC114" s="681">
        <v>580</v>
      </c>
      <c r="GD114" s="747">
        <v>0.9</v>
      </c>
      <c r="GE114" s="729"/>
      <c r="GF114" s="681">
        <v>54</v>
      </c>
      <c r="GG114" s="681">
        <v>70</v>
      </c>
      <c r="GH114" s="681">
        <v>48</v>
      </c>
      <c r="GI114" s="681">
        <v>51</v>
      </c>
      <c r="GJ114" s="681">
        <v>52</v>
      </c>
      <c r="GK114" s="681">
        <v>53</v>
      </c>
      <c r="GL114" s="681">
        <v>54</v>
      </c>
      <c r="GM114" s="681">
        <v>55</v>
      </c>
      <c r="GN114" s="681">
        <v>55</v>
      </c>
      <c r="GO114" s="681">
        <v>56</v>
      </c>
      <c r="GP114" s="681">
        <v>57</v>
      </c>
      <c r="GQ114" s="681">
        <v>57</v>
      </c>
      <c r="GR114" s="681">
        <v>58</v>
      </c>
      <c r="GS114" s="681">
        <v>58</v>
      </c>
      <c r="GT114" s="681">
        <v>58</v>
      </c>
      <c r="GU114" s="681">
        <v>59</v>
      </c>
      <c r="GV114" s="681">
        <v>60</v>
      </c>
      <c r="GW114" s="681">
        <v>61</v>
      </c>
      <c r="GX114" s="681">
        <v>62</v>
      </c>
      <c r="GY114" s="681">
        <v>63</v>
      </c>
      <c r="GZ114" s="681">
        <v>64</v>
      </c>
      <c r="HA114" s="681">
        <v>65</v>
      </c>
      <c r="HB114" s="681">
        <v>65</v>
      </c>
      <c r="HC114" s="681"/>
      <c r="HD114" s="750">
        <v>135</v>
      </c>
      <c r="HE114" s="681"/>
      <c r="HF114" s="681">
        <v>654</v>
      </c>
      <c r="HG114" s="681">
        <v>78</v>
      </c>
      <c r="HH114" s="714">
        <v>108.3</v>
      </c>
      <c r="HI114" s="714">
        <v>41.3</v>
      </c>
      <c r="HJ114" s="753">
        <v>0.312</v>
      </c>
      <c r="HK114" s="681">
        <v>73</v>
      </c>
      <c r="HL114" s="685">
        <v>2.2</v>
      </c>
      <c r="HM114" s="747">
        <v>4.25</v>
      </c>
      <c r="HN114" s="729" t="s">
        <v>591</v>
      </c>
      <c r="HO114" s="729" t="s">
        <v>1014</v>
      </c>
      <c r="HP114" s="714">
        <v>-0.5</v>
      </c>
      <c r="HQ114" s="753">
        <v>0.839</v>
      </c>
      <c r="HR114" s="753">
        <v>0.971</v>
      </c>
      <c r="HS114" s="753">
        <v>0.996</v>
      </c>
      <c r="HT114" s="753">
        <v>0.999</v>
      </c>
      <c r="HU114" s="753">
        <v>0.999</v>
      </c>
      <c r="HV114" s="753">
        <v>0.999</v>
      </c>
      <c r="HW114" s="753">
        <v>0.999</v>
      </c>
      <c r="HX114" s="753">
        <v>0.999</v>
      </c>
      <c r="HY114" s="753">
        <v>0.999</v>
      </c>
      <c r="HZ114" s="753">
        <v>0.999</v>
      </c>
      <c r="IA114" s="753">
        <v>0.999</v>
      </c>
      <c r="IB114" s="753">
        <v>0.999</v>
      </c>
      <c r="IC114" s="753">
        <v>0.999</v>
      </c>
      <c r="ID114" s="753">
        <v>0.999</v>
      </c>
      <c r="IE114" s="753">
        <v>0.999</v>
      </c>
      <c r="IF114" s="753">
        <v>0.999</v>
      </c>
      <c r="IG114" s="753">
        <v>0.999</v>
      </c>
      <c r="IH114" s="753">
        <v>0.999</v>
      </c>
      <c r="II114" s="753">
        <v>0.999</v>
      </c>
      <c r="IJ114" s="753">
        <v>0.999</v>
      </c>
      <c r="IK114" s="753">
        <v>0.998</v>
      </c>
      <c r="IL114" s="753">
        <v>0.997</v>
      </c>
      <c r="IM114" s="753">
        <v>0.994</v>
      </c>
      <c r="IN114" s="753">
        <v>0.991</v>
      </c>
      <c r="IO114" s="753">
        <v>0.988</v>
      </c>
      <c r="IP114" s="753">
        <v>0.982</v>
      </c>
      <c r="IQ114" s="753">
        <v>0.972</v>
      </c>
      <c r="IR114" s="753">
        <v>0.956</v>
      </c>
      <c r="IS114" s="753">
        <v>0.928</v>
      </c>
      <c r="IT114" s="753">
        <v>0.881</v>
      </c>
      <c r="IU114" s="753">
        <v>0.802</v>
      </c>
      <c r="IV114" s="753">
        <v>0.652</v>
      </c>
      <c r="IW114" s="753">
        <v>0.361</v>
      </c>
      <c r="IX114" s="753"/>
      <c r="IY114" s="753"/>
      <c r="IZ114" s="753"/>
      <c r="JA114" s="754">
        <v>0.704</v>
      </c>
      <c r="JB114" s="754">
        <v>0.943</v>
      </c>
      <c r="JC114" s="754">
        <v>0.992</v>
      </c>
      <c r="JD114" s="754">
        <v>0.998</v>
      </c>
      <c r="JE114" s="754">
        <v>0.998</v>
      </c>
      <c r="JF114" s="754">
        <v>0.998</v>
      </c>
      <c r="JG114" s="754">
        <v>0.998</v>
      </c>
      <c r="JH114" s="754">
        <v>0.998</v>
      </c>
      <c r="JI114" s="754">
        <v>0.998</v>
      </c>
      <c r="JJ114" s="754">
        <v>0.998</v>
      </c>
      <c r="JK114" s="754">
        <v>0.998</v>
      </c>
      <c r="JL114" s="754">
        <v>0.998</v>
      </c>
      <c r="JM114" s="754">
        <v>0.998</v>
      </c>
      <c r="JN114" s="754">
        <v>0.998</v>
      </c>
      <c r="JO114" s="754">
        <v>0.998</v>
      </c>
      <c r="JP114" s="754">
        <v>0.998</v>
      </c>
      <c r="JQ114" s="754">
        <v>0.998</v>
      </c>
      <c r="JR114" s="754">
        <v>0.998</v>
      </c>
      <c r="JS114" s="754">
        <v>0.998</v>
      </c>
      <c r="JT114" s="754">
        <v>0.997</v>
      </c>
      <c r="JU114" s="754">
        <v>0.996</v>
      </c>
      <c r="JV114" s="754">
        <v>0.994</v>
      </c>
      <c r="JW114" s="754">
        <v>0.989</v>
      </c>
      <c r="JX114" s="754">
        <v>0.981</v>
      </c>
      <c r="JY114" s="754">
        <v>0.974</v>
      </c>
      <c r="JZ114" s="754">
        <v>0.961</v>
      </c>
      <c r="KA114" s="754">
        <v>0.939</v>
      </c>
      <c r="KB114" s="754">
        <v>0.895</v>
      </c>
      <c r="KC114" s="754">
        <v>0.841</v>
      </c>
      <c r="KD114" s="754">
        <v>0.758</v>
      </c>
      <c r="KE114" s="754">
        <v>0.627</v>
      </c>
      <c r="KF114" s="754">
        <v>0.412</v>
      </c>
      <c r="KG114" s="754">
        <v>0.125</v>
      </c>
      <c r="KH114" s="754"/>
      <c r="KI114" s="754"/>
      <c r="KJ114" s="754"/>
      <c r="KK114" s="765" t="s">
        <v>281</v>
      </c>
      <c r="KL114" s="738">
        <v>91</v>
      </c>
      <c r="KM114" s="738">
        <v>387</v>
      </c>
      <c r="KN114" s="646" t="s">
        <v>339</v>
      </c>
      <c r="KO114" s="646" t="s">
        <v>1013</v>
      </c>
      <c r="KP114" s="680">
        <v>757477</v>
      </c>
      <c r="KQ114" s="766"/>
      <c r="KR114" s="750"/>
      <c r="KS114" s="769" t="s">
        <v>1015</v>
      </c>
      <c r="KT114" s="770" t="s">
        <v>1016</v>
      </c>
      <c r="KU114" s="766"/>
      <c r="KV114" s="750"/>
      <c r="KW114" s="771"/>
      <c r="KX114" s="750"/>
      <c r="KY114" s="769"/>
      <c r="KZ114" s="770"/>
    </row>
    <row r="115" s="628" customFormat="1" customHeight="1" spans="1:312">
      <c r="A115" s="682" t="s">
        <v>374</v>
      </c>
      <c r="B115" s="683">
        <v>111</v>
      </c>
      <c r="C115" s="689" t="s">
        <v>1017</v>
      </c>
      <c r="D115" s="680">
        <v>782371</v>
      </c>
      <c r="E115" s="685">
        <v>37.09</v>
      </c>
      <c r="F115" s="685">
        <v>36.83</v>
      </c>
      <c r="G115" s="688">
        <v>0.021077</v>
      </c>
      <c r="H115" s="686">
        <v>0.021366</v>
      </c>
      <c r="I115" s="696">
        <v>1.73781</v>
      </c>
      <c r="J115" s="696">
        <v>1.74384</v>
      </c>
      <c r="K115" s="696">
        <v>1.75079</v>
      </c>
      <c r="L115" s="696">
        <v>1.75779</v>
      </c>
      <c r="M115" s="696">
        <v>1.75919</v>
      </c>
      <c r="N115" s="696">
        <v>1.76038</v>
      </c>
      <c r="O115" s="696">
        <v>1.76527</v>
      </c>
      <c r="P115" s="696">
        <v>1.76881</v>
      </c>
      <c r="Q115" s="697">
        <v>1.77216</v>
      </c>
      <c r="R115" s="697">
        <v>1.77559</v>
      </c>
      <c r="S115" s="697">
        <v>1.77657</v>
      </c>
      <c r="T115" s="701">
        <v>1.77748</v>
      </c>
      <c r="U115" s="697">
        <v>1.78161</v>
      </c>
      <c r="V115" s="697">
        <v>1.78179</v>
      </c>
      <c r="W115" s="697">
        <v>1.78679</v>
      </c>
      <c r="X115" s="697">
        <v>1.79667</v>
      </c>
      <c r="Y115" s="697">
        <v>1.79793</v>
      </c>
      <c r="Z115" s="697">
        <v>1.80893</v>
      </c>
      <c r="AA115" s="697">
        <v>1.81955</v>
      </c>
      <c r="AB115" s="697">
        <v>1.83869</v>
      </c>
      <c r="AC115" s="704">
        <v>3.08047013</v>
      </c>
      <c r="AD115" s="705">
        <v>-0.0122464411</v>
      </c>
      <c r="AE115" s="705">
        <v>0.0309400964</v>
      </c>
      <c r="AF115" s="705">
        <v>0.00105872727</v>
      </c>
      <c r="AG115" s="705">
        <v>-1.30807247e-5</v>
      </c>
      <c r="AH115" s="705">
        <v>4.91706463e-6</v>
      </c>
      <c r="AI115" s="709">
        <v>0.2942</v>
      </c>
      <c r="AJ115" s="709">
        <v>0.2372</v>
      </c>
      <c r="AK115" s="709">
        <v>0.5817</v>
      </c>
      <c r="AL115" s="709">
        <v>0.2443</v>
      </c>
      <c r="AM115" s="709">
        <v>0.234</v>
      </c>
      <c r="AN115" s="709">
        <v>0.5148</v>
      </c>
      <c r="AO115" s="709">
        <v>-0.001</v>
      </c>
      <c r="AP115" s="709">
        <v>-0.0003</v>
      </c>
      <c r="AQ115" s="709">
        <v>0.0018</v>
      </c>
      <c r="AR115" s="709">
        <v>0.0002</v>
      </c>
      <c r="AS115" s="714">
        <v>3.1</v>
      </c>
      <c r="AT115" s="714">
        <v>3.1</v>
      </c>
      <c r="AU115" s="714">
        <v>3.2</v>
      </c>
      <c r="AV115" s="714">
        <v>3.2</v>
      </c>
      <c r="AW115" s="714">
        <v>3.3</v>
      </c>
      <c r="AX115" s="714">
        <v>3.4</v>
      </c>
      <c r="AY115" s="714">
        <v>3.6</v>
      </c>
      <c r="AZ115" s="714">
        <v>3.7</v>
      </c>
      <c r="BA115" s="714">
        <v>3.9</v>
      </c>
      <c r="BB115" s="714">
        <v>4.2</v>
      </c>
      <c r="BC115" s="714">
        <v>4.3</v>
      </c>
      <c r="BD115" s="714">
        <v>3.6</v>
      </c>
      <c r="BE115" s="714">
        <v>3.6</v>
      </c>
      <c r="BF115" s="714">
        <v>3.7</v>
      </c>
      <c r="BG115" s="714">
        <v>3.7</v>
      </c>
      <c r="BH115" s="714">
        <v>3.8</v>
      </c>
      <c r="BI115" s="714">
        <v>3.8</v>
      </c>
      <c r="BJ115" s="714">
        <v>4</v>
      </c>
      <c r="BK115" s="714">
        <v>4.1</v>
      </c>
      <c r="BL115" s="714">
        <v>4.3</v>
      </c>
      <c r="BM115" s="714">
        <v>4.5</v>
      </c>
      <c r="BN115" s="714">
        <v>4.6</v>
      </c>
      <c r="BO115" s="714">
        <v>4</v>
      </c>
      <c r="BP115" s="714">
        <v>4</v>
      </c>
      <c r="BQ115" s="714">
        <v>4</v>
      </c>
      <c r="BR115" s="714">
        <v>4.1</v>
      </c>
      <c r="BS115" s="714">
        <v>4.1</v>
      </c>
      <c r="BT115" s="714">
        <v>4.2</v>
      </c>
      <c r="BU115" s="714">
        <v>4.3</v>
      </c>
      <c r="BV115" s="714">
        <v>4.4</v>
      </c>
      <c r="BW115" s="714">
        <v>4.6</v>
      </c>
      <c r="BX115" s="714">
        <v>4.7</v>
      </c>
      <c r="BY115" s="714">
        <v>4.8</v>
      </c>
      <c r="BZ115" s="714">
        <v>4</v>
      </c>
      <c r="CA115" s="714">
        <v>4</v>
      </c>
      <c r="CB115" s="714">
        <v>4.1</v>
      </c>
      <c r="CC115" s="714">
        <v>4.1</v>
      </c>
      <c r="CD115" s="714">
        <v>4.1</v>
      </c>
      <c r="CE115" s="714">
        <v>4.2</v>
      </c>
      <c r="CF115" s="714">
        <v>4.4</v>
      </c>
      <c r="CG115" s="714">
        <v>4.5</v>
      </c>
      <c r="CH115" s="714">
        <v>4.6</v>
      </c>
      <c r="CI115" s="714">
        <v>4.7</v>
      </c>
      <c r="CJ115" s="714">
        <v>4.8</v>
      </c>
      <c r="CK115" s="714">
        <v>4</v>
      </c>
      <c r="CL115" s="715">
        <v>4</v>
      </c>
      <c r="CM115" s="715">
        <v>4.1</v>
      </c>
      <c r="CN115" s="715">
        <v>4.1</v>
      </c>
      <c r="CO115" s="715">
        <v>4.2</v>
      </c>
      <c r="CP115" s="715">
        <v>4.4</v>
      </c>
      <c r="CQ115" s="715">
        <v>4.5</v>
      </c>
      <c r="CR115" s="714">
        <v>4.6</v>
      </c>
      <c r="CS115" s="714">
        <v>4.7</v>
      </c>
      <c r="CT115" s="714">
        <v>4.8</v>
      </c>
      <c r="CU115" s="714">
        <v>4.9</v>
      </c>
      <c r="CV115" s="714">
        <v>4.2</v>
      </c>
      <c r="CW115" s="715">
        <v>4.3</v>
      </c>
      <c r="CX115" s="715">
        <v>4.3</v>
      </c>
      <c r="CY115" s="715">
        <v>4.4</v>
      </c>
      <c r="CZ115" s="715">
        <v>4.4</v>
      </c>
      <c r="DA115" s="715">
        <v>4.5</v>
      </c>
      <c r="DB115" s="715">
        <v>4.8</v>
      </c>
      <c r="DC115" s="714">
        <v>4.9</v>
      </c>
      <c r="DD115" s="714">
        <v>5</v>
      </c>
      <c r="DE115" s="714">
        <v>5.2</v>
      </c>
      <c r="DF115" s="714">
        <v>5.3</v>
      </c>
      <c r="DG115" s="714">
        <v>4.6</v>
      </c>
      <c r="DH115" s="715">
        <v>4.7</v>
      </c>
      <c r="DI115" s="715">
        <v>4.7</v>
      </c>
      <c r="DJ115" s="715">
        <v>4.7</v>
      </c>
      <c r="DK115" s="715">
        <v>4.8</v>
      </c>
      <c r="DL115" s="715">
        <v>5</v>
      </c>
      <c r="DM115" s="715">
        <v>5.1</v>
      </c>
      <c r="DN115" s="714">
        <v>5.3</v>
      </c>
      <c r="DO115" s="714">
        <v>5.5</v>
      </c>
      <c r="DP115" s="714">
        <v>5.6</v>
      </c>
      <c r="DQ115" s="714">
        <v>5.7</v>
      </c>
      <c r="DR115" s="714">
        <v>5.3</v>
      </c>
      <c r="DS115" s="715">
        <v>5.3</v>
      </c>
      <c r="DT115" s="715">
        <v>5.4</v>
      </c>
      <c r="DU115" s="715">
        <v>5.5</v>
      </c>
      <c r="DV115" s="715">
        <v>5.6</v>
      </c>
      <c r="DW115" s="715">
        <v>5.8</v>
      </c>
      <c r="DX115" s="715">
        <v>6</v>
      </c>
      <c r="DY115" s="714">
        <v>6.3</v>
      </c>
      <c r="DZ115" s="714">
        <v>6.4</v>
      </c>
      <c r="EA115" s="714">
        <v>6.5</v>
      </c>
      <c r="EB115" s="714">
        <v>6.6</v>
      </c>
      <c r="EC115" s="714">
        <v>5.4</v>
      </c>
      <c r="ED115" s="715">
        <v>5.4</v>
      </c>
      <c r="EE115" s="715">
        <v>5.5</v>
      </c>
      <c r="EF115" s="715">
        <v>5.6</v>
      </c>
      <c r="EG115" s="715">
        <v>5.7</v>
      </c>
      <c r="EH115" s="715">
        <v>5.9</v>
      </c>
      <c r="EI115" s="715">
        <v>6.1</v>
      </c>
      <c r="EJ115" s="714">
        <v>6.4</v>
      </c>
      <c r="EK115" s="714">
        <v>6.5</v>
      </c>
      <c r="EL115" s="714">
        <v>6.6</v>
      </c>
      <c r="EM115" s="714">
        <v>6.7</v>
      </c>
      <c r="EN115" s="714">
        <v>6</v>
      </c>
      <c r="EO115" s="715">
        <v>6.3</v>
      </c>
      <c r="EP115" s="715">
        <v>6.3</v>
      </c>
      <c r="EQ115" s="715">
        <v>6.4</v>
      </c>
      <c r="ER115" s="715">
        <v>6.5</v>
      </c>
      <c r="ES115" s="715">
        <v>6.9</v>
      </c>
      <c r="ET115" s="715">
        <v>7.1</v>
      </c>
      <c r="EU115" s="714">
        <v>7.1</v>
      </c>
      <c r="EV115" s="714">
        <v>7.3</v>
      </c>
      <c r="EW115" s="714">
        <v>7.6</v>
      </c>
      <c r="EX115" s="714">
        <v>8</v>
      </c>
      <c r="EY115" s="714">
        <v>1.1</v>
      </c>
      <c r="EZ115" s="715">
        <v>1.6</v>
      </c>
      <c r="FA115" s="715">
        <v>2</v>
      </c>
      <c r="FB115" s="715">
        <v>2.3</v>
      </c>
      <c r="FC115" s="715">
        <v>2.7</v>
      </c>
      <c r="FD115" s="715">
        <v>3</v>
      </c>
      <c r="FE115" s="715">
        <v>3.3</v>
      </c>
      <c r="FF115" s="714">
        <v>3.5</v>
      </c>
      <c r="FG115" s="714">
        <v>3.7</v>
      </c>
      <c r="FH115" s="714">
        <v>3.9</v>
      </c>
      <c r="FI115" s="714">
        <v>4.1</v>
      </c>
      <c r="FJ115" s="723">
        <v>2.32e-6</v>
      </c>
      <c r="FK115" s="723">
        <v>1.27e-8</v>
      </c>
      <c r="FL115" s="723">
        <v>-1.6e-11</v>
      </c>
      <c r="FM115" s="723">
        <v>5.87e-7</v>
      </c>
      <c r="FN115" s="723">
        <v>4.07e-10</v>
      </c>
      <c r="FO115" s="723">
        <v>0.286</v>
      </c>
      <c r="FP115" s="729">
        <v>1</v>
      </c>
      <c r="FQ115" s="729">
        <v>1</v>
      </c>
      <c r="FR115" s="729">
        <v>1</v>
      </c>
      <c r="FS115" s="729">
        <v>1</v>
      </c>
      <c r="FT115" s="729">
        <v>1</v>
      </c>
      <c r="FU115" s="729">
        <v>1</v>
      </c>
      <c r="FV115" s="681"/>
      <c r="FW115" s="729"/>
      <c r="FX115" s="729"/>
      <c r="FY115" s="729"/>
      <c r="FZ115" s="746">
        <v>661</v>
      </c>
      <c r="GA115" s="746">
        <v>685</v>
      </c>
      <c r="GB115" s="681">
        <v>581</v>
      </c>
      <c r="GC115" s="681">
        <v>623</v>
      </c>
      <c r="GD115" s="747">
        <v>0.97</v>
      </c>
      <c r="GE115" s="729"/>
      <c r="GF115" s="681">
        <v>67</v>
      </c>
      <c r="GG115" s="681">
        <v>82</v>
      </c>
      <c r="GH115" s="681">
        <v>54</v>
      </c>
      <c r="GI115" s="681">
        <v>58</v>
      </c>
      <c r="GJ115" s="681">
        <v>61</v>
      </c>
      <c r="GK115" s="681">
        <v>63</v>
      </c>
      <c r="GL115" s="681">
        <v>65</v>
      </c>
      <c r="GM115" s="681">
        <v>67</v>
      </c>
      <c r="GN115" s="681">
        <v>69</v>
      </c>
      <c r="GO115" s="681">
        <v>70</v>
      </c>
      <c r="GP115" s="681">
        <v>71</v>
      </c>
      <c r="GQ115" s="681">
        <v>72</v>
      </c>
      <c r="GR115" s="681">
        <v>72</v>
      </c>
      <c r="GS115" s="681">
        <v>73</v>
      </c>
      <c r="GT115" s="681">
        <v>73</v>
      </c>
      <c r="GU115" s="681">
        <v>74</v>
      </c>
      <c r="GV115" s="681">
        <v>75</v>
      </c>
      <c r="GW115" s="681">
        <v>76</v>
      </c>
      <c r="GX115" s="681">
        <v>76</v>
      </c>
      <c r="GY115" s="681">
        <v>77</v>
      </c>
      <c r="GZ115" s="681">
        <v>78</v>
      </c>
      <c r="HA115" s="681">
        <v>80</v>
      </c>
      <c r="HB115" s="681">
        <v>81</v>
      </c>
      <c r="HC115" s="681"/>
      <c r="HD115" s="750">
        <v>162</v>
      </c>
      <c r="HE115" s="681"/>
      <c r="HF115" s="681">
        <v>566</v>
      </c>
      <c r="HG115" s="681">
        <v>151</v>
      </c>
      <c r="HH115" s="714">
        <v>119.1</v>
      </c>
      <c r="HI115" s="714">
        <v>46.1</v>
      </c>
      <c r="HJ115" s="753">
        <v>0.291</v>
      </c>
      <c r="HK115" s="681"/>
      <c r="HL115" s="685">
        <v>1.94</v>
      </c>
      <c r="HM115" s="747">
        <v>4.13</v>
      </c>
      <c r="HN115" s="729" t="s">
        <v>1018</v>
      </c>
      <c r="HO115" s="729" t="s">
        <v>1019</v>
      </c>
      <c r="HP115" s="714">
        <v>-0.6</v>
      </c>
      <c r="HQ115" s="753">
        <v>0.939</v>
      </c>
      <c r="HR115" s="753">
        <v>0.98</v>
      </c>
      <c r="HS115" s="753">
        <v>0.997</v>
      </c>
      <c r="HT115" s="753">
        <v>0.999</v>
      </c>
      <c r="HU115" s="753">
        <v>0.999</v>
      </c>
      <c r="HV115" s="753">
        <v>0.999</v>
      </c>
      <c r="HW115" s="753">
        <v>0.999</v>
      </c>
      <c r="HX115" s="753">
        <v>0.999</v>
      </c>
      <c r="HY115" s="753">
        <v>0.999</v>
      </c>
      <c r="HZ115" s="753">
        <v>0.999</v>
      </c>
      <c r="IA115" s="753">
        <v>0.999</v>
      </c>
      <c r="IB115" s="753">
        <v>0.998</v>
      </c>
      <c r="IC115" s="753">
        <v>0.998</v>
      </c>
      <c r="ID115" s="753">
        <v>0.998</v>
      </c>
      <c r="IE115" s="753">
        <v>0.998</v>
      </c>
      <c r="IF115" s="753">
        <v>0.998</v>
      </c>
      <c r="IG115" s="753">
        <v>0.998</v>
      </c>
      <c r="IH115" s="753">
        <v>0.997</v>
      </c>
      <c r="II115" s="753">
        <v>0.997</v>
      </c>
      <c r="IJ115" s="753">
        <v>0.995</v>
      </c>
      <c r="IK115" s="753">
        <v>0.989</v>
      </c>
      <c r="IL115" s="753">
        <v>0.981</v>
      </c>
      <c r="IM115" s="753">
        <v>0.967</v>
      </c>
      <c r="IN115" s="753">
        <v>0.935</v>
      </c>
      <c r="IO115" s="753">
        <v>0.906</v>
      </c>
      <c r="IP115" s="753">
        <v>0.848</v>
      </c>
      <c r="IQ115" s="753">
        <v>0.744</v>
      </c>
      <c r="IR115" s="753">
        <v>0.582</v>
      </c>
      <c r="IS115" s="753">
        <v>0.329</v>
      </c>
      <c r="IT115" s="753"/>
      <c r="IU115" s="753"/>
      <c r="IV115" s="753"/>
      <c r="IW115" s="753"/>
      <c r="IX115" s="753"/>
      <c r="IY115" s="753"/>
      <c r="IZ115" s="753"/>
      <c r="JA115" s="754">
        <v>0.882</v>
      </c>
      <c r="JB115" s="754">
        <v>0.96</v>
      </c>
      <c r="JC115" s="754">
        <v>0.994</v>
      </c>
      <c r="JD115" s="754">
        <v>0.998</v>
      </c>
      <c r="JE115" s="754">
        <v>0.998</v>
      </c>
      <c r="JF115" s="754">
        <v>0.998</v>
      </c>
      <c r="JG115" s="754">
        <v>0.998</v>
      </c>
      <c r="JH115" s="754">
        <v>0.998</v>
      </c>
      <c r="JI115" s="754">
        <v>0.998</v>
      </c>
      <c r="JJ115" s="754">
        <v>0.998</v>
      </c>
      <c r="JK115" s="754">
        <v>0.998</v>
      </c>
      <c r="JL115" s="754">
        <v>0.996</v>
      </c>
      <c r="JM115" s="754">
        <v>0.996</v>
      </c>
      <c r="JN115" s="754">
        <v>0.996</v>
      </c>
      <c r="JO115" s="754">
        <v>0.996</v>
      </c>
      <c r="JP115" s="754">
        <v>0.996</v>
      </c>
      <c r="JQ115" s="754">
        <v>0.996</v>
      </c>
      <c r="JR115" s="754">
        <v>0.994</v>
      </c>
      <c r="JS115" s="754">
        <v>0.994</v>
      </c>
      <c r="JT115" s="754">
        <v>0.99</v>
      </c>
      <c r="JU115" s="754">
        <v>0.978</v>
      </c>
      <c r="JV115" s="754">
        <v>0.962</v>
      </c>
      <c r="JW115" s="754">
        <v>0.935</v>
      </c>
      <c r="JX115" s="754">
        <v>0.874</v>
      </c>
      <c r="JY115" s="754">
        <v>0.821</v>
      </c>
      <c r="JZ115" s="754">
        <v>0.719</v>
      </c>
      <c r="KA115" s="754">
        <v>0.554</v>
      </c>
      <c r="KB115" s="754">
        <v>0.339</v>
      </c>
      <c r="KC115" s="754">
        <v>0.108</v>
      </c>
      <c r="KD115" s="754"/>
      <c r="KE115" s="754"/>
      <c r="KF115" s="754"/>
      <c r="KG115" s="754"/>
      <c r="KH115" s="754"/>
      <c r="KI115" s="754"/>
      <c r="KJ115" s="754"/>
      <c r="KK115" s="765" t="s">
        <v>281</v>
      </c>
      <c r="KL115" s="738">
        <v>106</v>
      </c>
      <c r="KM115" s="738">
        <v>438</v>
      </c>
      <c r="KN115" s="646" t="s">
        <v>617</v>
      </c>
      <c r="KO115" s="646" t="s">
        <v>1017</v>
      </c>
      <c r="KP115" s="680">
        <v>782371</v>
      </c>
      <c r="KQ115" s="766"/>
      <c r="KR115" s="750"/>
      <c r="KS115" s="769" t="s">
        <v>1017</v>
      </c>
      <c r="KT115" s="770" t="s">
        <v>1020</v>
      </c>
      <c r="KU115" s="766"/>
      <c r="KV115" s="750"/>
      <c r="KW115" s="771"/>
      <c r="KX115" s="750"/>
      <c r="KY115" s="769"/>
      <c r="KZ115" s="770"/>
    </row>
    <row r="116" s="628" customFormat="1" customHeight="1" spans="1:312">
      <c r="A116" s="682" t="s">
        <v>277</v>
      </c>
      <c r="B116" s="683">
        <v>112</v>
      </c>
      <c r="C116" s="689" t="s">
        <v>1021</v>
      </c>
      <c r="D116" s="680">
        <v>788475</v>
      </c>
      <c r="E116" s="685">
        <v>47.49</v>
      </c>
      <c r="F116" s="685">
        <v>47.26</v>
      </c>
      <c r="G116" s="688">
        <v>0.016592</v>
      </c>
      <c r="H116" s="686">
        <v>0.016758</v>
      </c>
      <c r="I116" s="696">
        <v>1.74466</v>
      </c>
      <c r="J116" s="696">
        <v>1.75204</v>
      </c>
      <c r="K116" s="696">
        <v>1.76016</v>
      </c>
      <c r="L116" s="696">
        <v>1.7675</v>
      </c>
      <c r="M116" s="696">
        <v>1.76885</v>
      </c>
      <c r="N116" s="696">
        <v>1.76996</v>
      </c>
      <c r="O116" s="696">
        <v>1.77435</v>
      </c>
      <c r="P116" s="696">
        <v>1.77738</v>
      </c>
      <c r="Q116" s="697">
        <v>1.78018</v>
      </c>
      <c r="R116" s="697">
        <v>1.783</v>
      </c>
      <c r="S116" s="697">
        <v>1.78379</v>
      </c>
      <c r="T116" s="701">
        <v>1.78453</v>
      </c>
      <c r="U116" s="697">
        <v>1.78785</v>
      </c>
      <c r="V116" s="697">
        <v>1.788</v>
      </c>
      <c r="W116" s="697">
        <v>1.79195</v>
      </c>
      <c r="X116" s="697">
        <v>1.79959</v>
      </c>
      <c r="Y116" s="697">
        <v>1.80055</v>
      </c>
      <c r="Z116" s="697">
        <v>1.80878</v>
      </c>
      <c r="AA116" s="697">
        <v>1.81649</v>
      </c>
      <c r="AB116" s="697">
        <v>1.82981</v>
      </c>
      <c r="AC116" s="704">
        <v>3.12424071</v>
      </c>
      <c r="AD116" s="705">
        <v>-0.0157101635</v>
      </c>
      <c r="AE116" s="705">
        <v>0.024483729</v>
      </c>
      <c r="AF116" s="705">
        <v>0.00102164022</v>
      </c>
      <c r="AG116" s="705">
        <v>-7.05302601e-5</v>
      </c>
      <c r="AH116" s="705">
        <v>4.58907154e-6</v>
      </c>
      <c r="AI116" s="709">
        <v>0.3014</v>
      </c>
      <c r="AJ116" s="709">
        <v>0.2381</v>
      </c>
      <c r="AK116" s="709">
        <v>0.5539</v>
      </c>
      <c r="AL116" s="709">
        <v>0.2512</v>
      </c>
      <c r="AM116" s="709">
        <v>0.2357</v>
      </c>
      <c r="AN116" s="709">
        <v>0.4911</v>
      </c>
      <c r="AO116" s="709">
        <v>-0.0035</v>
      </c>
      <c r="AP116" s="709">
        <v>-0.0108</v>
      </c>
      <c r="AQ116" s="709">
        <v>0.0157</v>
      </c>
      <c r="AR116" s="709">
        <v>0.007</v>
      </c>
      <c r="AS116" s="714">
        <v>3.8</v>
      </c>
      <c r="AT116" s="714">
        <v>3.9</v>
      </c>
      <c r="AU116" s="714">
        <v>3.9</v>
      </c>
      <c r="AV116" s="714">
        <v>3.9</v>
      </c>
      <c r="AW116" s="714">
        <v>4</v>
      </c>
      <c r="AX116" s="714">
        <v>4</v>
      </c>
      <c r="AY116" s="714">
        <v>4.2</v>
      </c>
      <c r="AZ116" s="714">
        <v>4.3</v>
      </c>
      <c r="BA116" s="714">
        <v>4.4</v>
      </c>
      <c r="BB116" s="714">
        <v>4.5</v>
      </c>
      <c r="BC116" s="714">
        <v>4.6</v>
      </c>
      <c r="BD116" s="714">
        <v>4.1</v>
      </c>
      <c r="BE116" s="714">
        <v>4.2</v>
      </c>
      <c r="BF116" s="714">
        <v>4.3</v>
      </c>
      <c r="BG116" s="714">
        <v>4.3</v>
      </c>
      <c r="BH116" s="714">
        <v>4.3</v>
      </c>
      <c r="BI116" s="714">
        <v>4.5</v>
      </c>
      <c r="BJ116" s="714">
        <v>4.6</v>
      </c>
      <c r="BK116" s="714">
        <v>4.7</v>
      </c>
      <c r="BL116" s="714">
        <v>4.8</v>
      </c>
      <c r="BM116" s="714">
        <v>4.9</v>
      </c>
      <c r="BN116" s="714">
        <v>5</v>
      </c>
      <c r="BO116" s="714">
        <v>4.5</v>
      </c>
      <c r="BP116" s="714">
        <v>4.5</v>
      </c>
      <c r="BQ116" s="714">
        <v>4.5</v>
      </c>
      <c r="BR116" s="714">
        <v>4.5</v>
      </c>
      <c r="BS116" s="714">
        <v>4.5</v>
      </c>
      <c r="BT116" s="714">
        <v>4.7</v>
      </c>
      <c r="BU116" s="714">
        <v>4.8</v>
      </c>
      <c r="BV116" s="714">
        <v>5</v>
      </c>
      <c r="BW116" s="714">
        <v>5.1</v>
      </c>
      <c r="BX116" s="714">
        <v>5.2</v>
      </c>
      <c r="BY116" s="714">
        <v>5.3</v>
      </c>
      <c r="BZ116" s="714">
        <v>4.5</v>
      </c>
      <c r="CA116" s="714">
        <v>4.5</v>
      </c>
      <c r="CB116" s="714">
        <v>4.5</v>
      </c>
      <c r="CC116" s="714">
        <v>4.5</v>
      </c>
      <c r="CD116" s="714">
        <v>4.6</v>
      </c>
      <c r="CE116" s="714">
        <v>4.7</v>
      </c>
      <c r="CF116" s="714">
        <v>4.8</v>
      </c>
      <c r="CG116" s="714">
        <v>5</v>
      </c>
      <c r="CH116" s="714">
        <v>5.1</v>
      </c>
      <c r="CI116" s="714">
        <v>5.2</v>
      </c>
      <c r="CJ116" s="714">
        <v>5.3</v>
      </c>
      <c r="CK116" s="714">
        <v>4.5</v>
      </c>
      <c r="CL116" s="715">
        <v>4.6</v>
      </c>
      <c r="CM116" s="715">
        <v>4.6</v>
      </c>
      <c r="CN116" s="715">
        <v>4.6</v>
      </c>
      <c r="CO116" s="715">
        <v>4.7</v>
      </c>
      <c r="CP116" s="715">
        <v>4.8</v>
      </c>
      <c r="CQ116" s="715">
        <v>5</v>
      </c>
      <c r="CR116" s="714">
        <v>5.2</v>
      </c>
      <c r="CS116" s="714">
        <v>5.3</v>
      </c>
      <c r="CT116" s="714">
        <v>5.4</v>
      </c>
      <c r="CU116" s="714">
        <v>5.5</v>
      </c>
      <c r="CV116" s="714">
        <v>4.8</v>
      </c>
      <c r="CW116" s="715">
        <v>4.8</v>
      </c>
      <c r="CX116" s="715">
        <v>4.8</v>
      </c>
      <c r="CY116" s="715">
        <v>4.8</v>
      </c>
      <c r="CZ116" s="715">
        <v>5</v>
      </c>
      <c r="DA116" s="715">
        <v>5</v>
      </c>
      <c r="DB116" s="715">
        <v>5.2</v>
      </c>
      <c r="DC116" s="714">
        <v>5.4</v>
      </c>
      <c r="DD116" s="714">
        <v>5.5</v>
      </c>
      <c r="DE116" s="714">
        <v>5.6</v>
      </c>
      <c r="DF116" s="714">
        <v>5.7</v>
      </c>
      <c r="DG116" s="714">
        <v>5.1</v>
      </c>
      <c r="DH116" s="715">
        <v>5.1</v>
      </c>
      <c r="DI116" s="715">
        <v>5.1</v>
      </c>
      <c r="DJ116" s="715">
        <v>5.2</v>
      </c>
      <c r="DK116" s="715">
        <v>5.2</v>
      </c>
      <c r="DL116" s="715">
        <v>5.3</v>
      </c>
      <c r="DM116" s="715">
        <v>5.5</v>
      </c>
      <c r="DN116" s="714">
        <v>5.6</v>
      </c>
      <c r="DO116" s="714">
        <v>5.7</v>
      </c>
      <c r="DP116" s="714">
        <v>5.8</v>
      </c>
      <c r="DQ116" s="714">
        <v>5.9</v>
      </c>
      <c r="DR116" s="714">
        <v>5.5</v>
      </c>
      <c r="DS116" s="715">
        <v>5.6</v>
      </c>
      <c r="DT116" s="715">
        <v>5.7</v>
      </c>
      <c r="DU116" s="715">
        <v>5.7</v>
      </c>
      <c r="DV116" s="715">
        <v>5.8</v>
      </c>
      <c r="DW116" s="715">
        <v>5.9</v>
      </c>
      <c r="DX116" s="715">
        <v>6.1</v>
      </c>
      <c r="DY116" s="714">
        <v>6.4</v>
      </c>
      <c r="DZ116" s="714">
        <v>6.5</v>
      </c>
      <c r="EA116" s="714">
        <v>6.6</v>
      </c>
      <c r="EB116" s="714">
        <v>6.7</v>
      </c>
      <c r="EC116" s="714">
        <v>5.6</v>
      </c>
      <c r="ED116" s="715">
        <v>5.7</v>
      </c>
      <c r="EE116" s="715">
        <v>5.7</v>
      </c>
      <c r="EF116" s="715">
        <v>5.8</v>
      </c>
      <c r="EG116" s="715">
        <v>5.8</v>
      </c>
      <c r="EH116" s="715">
        <v>6</v>
      </c>
      <c r="EI116" s="715">
        <v>6.2</v>
      </c>
      <c r="EJ116" s="714">
        <v>6.4</v>
      </c>
      <c r="EK116" s="714">
        <v>6.5</v>
      </c>
      <c r="EL116" s="714">
        <v>6.6</v>
      </c>
      <c r="EM116" s="714">
        <v>6.8</v>
      </c>
      <c r="EN116" s="714">
        <v>6</v>
      </c>
      <c r="EO116" s="715">
        <v>6.1</v>
      </c>
      <c r="EP116" s="715">
        <v>6.2</v>
      </c>
      <c r="EQ116" s="715">
        <v>6.2</v>
      </c>
      <c r="ER116" s="715">
        <v>6.3</v>
      </c>
      <c r="ES116" s="715">
        <v>6.5</v>
      </c>
      <c r="ET116" s="715">
        <v>6.7</v>
      </c>
      <c r="EU116" s="714">
        <v>6.9</v>
      </c>
      <c r="EV116" s="714">
        <v>7.1</v>
      </c>
      <c r="EW116" s="714">
        <v>7.3</v>
      </c>
      <c r="EX116" s="714">
        <v>7.4</v>
      </c>
      <c r="EY116" s="714">
        <v>1.6</v>
      </c>
      <c r="EZ116" s="715">
        <v>2.2</v>
      </c>
      <c r="FA116" s="715">
        <v>2.5</v>
      </c>
      <c r="FB116" s="715">
        <v>2.8</v>
      </c>
      <c r="FC116" s="715">
        <v>3.1</v>
      </c>
      <c r="FD116" s="715">
        <v>3.4</v>
      </c>
      <c r="FE116" s="715">
        <v>3.8</v>
      </c>
      <c r="FF116" s="714">
        <v>4.1</v>
      </c>
      <c r="FG116" s="714">
        <v>4.3</v>
      </c>
      <c r="FH116" s="714">
        <v>4.5</v>
      </c>
      <c r="FI116" s="714">
        <v>4.7</v>
      </c>
      <c r="FJ116" s="723">
        <v>3.3e-6</v>
      </c>
      <c r="FK116" s="723">
        <v>1.21e-8</v>
      </c>
      <c r="FL116" s="723">
        <v>-1.61e-11</v>
      </c>
      <c r="FM116" s="723">
        <v>5.85e-7</v>
      </c>
      <c r="FN116" s="723">
        <v>4.5e-10</v>
      </c>
      <c r="FO116" s="723">
        <v>0.221</v>
      </c>
      <c r="FP116" s="729">
        <v>1</v>
      </c>
      <c r="FQ116" s="729">
        <v>3</v>
      </c>
      <c r="FR116" s="729">
        <v>1</v>
      </c>
      <c r="FS116" s="729">
        <v>3</v>
      </c>
      <c r="FT116" s="729">
        <v>1</v>
      </c>
      <c r="FU116" s="729">
        <v>1</v>
      </c>
      <c r="FV116" s="681">
        <v>1</v>
      </c>
      <c r="FW116" s="729"/>
      <c r="FX116" s="729"/>
      <c r="FY116" s="729"/>
      <c r="FZ116" s="746">
        <v>688</v>
      </c>
      <c r="GA116" s="746">
        <v>709</v>
      </c>
      <c r="GB116" s="681">
        <v>617</v>
      </c>
      <c r="GC116" s="681">
        <v>645</v>
      </c>
      <c r="GD116" s="747">
        <v>1</v>
      </c>
      <c r="GE116" s="729"/>
      <c r="GF116" s="681">
        <v>59</v>
      </c>
      <c r="GG116" s="681">
        <v>73</v>
      </c>
      <c r="GH116" s="681">
        <v>55</v>
      </c>
      <c r="GI116" s="681">
        <v>57</v>
      </c>
      <c r="GJ116" s="681">
        <v>59</v>
      </c>
      <c r="GK116" s="681">
        <v>60</v>
      </c>
      <c r="GL116" s="681">
        <v>61</v>
      </c>
      <c r="GM116" s="681">
        <v>61</v>
      </c>
      <c r="GN116" s="681">
        <v>62</v>
      </c>
      <c r="GO116" s="681">
        <v>63</v>
      </c>
      <c r="GP116" s="681">
        <v>63</v>
      </c>
      <c r="GQ116" s="681">
        <v>64</v>
      </c>
      <c r="GR116" s="681">
        <v>64</v>
      </c>
      <c r="GS116" s="681">
        <v>65</v>
      </c>
      <c r="GT116" s="681">
        <v>65</v>
      </c>
      <c r="GU116" s="681">
        <v>66</v>
      </c>
      <c r="GV116" s="681">
        <v>67</v>
      </c>
      <c r="GW116" s="681">
        <v>68</v>
      </c>
      <c r="GX116" s="681">
        <v>69</v>
      </c>
      <c r="GY116" s="681">
        <v>69</v>
      </c>
      <c r="GZ116" s="681">
        <v>70</v>
      </c>
      <c r="HA116" s="681">
        <v>71</v>
      </c>
      <c r="HB116" s="681">
        <v>72</v>
      </c>
      <c r="HC116" s="681"/>
      <c r="HD116" s="750">
        <v>155</v>
      </c>
      <c r="HE116" s="681"/>
      <c r="HF116" s="681">
        <v>718</v>
      </c>
      <c r="HG116" s="681">
        <v>97</v>
      </c>
      <c r="HH116" s="714">
        <v>123.4</v>
      </c>
      <c r="HI116" s="714">
        <v>46.9</v>
      </c>
      <c r="HJ116" s="753">
        <v>0.315</v>
      </c>
      <c r="HK116" s="681">
        <v>90</v>
      </c>
      <c r="HL116" s="685">
        <v>1.35</v>
      </c>
      <c r="HM116" s="747">
        <v>4.28</v>
      </c>
      <c r="HN116" s="729" t="s">
        <v>1022</v>
      </c>
      <c r="HO116" s="729" t="s">
        <v>1023</v>
      </c>
      <c r="HP116" s="714">
        <v>-3.1</v>
      </c>
      <c r="HQ116" s="753">
        <v>0.787</v>
      </c>
      <c r="HR116" s="753">
        <v>0.927</v>
      </c>
      <c r="HS116" s="753">
        <v>0.976</v>
      </c>
      <c r="HT116" s="753">
        <v>0.991</v>
      </c>
      <c r="HU116" s="753">
        <v>0.999</v>
      </c>
      <c r="HV116" s="753">
        <v>0.999</v>
      </c>
      <c r="HW116" s="753">
        <v>0.999</v>
      </c>
      <c r="HX116" s="753">
        <v>0.999</v>
      </c>
      <c r="HY116" s="753">
        <v>0.999</v>
      </c>
      <c r="HZ116" s="753">
        <v>0.999</v>
      </c>
      <c r="IA116" s="753">
        <v>0.999</v>
      </c>
      <c r="IB116" s="753">
        <v>0.999</v>
      </c>
      <c r="IC116" s="753">
        <v>0.999</v>
      </c>
      <c r="ID116" s="753">
        <v>0.999</v>
      </c>
      <c r="IE116" s="753">
        <v>0.999</v>
      </c>
      <c r="IF116" s="753">
        <v>0.999</v>
      </c>
      <c r="IG116" s="753">
        <v>0.999</v>
      </c>
      <c r="IH116" s="753">
        <v>0.999</v>
      </c>
      <c r="II116" s="753">
        <v>0.999</v>
      </c>
      <c r="IJ116" s="753">
        <v>0.999</v>
      </c>
      <c r="IK116" s="753">
        <v>0.999</v>
      </c>
      <c r="IL116" s="753">
        <v>0.997</v>
      </c>
      <c r="IM116" s="753">
        <v>0.995</v>
      </c>
      <c r="IN116" s="753">
        <v>0.99</v>
      </c>
      <c r="IO116" s="753">
        <v>0.982</v>
      </c>
      <c r="IP116" s="753">
        <v>0.973</v>
      </c>
      <c r="IQ116" s="753">
        <v>0.958</v>
      </c>
      <c r="IR116" s="753">
        <v>0.936</v>
      </c>
      <c r="IS116" s="753">
        <v>0.892</v>
      </c>
      <c r="IT116" s="753">
        <v>0.818</v>
      </c>
      <c r="IU116" s="753">
        <v>0.678</v>
      </c>
      <c r="IV116" s="753">
        <v>0.413</v>
      </c>
      <c r="IW116" s="753">
        <v>0.091</v>
      </c>
      <c r="IX116" s="753"/>
      <c r="IY116" s="753"/>
      <c r="IZ116" s="753"/>
      <c r="JA116" s="754">
        <v>0.62</v>
      </c>
      <c r="JB116" s="754">
        <v>0.859</v>
      </c>
      <c r="JC116" s="754">
        <v>0.953</v>
      </c>
      <c r="JD116" s="754">
        <v>0.982</v>
      </c>
      <c r="JE116" s="754">
        <v>0.998</v>
      </c>
      <c r="JF116" s="754">
        <v>0.998</v>
      </c>
      <c r="JG116" s="754">
        <v>0.998</v>
      </c>
      <c r="JH116" s="754">
        <v>0.998</v>
      </c>
      <c r="JI116" s="754">
        <v>0.998</v>
      </c>
      <c r="JJ116" s="754">
        <v>0.998</v>
      </c>
      <c r="JK116" s="754">
        <v>0.998</v>
      </c>
      <c r="JL116" s="754">
        <v>0.998</v>
      </c>
      <c r="JM116" s="754">
        <v>0.998</v>
      </c>
      <c r="JN116" s="754">
        <v>0.998</v>
      </c>
      <c r="JO116" s="754">
        <v>0.998</v>
      </c>
      <c r="JP116" s="754">
        <v>0.998</v>
      </c>
      <c r="JQ116" s="754">
        <v>0.998</v>
      </c>
      <c r="JR116" s="754">
        <v>0.998</v>
      </c>
      <c r="JS116" s="754">
        <v>0.998</v>
      </c>
      <c r="JT116" s="754">
        <v>0.998</v>
      </c>
      <c r="JU116" s="754">
        <v>0.998</v>
      </c>
      <c r="JV116" s="754">
        <v>0.994</v>
      </c>
      <c r="JW116" s="754">
        <v>0.99</v>
      </c>
      <c r="JX116" s="754">
        <v>0.982</v>
      </c>
      <c r="JY116" s="754">
        <v>0.972</v>
      </c>
      <c r="JZ116" s="754">
        <v>0.955</v>
      </c>
      <c r="KA116" s="754">
        <v>0.927</v>
      </c>
      <c r="KB116" s="754">
        <v>0.882</v>
      </c>
      <c r="KC116" s="754">
        <v>0.803</v>
      </c>
      <c r="KD116" s="754">
        <v>0.677</v>
      </c>
      <c r="KE116" s="754">
        <v>0.468</v>
      </c>
      <c r="KF116" s="754">
        <v>0.178</v>
      </c>
      <c r="KG116" s="754">
        <v>0.012</v>
      </c>
      <c r="KH116" s="754"/>
      <c r="KI116" s="754"/>
      <c r="KJ116" s="754"/>
      <c r="KK116" s="765" t="s">
        <v>281</v>
      </c>
      <c r="KL116" s="738">
        <v>45</v>
      </c>
      <c r="KM116" s="738">
        <v>193</v>
      </c>
      <c r="KN116" s="646" t="s">
        <v>282</v>
      </c>
      <c r="KO116" s="646" t="s">
        <v>1021</v>
      </c>
      <c r="KP116" s="680">
        <v>788475</v>
      </c>
      <c r="KQ116" s="766" t="s">
        <v>1024</v>
      </c>
      <c r="KR116" s="750" t="s">
        <v>1025</v>
      </c>
      <c r="KS116" s="769" t="s">
        <v>1026</v>
      </c>
      <c r="KT116" s="770" t="s">
        <v>1027</v>
      </c>
      <c r="KU116" s="766" t="s">
        <v>1028</v>
      </c>
      <c r="KV116" s="750">
        <v>788475</v>
      </c>
      <c r="KW116" s="771" t="s">
        <v>1029</v>
      </c>
      <c r="KX116" s="750" t="s">
        <v>1025</v>
      </c>
      <c r="KY116" s="769" t="s">
        <v>1030</v>
      </c>
      <c r="KZ116" s="770" t="s">
        <v>1027</v>
      </c>
    </row>
    <row r="117" s="628" customFormat="1" customHeight="1" spans="1:312">
      <c r="A117" s="682" t="s">
        <v>277</v>
      </c>
      <c r="B117" s="683">
        <v>113</v>
      </c>
      <c r="C117" s="689" t="s">
        <v>1031</v>
      </c>
      <c r="D117" s="680">
        <v>773496</v>
      </c>
      <c r="E117" s="685">
        <v>49.6</v>
      </c>
      <c r="F117" s="685">
        <v>49.36</v>
      </c>
      <c r="G117" s="688">
        <v>0.015575</v>
      </c>
      <c r="H117" s="686">
        <v>0.015725</v>
      </c>
      <c r="I117" s="696"/>
      <c r="J117" s="696"/>
      <c r="K117" s="696"/>
      <c r="L117" s="696"/>
      <c r="M117" s="696">
        <v>1.75428</v>
      </c>
      <c r="N117" s="696">
        <v>1.75538</v>
      </c>
      <c r="O117" s="696">
        <v>1.7596</v>
      </c>
      <c r="P117" s="696">
        <v>1.76249</v>
      </c>
      <c r="Q117" s="697">
        <v>1.76514</v>
      </c>
      <c r="R117" s="697">
        <v>1.7678</v>
      </c>
      <c r="S117" s="697">
        <v>1.76854</v>
      </c>
      <c r="T117" s="701">
        <v>1.76924</v>
      </c>
      <c r="U117" s="697">
        <v>1.77236</v>
      </c>
      <c r="V117" s="697">
        <v>1.7725</v>
      </c>
      <c r="W117" s="697">
        <v>1.77621</v>
      </c>
      <c r="X117" s="697">
        <v>1.78337</v>
      </c>
      <c r="Y117" s="697">
        <v>1.78427</v>
      </c>
      <c r="Z117" s="697">
        <v>1.79196</v>
      </c>
      <c r="AA117" s="697">
        <v>1.79913</v>
      </c>
      <c r="AB117" s="697">
        <v>1.81144</v>
      </c>
      <c r="AC117" s="704">
        <v>3.07486227</v>
      </c>
      <c r="AD117" s="705">
        <v>-0.0160709812</v>
      </c>
      <c r="AE117" s="705">
        <v>0.0228883031</v>
      </c>
      <c r="AF117" s="705">
        <v>0.000828871954</v>
      </c>
      <c r="AG117" s="705">
        <v>-4.04256219e-5</v>
      </c>
      <c r="AH117" s="705">
        <v>2.26879435e-6</v>
      </c>
      <c r="AI117" s="709">
        <v>0.3018</v>
      </c>
      <c r="AJ117" s="709">
        <v>0.2382</v>
      </c>
      <c r="AK117" s="709">
        <v>0.5515</v>
      </c>
      <c r="AL117" s="709">
        <v>0.2518</v>
      </c>
      <c r="AM117" s="709">
        <v>0.2359</v>
      </c>
      <c r="AN117" s="709">
        <v>0.489</v>
      </c>
      <c r="AO117" s="709">
        <v>-0.0031</v>
      </c>
      <c r="AP117" s="709">
        <v>-0.0097</v>
      </c>
      <c r="AQ117" s="709">
        <v>0.017</v>
      </c>
      <c r="AR117" s="709">
        <v>0.007</v>
      </c>
      <c r="AS117" s="714">
        <v>2.1</v>
      </c>
      <c r="AT117" s="714">
        <v>2.2</v>
      </c>
      <c r="AU117" s="714">
        <v>2.3</v>
      </c>
      <c r="AV117" s="714">
        <v>2.3</v>
      </c>
      <c r="AW117" s="714">
        <v>2.3</v>
      </c>
      <c r="AX117" s="714">
        <v>2.3</v>
      </c>
      <c r="AY117" s="714">
        <v>2.4</v>
      </c>
      <c r="AZ117" s="714">
        <v>2.4</v>
      </c>
      <c r="BA117" s="714">
        <v>2.4</v>
      </c>
      <c r="BB117" s="714">
        <v>2.5</v>
      </c>
      <c r="BC117" s="714">
        <v>2.6</v>
      </c>
      <c r="BD117" s="714">
        <v>2.4</v>
      </c>
      <c r="BE117" s="714">
        <v>2.4</v>
      </c>
      <c r="BF117" s="714">
        <v>2.5</v>
      </c>
      <c r="BG117" s="714">
        <v>2.5</v>
      </c>
      <c r="BH117" s="714">
        <v>2.6</v>
      </c>
      <c r="BI117" s="714">
        <v>2.7</v>
      </c>
      <c r="BJ117" s="714">
        <v>2.7</v>
      </c>
      <c r="BK117" s="714">
        <v>2.7</v>
      </c>
      <c r="BL117" s="714">
        <v>2.9</v>
      </c>
      <c r="BM117" s="714">
        <v>3</v>
      </c>
      <c r="BN117" s="714">
        <v>3</v>
      </c>
      <c r="BO117" s="714">
        <v>2.7</v>
      </c>
      <c r="BP117" s="714">
        <v>2.8</v>
      </c>
      <c r="BQ117" s="714">
        <v>2.8</v>
      </c>
      <c r="BR117" s="714">
        <v>2.9</v>
      </c>
      <c r="BS117" s="714">
        <v>2.9</v>
      </c>
      <c r="BT117" s="714">
        <v>3</v>
      </c>
      <c r="BU117" s="714">
        <v>3</v>
      </c>
      <c r="BV117" s="714">
        <v>3.1</v>
      </c>
      <c r="BW117" s="714">
        <v>3.2</v>
      </c>
      <c r="BX117" s="714">
        <v>3.3</v>
      </c>
      <c r="BY117" s="714">
        <v>3.3</v>
      </c>
      <c r="BZ117" s="714">
        <v>2.8</v>
      </c>
      <c r="CA117" s="714">
        <v>2.9</v>
      </c>
      <c r="CB117" s="714">
        <v>2.9</v>
      </c>
      <c r="CC117" s="714">
        <v>3</v>
      </c>
      <c r="CD117" s="714">
        <v>3</v>
      </c>
      <c r="CE117" s="714">
        <v>3.1</v>
      </c>
      <c r="CF117" s="714">
        <v>3.1</v>
      </c>
      <c r="CG117" s="714">
        <v>3.2</v>
      </c>
      <c r="CH117" s="714">
        <v>3.3</v>
      </c>
      <c r="CI117" s="714">
        <v>3.4</v>
      </c>
      <c r="CJ117" s="714">
        <v>3.5</v>
      </c>
      <c r="CK117" s="714">
        <v>2.8</v>
      </c>
      <c r="CL117" s="715">
        <v>3</v>
      </c>
      <c r="CM117" s="715">
        <v>3</v>
      </c>
      <c r="CN117" s="715">
        <v>3.1</v>
      </c>
      <c r="CO117" s="715">
        <v>3.1</v>
      </c>
      <c r="CP117" s="715">
        <v>3.2</v>
      </c>
      <c r="CQ117" s="715">
        <v>3.3</v>
      </c>
      <c r="CR117" s="714">
        <v>3.4</v>
      </c>
      <c r="CS117" s="714">
        <v>3.5</v>
      </c>
      <c r="CT117" s="714">
        <v>3.6</v>
      </c>
      <c r="CU117" s="714">
        <v>3.6</v>
      </c>
      <c r="CV117" s="714">
        <v>3</v>
      </c>
      <c r="CW117" s="715">
        <v>3.1</v>
      </c>
      <c r="CX117" s="715">
        <v>3.3</v>
      </c>
      <c r="CY117" s="715">
        <v>3.4</v>
      </c>
      <c r="CZ117" s="715">
        <v>3.4</v>
      </c>
      <c r="DA117" s="715">
        <v>3.6</v>
      </c>
      <c r="DB117" s="715">
        <v>3.7</v>
      </c>
      <c r="DC117" s="714">
        <v>3.8</v>
      </c>
      <c r="DD117" s="714">
        <v>3.8</v>
      </c>
      <c r="DE117" s="714">
        <v>3.9</v>
      </c>
      <c r="DF117" s="714">
        <v>4</v>
      </c>
      <c r="DG117" s="714">
        <v>3.3</v>
      </c>
      <c r="DH117" s="715">
        <v>3.4</v>
      </c>
      <c r="DI117" s="715">
        <v>3.6</v>
      </c>
      <c r="DJ117" s="715">
        <v>3.7</v>
      </c>
      <c r="DK117" s="715">
        <v>3.8</v>
      </c>
      <c r="DL117" s="715">
        <v>3.9</v>
      </c>
      <c r="DM117" s="715">
        <v>3.9</v>
      </c>
      <c r="DN117" s="714">
        <v>4</v>
      </c>
      <c r="DO117" s="714">
        <v>4.1</v>
      </c>
      <c r="DP117" s="714">
        <v>4.2</v>
      </c>
      <c r="DQ117" s="714">
        <v>4.2</v>
      </c>
      <c r="DR117" s="714">
        <v>3.5</v>
      </c>
      <c r="DS117" s="715">
        <v>3.7</v>
      </c>
      <c r="DT117" s="715">
        <v>3.9</v>
      </c>
      <c r="DU117" s="715">
        <v>3.9</v>
      </c>
      <c r="DV117" s="715">
        <v>4.1</v>
      </c>
      <c r="DW117" s="715">
        <v>4.1</v>
      </c>
      <c r="DX117" s="715">
        <v>4.1</v>
      </c>
      <c r="DY117" s="714">
        <v>4.2</v>
      </c>
      <c r="DZ117" s="714">
        <v>4.3</v>
      </c>
      <c r="EA117" s="714">
        <v>4.4</v>
      </c>
      <c r="EB117" s="714">
        <v>4.4</v>
      </c>
      <c r="EC117" s="714">
        <v>3.7</v>
      </c>
      <c r="ED117" s="715">
        <v>3.8</v>
      </c>
      <c r="EE117" s="715">
        <v>4</v>
      </c>
      <c r="EF117" s="715">
        <v>4.1</v>
      </c>
      <c r="EG117" s="715">
        <v>4.2</v>
      </c>
      <c r="EH117" s="715">
        <v>4.3</v>
      </c>
      <c r="EI117" s="715">
        <v>4.3</v>
      </c>
      <c r="EJ117" s="714">
        <v>4.4</v>
      </c>
      <c r="EK117" s="714">
        <v>4.5</v>
      </c>
      <c r="EL117" s="714">
        <v>4.6</v>
      </c>
      <c r="EM117" s="714">
        <v>4.6</v>
      </c>
      <c r="EN117" s="714">
        <v>4.2</v>
      </c>
      <c r="EO117" s="715">
        <v>4.4</v>
      </c>
      <c r="EP117" s="715">
        <v>4.6</v>
      </c>
      <c r="EQ117" s="715">
        <v>4.8</v>
      </c>
      <c r="ER117" s="715">
        <v>5</v>
      </c>
      <c r="ES117" s="715">
        <v>5</v>
      </c>
      <c r="ET117" s="715">
        <v>5.1</v>
      </c>
      <c r="EU117" s="714">
        <v>5.3</v>
      </c>
      <c r="EV117" s="714">
        <v>5.3</v>
      </c>
      <c r="EW117" s="714">
        <v>5.4</v>
      </c>
      <c r="EX117" s="714">
        <v>5.4</v>
      </c>
      <c r="EY117" s="714">
        <v>0</v>
      </c>
      <c r="EZ117" s="715">
        <v>0.6</v>
      </c>
      <c r="FA117" s="715">
        <v>1</v>
      </c>
      <c r="FB117" s="715">
        <v>1.3</v>
      </c>
      <c r="FC117" s="715">
        <v>1.6</v>
      </c>
      <c r="FD117" s="715">
        <v>1.8</v>
      </c>
      <c r="FE117" s="715">
        <v>2.1</v>
      </c>
      <c r="FF117" s="714">
        <v>2.3</v>
      </c>
      <c r="FG117" s="714">
        <v>2.5</v>
      </c>
      <c r="FH117" s="714">
        <v>2.7</v>
      </c>
      <c r="FI117" s="714">
        <v>2.8</v>
      </c>
      <c r="FJ117" s="723">
        <v>4.34e-7</v>
      </c>
      <c r="FK117" s="723">
        <v>1.2e-8</v>
      </c>
      <c r="FL117" s="723">
        <v>-2.81e-11</v>
      </c>
      <c r="FM117" s="723">
        <v>7.25e-7</v>
      </c>
      <c r="FN117" s="723">
        <v>5.31e-10</v>
      </c>
      <c r="FO117" s="723">
        <v>0.162</v>
      </c>
      <c r="FP117" s="729">
        <v>1</v>
      </c>
      <c r="FQ117" s="729">
        <v>1</v>
      </c>
      <c r="FR117" s="729">
        <v>1</v>
      </c>
      <c r="FS117" s="729">
        <v>3</v>
      </c>
      <c r="FT117" s="729">
        <v>1</v>
      </c>
      <c r="FU117" s="729">
        <v>1</v>
      </c>
      <c r="FV117" s="681">
        <v>1</v>
      </c>
      <c r="FW117" s="729"/>
      <c r="FX117" s="729"/>
      <c r="FY117" s="729"/>
      <c r="FZ117" s="746">
        <v>682</v>
      </c>
      <c r="GA117" s="746">
        <v>712</v>
      </c>
      <c r="GB117" s="681">
        <v>619</v>
      </c>
      <c r="GC117" s="681">
        <v>665</v>
      </c>
      <c r="GD117" s="747">
        <v>0.95</v>
      </c>
      <c r="GE117" s="729"/>
      <c r="GF117" s="681">
        <v>56</v>
      </c>
      <c r="GG117" s="681">
        <v>72</v>
      </c>
      <c r="GH117" s="681">
        <v>52</v>
      </c>
      <c r="GI117" s="681">
        <v>53</v>
      </c>
      <c r="GJ117" s="681">
        <v>54</v>
      </c>
      <c r="GK117" s="681">
        <v>54</v>
      </c>
      <c r="GL117" s="681">
        <v>54</v>
      </c>
      <c r="GM117" s="681">
        <v>55</v>
      </c>
      <c r="GN117" s="681">
        <v>57</v>
      </c>
      <c r="GO117" s="681">
        <v>57</v>
      </c>
      <c r="GP117" s="681">
        <v>57</v>
      </c>
      <c r="GQ117" s="681">
        <v>58</v>
      </c>
      <c r="GR117" s="681">
        <v>59</v>
      </c>
      <c r="GS117" s="681">
        <v>61</v>
      </c>
      <c r="GT117" s="681">
        <v>61</v>
      </c>
      <c r="GU117" s="681">
        <v>63</v>
      </c>
      <c r="GV117" s="681">
        <v>63</v>
      </c>
      <c r="GW117" s="681">
        <v>64</v>
      </c>
      <c r="GX117" s="681">
        <v>65</v>
      </c>
      <c r="GY117" s="681">
        <v>66</v>
      </c>
      <c r="GZ117" s="681">
        <v>66</v>
      </c>
      <c r="HA117" s="681">
        <v>67</v>
      </c>
      <c r="HB117" s="681">
        <v>70</v>
      </c>
      <c r="HC117" s="681"/>
      <c r="HD117" s="750">
        <v>150</v>
      </c>
      <c r="HE117" s="681"/>
      <c r="HF117" s="681">
        <v>713</v>
      </c>
      <c r="HG117" s="681">
        <v>62</v>
      </c>
      <c r="HH117" s="714">
        <v>117.3</v>
      </c>
      <c r="HI117" s="714">
        <v>46.9</v>
      </c>
      <c r="HJ117" s="753">
        <v>0.25</v>
      </c>
      <c r="HK117" s="681">
        <v>108</v>
      </c>
      <c r="HL117" s="685">
        <v>1.37</v>
      </c>
      <c r="HM117" s="747">
        <v>4.23</v>
      </c>
      <c r="HN117" s="729" t="s">
        <v>1032</v>
      </c>
      <c r="HO117" s="729" t="s">
        <v>1033</v>
      </c>
      <c r="HP117" s="714">
        <v>-1.2</v>
      </c>
      <c r="HQ117" s="753">
        <v>0.759</v>
      </c>
      <c r="HR117" s="753">
        <v>0.905</v>
      </c>
      <c r="HS117" s="753">
        <v>0.969</v>
      </c>
      <c r="HT117" s="753">
        <v>0.986</v>
      </c>
      <c r="HU117" s="753">
        <v>0.994</v>
      </c>
      <c r="HV117" s="753">
        <v>0.994</v>
      </c>
      <c r="HW117" s="753">
        <v>0.999</v>
      </c>
      <c r="HX117" s="753">
        <v>0.999</v>
      </c>
      <c r="HY117" s="753">
        <v>0.999</v>
      </c>
      <c r="HZ117" s="753">
        <v>0.999</v>
      </c>
      <c r="IA117" s="753">
        <v>0.999</v>
      </c>
      <c r="IB117" s="753">
        <v>0.999</v>
      </c>
      <c r="IC117" s="753">
        <v>0.999</v>
      </c>
      <c r="ID117" s="753">
        <v>0.999</v>
      </c>
      <c r="IE117" s="753">
        <v>0.999</v>
      </c>
      <c r="IF117" s="753">
        <v>0.999</v>
      </c>
      <c r="IG117" s="753">
        <v>0.999</v>
      </c>
      <c r="IH117" s="753">
        <v>0.999</v>
      </c>
      <c r="II117" s="753">
        <v>0.999</v>
      </c>
      <c r="IJ117" s="753">
        <v>0.999</v>
      </c>
      <c r="IK117" s="753">
        <v>0.998</v>
      </c>
      <c r="IL117" s="753">
        <v>0.997</v>
      </c>
      <c r="IM117" s="753">
        <v>0.995</v>
      </c>
      <c r="IN117" s="753">
        <v>0.99</v>
      </c>
      <c r="IO117" s="753">
        <v>0.984</v>
      </c>
      <c r="IP117" s="753">
        <v>0.974</v>
      </c>
      <c r="IQ117" s="753">
        <v>0.957</v>
      </c>
      <c r="IR117" s="753">
        <v>0.928</v>
      </c>
      <c r="IS117" s="753">
        <v>0.883</v>
      </c>
      <c r="IT117" s="753">
        <v>0.812</v>
      </c>
      <c r="IU117" s="753">
        <v>0.699</v>
      </c>
      <c r="IV117" s="753">
        <v>0.528</v>
      </c>
      <c r="IW117" s="753">
        <v>0.288</v>
      </c>
      <c r="IX117" s="753"/>
      <c r="IY117" s="753"/>
      <c r="IZ117" s="753"/>
      <c r="JA117" s="754">
        <v>0.576</v>
      </c>
      <c r="JB117" s="754">
        <v>0.818</v>
      </c>
      <c r="JC117" s="754">
        <v>0.939</v>
      </c>
      <c r="JD117" s="754">
        <v>0.972</v>
      </c>
      <c r="JE117" s="754">
        <v>0.987</v>
      </c>
      <c r="JF117" s="754">
        <v>0.987</v>
      </c>
      <c r="JG117" s="754">
        <v>0.998</v>
      </c>
      <c r="JH117" s="754">
        <v>0.998</v>
      </c>
      <c r="JI117" s="754">
        <v>0.998</v>
      </c>
      <c r="JJ117" s="754">
        <v>0.998</v>
      </c>
      <c r="JK117" s="754">
        <v>0.998</v>
      </c>
      <c r="JL117" s="754">
        <v>0.998</v>
      </c>
      <c r="JM117" s="754">
        <v>0.998</v>
      </c>
      <c r="JN117" s="754">
        <v>0.998</v>
      </c>
      <c r="JO117" s="754">
        <v>0.998</v>
      </c>
      <c r="JP117" s="754">
        <v>0.998</v>
      </c>
      <c r="JQ117" s="754">
        <v>0.998</v>
      </c>
      <c r="JR117" s="754">
        <v>0.998</v>
      </c>
      <c r="JS117" s="754">
        <v>0.998</v>
      </c>
      <c r="JT117" s="754">
        <v>0.998</v>
      </c>
      <c r="JU117" s="754">
        <v>0.996</v>
      </c>
      <c r="JV117" s="754">
        <v>0.994</v>
      </c>
      <c r="JW117" s="754">
        <v>0.99</v>
      </c>
      <c r="JX117" s="754">
        <v>0.98</v>
      </c>
      <c r="JY117" s="754">
        <v>0.968</v>
      </c>
      <c r="JZ117" s="754">
        <v>0.948</v>
      </c>
      <c r="KA117" s="754">
        <v>0.915</v>
      </c>
      <c r="KB117" s="754">
        <v>0.861</v>
      </c>
      <c r="KC117" s="754">
        <v>0.78</v>
      </c>
      <c r="KD117" s="754">
        <v>0.66</v>
      </c>
      <c r="KE117" s="754">
        <v>0.488</v>
      </c>
      <c r="KF117" s="754">
        <v>0.279</v>
      </c>
      <c r="KG117" s="754">
        <v>0.083</v>
      </c>
      <c r="KH117" s="754"/>
      <c r="KI117" s="754"/>
      <c r="KJ117" s="754"/>
      <c r="KK117" s="765" t="s">
        <v>281</v>
      </c>
      <c r="KL117" s="738">
        <v>32</v>
      </c>
      <c r="KM117" s="738">
        <v>135</v>
      </c>
      <c r="KN117" s="646" t="s">
        <v>282</v>
      </c>
      <c r="KO117" s="646" t="s">
        <v>1031</v>
      </c>
      <c r="KP117" s="680">
        <v>773496</v>
      </c>
      <c r="KQ117" s="766" t="s">
        <v>1034</v>
      </c>
      <c r="KR117" s="750" t="s">
        <v>682</v>
      </c>
      <c r="KS117" s="769" t="s">
        <v>1031</v>
      </c>
      <c r="KT117" s="770" t="s">
        <v>682</v>
      </c>
      <c r="KU117" s="766" t="s">
        <v>1035</v>
      </c>
      <c r="KV117" s="750">
        <v>773496</v>
      </c>
      <c r="KW117" s="771" t="s">
        <v>1036</v>
      </c>
      <c r="KX117" s="750" t="s">
        <v>682</v>
      </c>
      <c r="KY117" s="769" t="s">
        <v>1037</v>
      </c>
      <c r="KZ117" s="770" t="s">
        <v>682</v>
      </c>
    </row>
    <row r="118" s="628" customFormat="1" customHeight="1" spans="1:312">
      <c r="A118" s="682" t="s">
        <v>374</v>
      </c>
      <c r="B118" s="683">
        <v>114</v>
      </c>
      <c r="C118" s="689" t="s">
        <v>1038</v>
      </c>
      <c r="D118" s="680">
        <v>700481</v>
      </c>
      <c r="E118" s="685">
        <v>48.08</v>
      </c>
      <c r="F118" s="685">
        <v>47.8</v>
      </c>
      <c r="G118" s="688">
        <v>0.014559</v>
      </c>
      <c r="H118" s="686">
        <v>0.014717</v>
      </c>
      <c r="I118" s="696">
        <v>1.66549</v>
      </c>
      <c r="J118" s="696">
        <v>1.67085</v>
      </c>
      <c r="K118" s="696">
        <v>1.67686</v>
      </c>
      <c r="L118" s="696">
        <v>1.68256</v>
      </c>
      <c r="M118" s="696">
        <v>1.68365</v>
      </c>
      <c r="N118" s="696">
        <v>1.68456</v>
      </c>
      <c r="O118" s="696">
        <v>1.68821</v>
      </c>
      <c r="P118" s="696">
        <v>1.69079</v>
      </c>
      <c r="Q118" s="697">
        <v>1.6932</v>
      </c>
      <c r="R118" s="697">
        <v>1.69564</v>
      </c>
      <c r="S118" s="697">
        <v>1.69633</v>
      </c>
      <c r="T118" s="701">
        <v>1.69697</v>
      </c>
      <c r="U118" s="697">
        <v>1.69987</v>
      </c>
      <c r="V118" s="697">
        <v>1.7</v>
      </c>
      <c r="W118" s="697">
        <v>1.70346</v>
      </c>
      <c r="X118" s="697">
        <v>1.7102</v>
      </c>
      <c r="Y118" s="697">
        <v>1.71104</v>
      </c>
      <c r="Z118" s="697">
        <v>1.71838</v>
      </c>
      <c r="AA118" s="697">
        <v>1.7253</v>
      </c>
      <c r="AB118" s="697">
        <v>1.7374</v>
      </c>
      <c r="AC118" s="704">
        <v>2.82781336</v>
      </c>
      <c r="AD118" s="705">
        <v>-0.0106938171</v>
      </c>
      <c r="AE118" s="705">
        <v>0.0208610635</v>
      </c>
      <c r="AF118" s="705">
        <v>0.000726796327</v>
      </c>
      <c r="AG118" s="705">
        <v>-3.73066587e-5</v>
      </c>
      <c r="AH118" s="705">
        <v>3.28626126e-6</v>
      </c>
      <c r="AI118" s="709">
        <v>0.2995</v>
      </c>
      <c r="AJ118" s="709">
        <v>0.2377</v>
      </c>
      <c r="AK118" s="709">
        <v>0.5619</v>
      </c>
      <c r="AL118" s="709">
        <v>0.2494</v>
      </c>
      <c r="AM118" s="709">
        <v>0.2351</v>
      </c>
      <c r="AN118" s="709">
        <v>0.4987</v>
      </c>
      <c r="AO118" s="709">
        <v>-0.0007</v>
      </c>
      <c r="AP118" s="709">
        <v>-0.0019</v>
      </c>
      <c r="AQ118" s="709">
        <v>-0.0121</v>
      </c>
      <c r="AR118" s="709">
        <v>-0.0055</v>
      </c>
      <c r="AS118" s="714">
        <v>1.5</v>
      </c>
      <c r="AT118" s="714">
        <v>1.4</v>
      </c>
      <c r="AU118" s="714">
        <v>1.4</v>
      </c>
      <c r="AV118" s="714">
        <v>1.3</v>
      </c>
      <c r="AW118" s="714">
        <v>1.3</v>
      </c>
      <c r="AX118" s="714">
        <v>1.4</v>
      </c>
      <c r="AY118" s="714">
        <v>1.5</v>
      </c>
      <c r="AZ118" s="714">
        <v>1.6</v>
      </c>
      <c r="BA118" s="714">
        <v>1.7</v>
      </c>
      <c r="BB118" s="714">
        <v>1.8</v>
      </c>
      <c r="BC118" s="714">
        <v>1.8</v>
      </c>
      <c r="BD118" s="714">
        <v>1.7</v>
      </c>
      <c r="BE118" s="714">
        <v>1.7</v>
      </c>
      <c r="BF118" s="714">
        <v>1.6</v>
      </c>
      <c r="BG118" s="714">
        <v>1.7</v>
      </c>
      <c r="BH118" s="714">
        <v>1.7</v>
      </c>
      <c r="BI118" s="714">
        <v>1.7</v>
      </c>
      <c r="BJ118" s="714">
        <v>1.7</v>
      </c>
      <c r="BK118" s="714">
        <v>1.8</v>
      </c>
      <c r="BL118" s="714">
        <v>2</v>
      </c>
      <c r="BM118" s="714">
        <v>2.1</v>
      </c>
      <c r="BN118" s="714">
        <v>2.2</v>
      </c>
      <c r="BO118" s="714">
        <v>1.9</v>
      </c>
      <c r="BP118" s="714">
        <v>1.9</v>
      </c>
      <c r="BQ118" s="714">
        <v>1.9</v>
      </c>
      <c r="BR118" s="714">
        <v>1.9</v>
      </c>
      <c r="BS118" s="714">
        <v>2</v>
      </c>
      <c r="BT118" s="714">
        <v>2</v>
      </c>
      <c r="BU118" s="714">
        <v>2</v>
      </c>
      <c r="BV118" s="714">
        <v>2.1</v>
      </c>
      <c r="BW118" s="714">
        <v>2.2</v>
      </c>
      <c r="BX118" s="714">
        <v>2.3</v>
      </c>
      <c r="BY118" s="714">
        <v>2.5</v>
      </c>
      <c r="BZ118" s="714">
        <v>1.9</v>
      </c>
      <c r="CA118" s="714">
        <v>2</v>
      </c>
      <c r="CB118" s="714">
        <v>1.9</v>
      </c>
      <c r="CC118" s="714">
        <v>1.9</v>
      </c>
      <c r="CD118" s="714">
        <v>2</v>
      </c>
      <c r="CE118" s="714">
        <v>2</v>
      </c>
      <c r="CF118" s="714">
        <v>2</v>
      </c>
      <c r="CG118" s="714">
        <v>2.1</v>
      </c>
      <c r="CH118" s="714">
        <v>2.2</v>
      </c>
      <c r="CI118" s="714">
        <v>2.4</v>
      </c>
      <c r="CJ118" s="714">
        <v>2.6</v>
      </c>
      <c r="CK118" s="714">
        <v>2</v>
      </c>
      <c r="CL118" s="715">
        <v>1.9</v>
      </c>
      <c r="CM118" s="715">
        <v>1.9</v>
      </c>
      <c r="CN118" s="715">
        <v>1.9</v>
      </c>
      <c r="CO118" s="715">
        <v>2</v>
      </c>
      <c r="CP118" s="715">
        <v>2</v>
      </c>
      <c r="CQ118" s="715">
        <v>2.1</v>
      </c>
      <c r="CR118" s="714">
        <v>2.1</v>
      </c>
      <c r="CS118" s="714">
        <v>2.2</v>
      </c>
      <c r="CT118" s="714">
        <v>2.4</v>
      </c>
      <c r="CU118" s="714">
        <v>2.6</v>
      </c>
      <c r="CV118" s="714">
        <v>2.1</v>
      </c>
      <c r="CW118" s="715">
        <v>2.2</v>
      </c>
      <c r="CX118" s="715">
        <v>2.1</v>
      </c>
      <c r="CY118" s="715">
        <v>2.1</v>
      </c>
      <c r="CZ118" s="715">
        <v>2.2</v>
      </c>
      <c r="DA118" s="715">
        <v>2.2</v>
      </c>
      <c r="DB118" s="715">
        <v>2.4</v>
      </c>
      <c r="DC118" s="714">
        <v>2.5</v>
      </c>
      <c r="DD118" s="714">
        <v>2.6</v>
      </c>
      <c r="DE118" s="714">
        <v>2.7</v>
      </c>
      <c r="DF118" s="714">
        <v>2.8</v>
      </c>
      <c r="DG118" s="714">
        <v>2.4</v>
      </c>
      <c r="DH118" s="715">
        <v>2.4</v>
      </c>
      <c r="DI118" s="715">
        <v>2.4</v>
      </c>
      <c r="DJ118" s="715">
        <v>2.3</v>
      </c>
      <c r="DK118" s="715">
        <v>2.4</v>
      </c>
      <c r="DL118" s="715">
        <v>2.5</v>
      </c>
      <c r="DM118" s="715">
        <v>2.6</v>
      </c>
      <c r="DN118" s="714">
        <v>2.6</v>
      </c>
      <c r="DO118" s="714">
        <v>2.7</v>
      </c>
      <c r="DP118" s="714">
        <v>2.9</v>
      </c>
      <c r="DQ118" s="714">
        <v>3</v>
      </c>
      <c r="DR118" s="714">
        <v>2.8</v>
      </c>
      <c r="DS118" s="715">
        <v>2.8</v>
      </c>
      <c r="DT118" s="715">
        <v>2.8</v>
      </c>
      <c r="DU118" s="715">
        <v>2.8</v>
      </c>
      <c r="DV118" s="715">
        <v>2.9</v>
      </c>
      <c r="DW118" s="715">
        <v>3</v>
      </c>
      <c r="DX118" s="715">
        <v>3.2</v>
      </c>
      <c r="DY118" s="714">
        <v>3.3</v>
      </c>
      <c r="DZ118" s="714">
        <v>3.4</v>
      </c>
      <c r="EA118" s="714">
        <v>3.4</v>
      </c>
      <c r="EB118" s="714">
        <v>3.5</v>
      </c>
      <c r="EC118" s="714">
        <v>2.8</v>
      </c>
      <c r="ED118" s="715">
        <v>2.9</v>
      </c>
      <c r="EE118" s="715">
        <v>2.9</v>
      </c>
      <c r="EF118" s="715">
        <v>2.9</v>
      </c>
      <c r="EG118" s="715">
        <v>3</v>
      </c>
      <c r="EH118" s="715">
        <v>3.1</v>
      </c>
      <c r="EI118" s="715">
        <v>3.2</v>
      </c>
      <c r="EJ118" s="714">
        <v>3.4</v>
      </c>
      <c r="EK118" s="714">
        <v>3.5</v>
      </c>
      <c r="EL118" s="714">
        <v>3.5</v>
      </c>
      <c r="EM118" s="714">
        <v>3.6</v>
      </c>
      <c r="EN118" s="714">
        <v>3.5</v>
      </c>
      <c r="EO118" s="715">
        <v>3.4</v>
      </c>
      <c r="EP118" s="715">
        <v>3.4</v>
      </c>
      <c r="EQ118" s="715">
        <v>3.5</v>
      </c>
      <c r="ER118" s="715">
        <v>3.5</v>
      </c>
      <c r="ES118" s="715">
        <v>3.7</v>
      </c>
      <c r="ET118" s="715">
        <v>3.8</v>
      </c>
      <c r="EU118" s="714">
        <v>3.9</v>
      </c>
      <c r="EV118" s="714">
        <v>3.9</v>
      </c>
      <c r="EW118" s="714">
        <v>4</v>
      </c>
      <c r="EX118" s="714">
        <v>4.1</v>
      </c>
      <c r="EY118" s="714">
        <v>-0.7</v>
      </c>
      <c r="EZ118" s="715">
        <v>-0.4</v>
      </c>
      <c r="FA118" s="715">
        <v>-0.1</v>
      </c>
      <c r="FB118" s="715">
        <v>0.2</v>
      </c>
      <c r="FC118" s="715">
        <v>0.5</v>
      </c>
      <c r="FD118" s="715">
        <v>0.7</v>
      </c>
      <c r="FE118" s="715">
        <v>0.9</v>
      </c>
      <c r="FF118" s="714">
        <v>1.1</v>
      </c>
      <c r="FG118" s="714">
        <v>1.3</v>
      </c>
      <c r="FH118" s="714">
        <v>1.6</v>
      </c>
      <c r="FI118" s="714">
        <v>1.8</v>
      </c>
      <c r="FJ118" s="723">
        <v>-8.69e-7</v>
      </c>
      <c r="FK118" s="723">
        <v>1.19e-8</v>
      </c>
      <c r="FL118" s="723">
        <v>-1.44e-11</v>
      </c>
      <c r="FM118" s="723">
        <v>5.39e-7</v>
      </c>
      <c r="FN118" s="723">
        <v>1.97e-10</v>
      </c>
      <c r="FO118" s="723">
        <v>0.248</v>
      </c>
      <c r="FP118" s="729">
        <v>1</v>
      </c>
      <c r="FQ118" s="729">
        <v>1</v>
      </c>
      <c r="FR118" s="729">
        <v>1</v>
      </c>
      <c r="FS118" s="729">
        <v>3</v>
      </c>
      <c r="FT118" s="729">
        <v>1</v>
      </c>
      <c r="FU118" s="729">
        <v>2</v>
      </c>
      <c r="FV118" s="681">
        <v>1</v>
      </c>
      <c r="FW118" s="729"/>
      <c r="FX118" s="729"/>
      <c r="FY118" s="729"/>
      <c r="FZ118" s="746">
        <v>661</v>
      </c>
      <c r="GA118" s="746">
        <v>703</v>
      </c>
      <c r="GB118" s="681">
        <v>591</v>
      </c>
      <c r="GC118" s="681">
        <v>635</v>
      </c>
      <c r="GD118" s="747">
        <v>0.9</v>
      </c>
      <c r="GE118" s="729"/>
      <c r="GF118" s="681">
        <v>77</v>
      </c>
      <c r="GG118" s="681">
        <v>91</v>
      </c>
      <c r="GH118" s="681">
        <v>68</v>
      </c>
      <c r="GI118" s="681">
        <v>71</v>
      </c>
      <c r="GJ118" s="681">
        <v>72</v>
      </c>
      <c r="GK118" s="681">
        <v>74</v>
      </c>
      <c r="GL118" s="681">
        <v>75</v>
      </c>
      <c r="GM118" s="681">
        <v>75</v>
      </c>
      <c r="GN118" s="681">
        <v>76</v>
      </c>
      <c r="GO118" s="681">
        <v>77</v>
      </c>
      <c r="GP118" s="681">
        <v>77</v>
      </c>
      <c r="GQ118" s="681">
        <v>78</v>
      </c>
      <c r="GR118" s="681">
        <v>79</v>
      </c>
      <c r="GS118" s="681">
        <v>79</v>
      </c>
      <c r="GT118" s="681">
        <v>80</v>
      </c>
      <c r="GU118" s="681">
        <v>81</v>
      </c>
      <c r="GV118" s="681">
        <v>82</v>
      </c>
      <c r="GW118" s="681">
        <v>83</v>
      </c>
      <c r="GX118" s="681">
        <v>84</v>
      </c>
      <c r="GY118" s="681">
        <v>85</v>
      </c>
      <c r="GZ118" s="681">
        <v>86</v>
      </c>
      <c r="HA118" s="681">
        <v>87</v>
      </c>
      <c r="HB118" s="681">
        <v>87</v>
      </c>
      <c r="HC118" s="681"/>
      <c r="HD118" s="750">
        <v>130</v>
      </c>
      <c r="HE118" s="681"/>
      <c r="HF118" s="681">
        <v>532</v>
      </c>
      <c r="HG118" s="681">
        <v>171</v>
      </c>
      <c r="HH118" s="714">
        <v>89.9</v>
      </c>
      <c r="HI118" s="714">
        <v>34.9</v>
      </c>
      <c r="HJ118" s="753">
        <v>0.299</v>
      </c>
      <c r="HK118" s="681">
        <v>79</v>
      </c>
      <c r="HL118" s="685">
        <v>1.49</v>
      </c>
      <c r="HM118" s="747">
        <v>4.01</v>
      </c>
      <c r="HN118" s="729" t="s">
        <v>934</v>
      </c>
      <c r="HO118" s="729" t="s">
        <v>1039</v>
      </c>
      <c r="HP118" s="714">
        <v>-0.2</v>
      </c>
      <c r="HQ118" s="753">
        <v>0.92</v>
      </c>
      <c r="HR118" s="753">
        <v>0.972</v>
      </c>
      <c r="HS118" s="753">
        <v>0.99</v>
      </c>
      <c r="HT118" s="753">
        <v>0.999</v>
      </c>
      <c r="HU118" s="753">
        <v>0.999</v>
      </c>
      <c r="HV118" s="753">
        <v>0.999</v>
      </c>
      <c r="HW118" s="753">
        <v>0.999</v>
      </c>
      <c r="HX118" s="753">
        <v>0.999</v>
      </c>
      <c r="HY118" s="753">
        <v>0.999</v>
      </c>
      <c r="HZ118" s="753">
        <v>0.999</v>
      </c>
      <c r="IA118" s="753">
        <v>0.999</v>
      </c>
      <c r="IB118" s="753">
        <v>0.999</v>
      </c>
      <c r="IC118" s="753">
        <v>0.999</v>
      </c>
      <c r="ID118" s="753">
        <v>0.999</v>
      </c>
      <c r="IE118" s="753">
        <v>0.999</v>
      </c>
      <c r="IF118" s="753">
        <v>0.999</v>
      </c>
      <c r="IG118" s="753">
        <v>0.999</v>
      </c>
      <c r="IH118" s="753">
        <v>0.999</v>
      </c>
      <c r="II118" s="753">
        <v>0.999</v>
      </c>
      <c r="IJ118" s="753">
        <v>0.999</v>
      </c>
      <c r="IK118" s="753">
        <v>0.999</v>
      </c>
      <c r="IL118" s="753">
        <v>0.997</v>
      </c>
      <c r="IM118" s="753">
        <v>0.995</v>
      </c>
      <c r="IN118" s="753">
        <v>0.992</v>
      </c>
      <c r="IO118" s="753">
        <v>0.987</v>
      </c>
      <c r="IP118" s="753">
        <v>0.978</v>
      </c>
      <c r="IQ118" s="753">
        <v>0.959</v>
      </c>
      <c r="IR118" s="753">
        <v>0.914</v>
      </c>
      <c r="IS118" s="753">
        <v>0.798</v>
      </c>
      <c r="IT118" s="753">
        <v>0.538</v>
      </c>
      <c r="IU118" s="753">
        <v>0.18</v>
      </c>
      <c r="IV118" s="753"/>
      <c r="IW118" s="753"/>
      <c r="IX118" s="753"/>
      <c r="IY118" s="753"/>
      <c r="IZ118" s="753"/>
      <c r="JA118" s="754">
        <v>0.845</v>
      </c>
      <c r="JB118" s="754">
        <v>0.944</v>
      </c>
      <c r="JC118" s="754">
        <v>0.977</v>
      </c>
      <c r="JD118" s="754">
        <v>0.99</v>
      </c>
      <c r="JE118" s="754">
        <v>0.998</v>
      </c>
      <c r="JF118" s="754">
        <v>0.998</v>
      </c>
      <c r="JG118" s="754">
        <v>0.998</v>
      </c>
      <c r="JH118" s="754">
        <v>0.998</v>
      </c>
      <c r="JI118" s="754">
        <v>0.998</v>
      </c>
      <c r="JJ118" s="754">
        <v>0.998</v>
      </c>
      <c r="JK118" s="754">
        <v>0.998</v>
      </c>
      <c r="JL118" s="754">
        <v>0.998</v>
      </c>
      <c r="JM118" s="754">
        <v>0.998</v>
      </c>
      <c r="JN118" s="754">
        <v>0.998</v>
      </c>
      <c r="JO118" s="754">
        <v>0.998</v>
      </c>
      <c r="JP118" s="754">
        <v>0.998</v>
      </c>
      <c r="JQ118" s="754">
        <v>0.998</v>
      </c>
      <c r="JR118" s="754">
        <v>0.998</v>
      </c>
      <c r="JS118" s="754">
        <v>0.998</v>
      </c>
      <c r="JT118" s="754">
        <v>0.998</v>
      </c>
      <c r="JU118" s="754">
        <v>0.998</v>
      </c>
      <c r="JV118" s="754">
        <v>0.996</v>
      </c>
      <c r="JW118" s="754">
        <v>0.993</v>
      </c>
      <c r="JX118" s="754">
        <v>0.985</v>
      </c>
      <c r="JY118" s="754">
        <v>0.977</v>
      </c>
      <c r="JZ118" s="754">
        <v>0.958</v>
      </c>
      <c r="KA118" s="754">
        <v>0.921</v>
      </c>
      <c r="KB118" s="754">
        <v>0.836</v>
      </c>
      <c r="KC118" s="754">
        <v>0.638</v>
      </c>
      <c r="KD118" s="754">
        <v>0.29</v>
      </c>
      <c r="KE118" s="754">
        <v>0.032</v>
      </c>
      <c r="KF118" s="754"/>
      <c r="KG118" s="754"/>
      <c r="KH118" s="754"/>
      <c r="KI118" s="754"/>
      <c r="KJ118" s="754"/>
      <c r="KK118" s="765" t="s">
        <v>281</v>
      </c>
      <c r="KL118" s="738">
        <v>75</v>
      </c>
      <c r="KM118" s="738">
        <v>301</v>
      </c>
      <c r="KN118" s="646" t="s">
        <v>412</v>
      </c>
      <c r="KO118" s="646" t="s">
        <v>1038</v>
      </c>
      <c r="KP118" s="680">
        <v>700481</v>
      </c>
      <c r="KQ118" s="766"/>
      <c r="KR118" s="750"/>
      <c r="KS118" s="769" t="s">
        <v>1038</v>
      </c>
      <c r="KT118" s="770" t="s">
        <v>1040</v>
      </c>
      <c r="KU118" s="766"/>
      <c r="KV118" s="750"/>
      <c r="KW118" s="771" t="s">
        <v>1041</v>
      </c>
      <c r="KX118" s="750" t="s">
        <v>1042</v>
      </c>
      <c r="KY118" s="769"/>
      <c r="KZ118" s="770"/>
    </row>
    <row r="119" s="628" customFormat="1" customHeight="1" spans="1:312">
      <c r="A119" s="682" t="s">
        <v>300</v>
      </c>
      <c r="B119" s="683">
        <v>115</v>
      </c>
      <c r="C119" s="689" t="s">
        <v>1043</v>
      </c>
      <c r="D119" s="680">
        <v>786442</v>
      </c>
      <c r="E119" s="685">
        <v>44.19</v>
      </c>
      <c r="F119" s="685">
        <v>43.93</v>
      </c>
      <c r="G119" s="688">
        <v>0.017786</v>
      </c>
      <c r="H119" s="686">
        <v>0.017988</v>
      </c>
      <c r="I119" s="696">
        <v>1.74308</v>
      </c>
      <c r="J119" s="696">
        <v>1.74989</v>
      </c>
      <c r="K119" s="696">
        <v>1.75749</v>
      </c>
      <c r="L119" s="696">
        <v>1.76459</v>
      </c>
      <c r="M119" s="696">
        <v>1.76594</v>
      </c>
      <c r="N119" s="696">
        <v>1.76706</v>
      </c>
      <c r="O119" s="696">
        <v>1.77153</v>
      </c>
      <c r="P119" s="696">
        <v>1.77468</v>
      </c>
      <c r="Q119" s="697">
        <v>1.77761</v>
      </c>
      <c r="R119" s="697">
        <v>1.78059</v>
      </c>
      <c r="S119" s="697">
        <v>1.78142</v>
      </c>
      <c r="T119" s="701">
        <v>1.78221</v>
      </c>
      <c r="U119" s="697">
        <v>1.78574</v>
      </c>
      <c r="V119" s="697">
        <v>1.7859</v>
      </c>
      <c r="W119" s="697">
        <v>1.79013</v>
      </c>
      <c r="X119" s="697">
        <v>1.79837</v>
      </c>
      <c r="Y119" s="697">
        <v>1.79941</v>
      </c>
      <c r="Z119" s="697">
        <v>1.80839</v>
      </c>
      <c r="AA119" s="697">
        <v>1.81685</v>
      </c>
      <c r="AB119" s="697">
        <v>1.8317</v>
      </c>
      <c r="AC119" s="704">
        <v>3.11096434</v>
      </c>
      <c r="AD119" s="705">
        <v>-0.0143300745</v>
      </c>
      <c r="AE119" s="705">
        <v>0.0260159962</v>
      </c>
      <c r="AF119" s="705">
        <v>0.00110002413</v>
      </c>
      <c r="AG119" s="705">
        <v>-6.28685795e-5</v>
      </c>
      <c r="AH119" s="705">
        <v>4.8575479e-6</v>
      </c>
      <c r="AI119" s="709">
        <v>0.2985</v>
      </c>
      <c r="AJ119" s="709">
        <v>0.2378</v>
      </c>
      <c r="AK119" s="709">
        <v>0.5634</v>
      </c>
      <c r="AL119" s="709">
        <v>0.2491</v>
      </c>
      <c r="AM119" s="709">
        <v>0.2352</v>
      </c>
      <c r="AN119" s="709">
        <v>0.4992</v>
      </c>
      <c r="AO119" s="709">
        <v>-0.0025</v>
      </c>
      <c r="AP119" s="709">
        <v>-0.0068</v>
      </c>
      <c r="AQ119" s="709">
        <v>0.0065</v>
      </c>
      <c r="AR119" s="709">
        <v>0.0029</v>
      </c>
      <c r="AS119" s="714">
        <v>7.3</v>
      </c>
      <c r="AT119" s="714">
        <v>7.3</v>
      </c>
      <c r="AU119" s="714">
        <v>7.3</v>
      </c>
      <c r="AV119" s="714">
        <v>7.4</v>
      </c>
      <c r="AW119" s="714">
        <v>7.4</v>
      </c>
      <c r="AX119" s="714">
        <v>7.5</v>
      </c>
      <c r="AY119" s="714">
        <v>7.7</v>
      </c>
      <c r="AZ119" s="714">
        <v>7.8</v>
      </c>
      <c r="BA119" s="714">
        <v>8.1</v>
      </c>
      <c r="BB119" s="714">
        <v>8</v>
      </c>
      <c r="BC119" s="714">
        <v>8.2</v>
      </c>
      <c r="BD119" s="714">
        <v>7.7</v>
      </c>
      <c r="BE119" s="714">
        <v>7.7</v>
      </c>
      <c r="BF119" s="714">
        <v>7.7</v>
      </c>
      <c r="BG119" s="714">
        <v>7.8</v>
      </c>
      <c r="BH119" s="714">
        <v>7.8</v>
      </c>
      <c r="BI119" s="714">
        <v>7.9</v>
      </c>
      <c r="BJ119" s="714">
        <v>8.2</v>
      </c>
      <c r="BK119" s="714">
        <v>8.3</v>
      </c>
      <c r="BL119" s="714">
        <v>8.4</v>
      </c>
      <c r="BM119" s="714">
        <v>8.6</v>
      </c>
      <c r="BN119" s="714">
        <v>8.7</v>
      </c>
      <c r="BO119" s="714">
        <v>8</v>
      </c>
      <c r="BP119" s="714">
        <v>8</v>
      </c>
      <c r="BQ119" s="714">
        <v>8.1</v>
      </c>
      <c r="BR119" s="714">
        <v>8.2</v>
      </c>
      <c r="BS119" s="714">
        <v>8.2</v>
      </c>
      <c r="BT119" s="714">
        <v>8.3</v>
      </c>
      <c r="BU119" s="714">
        <v>8.4</v>
      </c>
      <c r="BV119" s="714">
        <v>8.6</v>
      </c>
      <c r="BW119" s="714">
        <v>8.7</v>
      </c>
      <c r="BX119" s="714">
        <v>8.9</v>
      </c>
      <c r="BY119" s="714">
        <v>9</v>
      </c>
      <c r="BZ119" s="714">
        <v>8</v>
      </c>
      <c r="CA119" s="714">
        <v>8</v>
      </c>
      <c r="CB119" s="714">
        <v>8.1</v>
      </c>
      <c r="CC119" s="714">
        <v>8.2</v>
      </c>
      <c r="CD119" s="714">
        <v>8.2</v>
      </c>
      <c r="CE119" s="714">
        <v>8.4</v>
      </c>
      <c r="CF119" s="714">
        <v>8.5</v>
      </c>
      <c r="CG119" s="714">
        <v>8.7</v>
      </c>
      <c r="CH119" s="714">
        <v>8.8</v>
      </c>
      <c r="CI119" s="714">
        <v>9</v>
      </c>
      <c r="CJ119" s="714">
        <v>9.1</v>
      </c>
      <c r="CK119" s="714">
        <v>8.1</v>
      </c>
      <c r="CL119" s="715">
        <v>8.1</v>
      </c>
      <c r="CM119" s="715">
        <v>8.2</v>
      </c>
      <c r="CN119" s="715">
        <v>8.2</v>
      </c>
      <c r="CO119" s="715">
        <v>8.3</v>
      </c>
      <c r="CP119" s="715">
        <v>8.4</v>
      </c>
      <c r="CQ119" s="715">
        <v>8.6</v>
      </c>
      <c r="CR119" s="714">
        <v>8.7</v>
      </c>
      <c r="CS119" s="714">
        <v>8.8</v>
      </c>
      <c r="CT119" s="714">
        <v>9</v>
      </c>
      <c r="CU119" s="714">
        <v>9.2</v>
      </c>
      <c r="CV119" s="714">
        <v>8.4</v>
      </c>
      <c r="CW119" s="715">
        <v>8.4</v>
      </c>
      <c r="CX119" s="715">
        <v>8.5</v>
      </c>
      <c r="CY119" s="715">
        <v>8.5</v>
      </c>
      <c r="CZ119" s="715">
        <v>8.6</v>
      </c>
      <c r="DA119" s="715">
        <v>8.6</v>
      </c>
      <c r="DB119" s="715">
        <v>8.8</v>
      </c>
      <c r="DC119" s="714">
        <v>8.8</v>
      </c>
      <c r="DD119" s="714">
        <v>9</v>
      </c>
      <c r="DE119" s="714">
        <v>9.3</v>
      </c>
      <c r="DF119" s="714">
        <v>9.4</v>
      </c>
      <c r="DG119" s="714">
        <v>8.7</v>
      </c>
      <c r="DH119" s="715">
        <v>8.7</v>
      </c>
      <c r="DI119" s="715">
        <v>8.9</v>
      </c>
      <c r="DJ119" s="715">
        <v>8.9</v>
      </c>
      <c r="DK119" s="715">
        <v>8.9</v>
      </c>
      <c r="DL119" s="715">
        <v>9</v>
      </c>
      <c r="DM119" s="715">
        <v>9.2</v>
      </c>
      <c r="DN119" s="714">
        <v>9.4</v>
      </c>
      <c r="DO119" s="714">
        <v>9</v>
      </c>
      <c r="DP119" s="714">
        <v>9.3</v>
      </c>
      <c r="DQ119" s="714">
        <v>9.4</v>
      </c>
      <c r="DR119" s="714">
        <v>9.4</v>
      </c>
      <c r="DS119" s="715">
        <v>9.5</v>
      </c>
      <c r="DT119" s="715">
        <v>9.6</v>
      </c>
      <c r="DU119" s="715">
        <v>9.6</v>
      </c>
      <c r="DV119" s="715">
        <v>9.7</v>
      </c>
      <c r="DW119" s="715">
        <v>9.7</v>
      </c>
      <c r="DX119" s="715">
        <v>10.1</v>
      </c>
      <c r="DY119" s="714">
        <v>10.3</v>
      </c>
      <c r="DZ119" s="714">
        <v>10.5</v>
      </c>
      <c r="EA119" s="714">
        <v>10.8</v>
      </c>
      <c r="EB119" s="714">
        <v>11</v>
      </c>
      <c r="EC119" s="714">
        <v>9.4</v>
      </c>
      <c r="ED119" s="715">
        <v>9.5</v>
      </c>
      <c r="EE119" s="715">
        <v>9.6</v>
      </c>
      <c r="EF119" s="715">
        <v>9.6</v>
      </c>
      <c r="EG119" s="715">
        <v>9.7</v>
      </c>
      <c r="EH119" s="715">
        <v>9.9</v>
      </c>
      <c r="EI119" s="715">
        <v>10.2</v>
      </c>
      <c r="EJ119" s="714">
        <v>10.4</v>
      </c>
      <c r="EK119" s="714">
        <v>10.6</v>
      </c>
      <c r="EL119" s="714">
        <v>10.8</v>
      </c>
      <c r="EM119" s="714">
        <v>11.1</v>
      </c>
      <c r="EN119" s="714">
        <v>10.2</v>
      </c>
      <c r="EO119" s="715">
        <v>10.2</v>
      </c>
      <c r="EP119" s="715">
        <v>10.3</v>
      </c>
      <c r="EQ119" s="715">
        <v>10.4</v>
      </c>
      <c r="ER119" s="715">
        <v>10.5</v>
      </c>
      <c r="ES119" s="715">
        <v>10.6</v>
      </c>
      <c r="ET119" s="715">
        <v>10.8</v>
      </c>
      <c r="EU119" s="714">
        <v>11</v>
      </c>
      <c r="EV119" s="714">
        <v>11.3</v>
      </c>
      <c r="EW119" s="714">
        <v>11.5</v>
      </c>
      <c r="EX119" s="714">
        <v>11.8</v>
      </c>
      <c r="EY119" s="714">
        <v>5.2</v>
      </c>
      <c r="EZ119" s="715">
        <v>5.7</v>
      </c>
      <c r="FA119" s="715">
        <v>6.1</v>
      </c>
      <c r="FB119" s="715">
        <v>6.4</v>
      </c>
      <c r="FC119" s="715">
        <v>6.7</v>
      </c>
      <c r="FD119" s="715">
        <v>7</v>
      </c>
      <c r="FE119" s="715">
        <v>7.4</v>
      </c>
      <c r="FF119" s="714">
        <v>7.6</v>
      </c>
      <c r="FG119" s="714">
        <v>7.8</v>
      </c>
      <c r="FH119" s="714">
        <v>8.1</v>
      </c>
      <c r="FI119" s="714">
        <v>8.4</v>
      </c>
      <c r="FJ119" s="723">
        <v>9.08e-6</v>
      </c>
      <c r="FK119" s="723">
        <v>1.24e-8</v>
      </c>
      <c r="FL119" s="723">
        <v>-1.32e-11</v>
      </c>
      <c r="FM119" s="723">
        <v>5.76e-7</v>
      </c>
      <c r="FN119" s="723">
        <v>4.15e-10</v>
      </c>
      <c r="FO119" s="723">
        <v>0.272</v>
      </c>
      <c r="FP119" s="729">
        <v>1</v>
      </c>
      <c r="FQ119" s="729">
        <v>3</v>
      </c>
      <c r="FR119" s="729">
        <v>1</v>
      </c>
      <c r="FS119" s="729">
        <v>3</v>
      </c>
      <c r="FT119" s="729">
        <v>1</v>
      </c>
      <c r="FU119" s="729">
        <v>1</v>
      </c>
      <c r="FV119" s="681">
        <v>1</v>
      </c>
      <c r="FW119" s="729"/>
      <c r="FX119" s="729"/>
      <c r="FY119" s="729"/>
      <c r="FZ119" s="746">
        <v>606</v>
      </c>
      <c r="GA119" s="746">
        <v>638</v>
      </c>
      <c r="GB119" s="681">
        <v>548</v>
      </c>
      <c r="GC119" s="681">
        <v>574</v>
      </c>
      <c r="GD119" s="747">
        <v>0.85</v>
      </c>
      <c r="GE119" s="729"/>
      <c r="GF119" s="681">
        <v>56</v>
      </c>
      <c r="GG119" s="681">
        <v>72</v>
      </c>
      <c r="GH119" s="681">
        <v>50</v>
      </c>
      <c r="GI119" s="681">
        <v>53</v>
      </c>
      <c r="GJ119" s="681">
        <v>54</v>
      </c>
      <c r="GK119" s="681">
        <v>55</v>
      </c>
      <c r="GL119" s="681">
        <v>56</v>
      </c>
      <c r="GM119" s="681">
        <v>57</v>
      </c>
      <c r="GN119" s="681">
        <v>58</v>
      </c>
      <c r="GO119" s="681">
        <v>59</v>
      </c>
      <c r="GP119" s="681">
        <v>59</v>
      </c>
      <c r="GQ119" s="681">
        <v>60</v>
      </c>
      <c r="GR119" s="681">
        <v>60</v>
      </c>
      <c r="GS119" s="681">
        <v>61</v>
      </c>
      <c r="GT119" s="681">
        <v>61</v>
      </c>
      <c r="GU119" s="681">
        <v>62</v>
      </c>
      <c r="GV119" s="681">
        <v>63</v>
      </c>
      <c r="GW119" s="681">
        <v>64</v>
      </c>
      <c r="GX119" s="681">
        <v>65</v>
      </c>
      <c r="GY119" s="681">
        <v>66</v>
      </c>
      <c r="GZ119" s="681">
        <v>67</v>
      </c>
      <c r="HA119" s="681">
        <v>68</v>
      </c>
      <c r="HB119" s="681">
        <v>68</v>
      </c>
      <c r="HC119" s="681"/>
      <c r="HD119" s="750">
        <v>137</v>
      </c>
      <c r="HE119" s="681"/>
      <c r="HF119" s="681">
        <v>649</v>
      </c>
      <c r="HG119" s="681">
        <v>76</v>
      </c>
      <c r="HH119" s="714">
        <v>112.5</v>
      </c>
      <c r="HI119" s="714">
        <v>41.8</v>
      </c>
      <c r="HJ119" s="753">
        <v>0.346</v>
      </c>
      <c r="HK119" s="681">
        <v>90</v>
      </c>
      <c r="HL119" s="685">
        <v>2.06</v>
      </c>
      <c r="HM119" s="747">
        <v>4.38</v>
      </c>
      <c r="HN119" s="729" t="s">
        <v>1044</v>
      </c>
      <c r="HO119" s="729" t="s">
        <v>1045</v>
      </c>
      <c r="HP119" s="714">
        <v>-0.4</v>
      </c>
      <c r="HQ119" s="753">
        <v>0.83</v>
      </c>
      <c r="HR119" s="753">
        <v>0.958</v>
      </c>
      <c r="HS119" s="753">
        <v>0.99</v>
      </c>
      <c r="HT119" s="753">
        <v>0.999</v>
      </c>
      <c r="HU119" s="753">
        <v>0.999</v>
      </c>
      <c r="HV119" s="753">
        <v>0.999</v>
      </c>
      <c r="HW119" s="753">
        <v>0.999</v>
      </c>
      <c r="HX119" s="753">
        <v>0.999</v>
      </c>
      <c r="HY119" s="753">
        <v>0.999</v>
      </c>
      <c r="HZ119" s="753">
        <v>0.999</v>
      </c>
      <c r="IA119" s="753">
        <v>0.999</v>
      </c>
      <c r="IB119" s="753">
        <v>0.999</v>
      </c>
      <c r="IC119" s="753">
        <v>0.999</v>
      </c>
      <c r="ID119" s="753">
        <v>0.999</v>
      </c>
      <c r="IE119" s="753">
        <v>0.999</v>
      </c>
      <c r="IF119" s="753">
        <v>0.999</v>
      </c>
      <c r="IG119" s="753">
        <v>0.999</v>
      </c>
      <c r="IH119" s="753">
        <v>0.999</v>
      </c>
      <c r="II119" s="753">
        <v>0.999</v>
      </c>
      <c r="IJ119" s="753">
        <v>0.998</v>
      </c>
      <c r="IK119" s="753">
        <v>0.996</v>
      </c>
      <c r="IL119" s="753">
        <v>0.994</v>
      </c>
      <c r="IM119" s="753">
        <v>0.988</v>
      </c>
      <c r="IN119" s="753">
        <v>0.982</v>
      </c>
      <c r="IO119" s="753">
        <v>0.975</v>
      </c>
      <c r="IP119" s="753">
        <v>0.966</v>
      </c>
      <c r="IQ119" s="753">
        <v>0.949</v>
      </c>
      <c r="IR119" s="753">
        <v>0.92</v>
      </c>
      <c r="IS119" s="753">
        <v>0.873</v>
      </c>
      <c r="IT119" s="753">
        <v>0.793</v>
      </c>
      <c r="IU119" s="753">
        <v>0.639</v>
      </c>
      <c r="IV119" s="753">
        <v>0.349</v>
      </c>
      <c r="IW119" s="753"/>
      <c r="IX119" s="753"/>
      <c r="IY119" s="753"/>
      <c r="IZ119" s="753"/>
      <c r="JA119" s="754">
        <v>0.689</v>
      </c>
      <c r="JB119" s="754">
        <v>0.918</v>
      </c>
      <c r="JC119" s="754">
        <v>0.98</v>
      </c>
      <c r="JD119" s="754">
        <v>0.998</v>
      </c>
      <c r="JE119" s="754">
        <v>0.998</v>
      </c>
      <c r="JF119" s="754">
        <v>0.998</v>
      </c>
      <c r="JG119" s="754">
        <v>0.998</v>
      </c>
      <c r="JH119" s="754">
        <v>0.998</v>
      </c>
      <c r="JI119" s="754">
        <v>0.998</v>
      </c>
      <c r="JJ119" s="754">
        <v>0.998</v>
      </c>
      <c r="JK119" s="754">
        <v>0.998</v>
      </c>
      <c r="JL119" s="754">
        <v>0.998</v>
      </c>
      <c r="JM119" s="754">
        <v>0.998</v>
      </c>
      <c r="JN119" s="754">
        <v>0.998</v>
      </c>
      <c r="JO119" s="754">
        <v>0.998</v>
      </c>
      <c r="JP119" s="754">
        <v>0.998</v>
      </c>
      <c r="JQ119" s="754">
        <v>0.998</v>
      </c>
      <c r="JR119" s="754">
        <v>0.998</v>
      </c>
      <c r="JS119" s="754">
        <v>0.998</v>
      </c>
      <c r="JT119" s="754">
        <v>0.996</v>
      </c>
      <c r="JU119" s="754">
        <v>0.993</v>
      </c>
      <c r="JV119" s="754">
        <v>0.99</v>
      </c>
      <c r="JW119" s="754">
        <v>0.985</v>
      </c>
      <c r="JX119" s="754">
        <v>0.975</v>
      </c>
      <c r="JY119" s="754">
        <v>0.963</v>
      </c>
      <c r="JZ119" s="754">
        <v>0.945</v>
      </c>
      <c r="KA119" s="754">
        <v>0.913</v>
      </c>
      <c r="KB119" s="754">
        <v>0.858</v>
      </c>
      <c r="KC119" s="754">
        <v>0.774</v>
      </c>
      <c r="KD119" s="754">
        <v>0.639</v>
      </c>
      <c r="KE119" s="754">
        <v>0.418</v>
      </c>
      <c r="KF119" s="754">
        <v>0.127</v>
      </c>
      <c r="KG119" s="754"/>
      <c r="KH119" s="754"/>
      <c r="KI119" s="754"/>
      <c r="KJ119" s="754"/>
      <c r="KK119" s="765" t="s">
        <v>281</v>
      </c>
      <c r="KL119" s="738">
        <v>59</v>
      </c>
      <c r="KM119" s="738">
        <v>258</v>
      </c>
      <c r="KN119" s="646" t="s">
        <v>339</v>
      </c>
      <c r="KO119" s="646" t="s">
        <v>1043</v>
      </c>
      <c r="KP119" s="680">
        <v>786442</v>
      </c>
      <c r="KQ119" s="766" t="s">
        <v>1046</v>
      </c>
      <c r="KR119" s="750" t="s">
        <v>1047</v>
      </c>
      <c r="KS119" s="769" t="s">
        <v>1043</v>
      </c>
      <c r="KT119" s="770" t="s">
        <v>1047</v>
      </c>
      <c r="KU119" s="766" t="s">
        <v>1048</v>
      </c>
      <c r="KV119" s="750">
        <v>786439</v>
      </c>
      <c r="KW119" s="771" t="s">
        <v>1049</v>
      </c>
      <c r="KX119" s="750" t="s">
        <v>1050</v>
      </c>
      <c r="KY119" s="769" t="s">
        <v>1051</v>
      </c>
      <c r="KZ119" s="770" t="s">
        <v>1052</v>
      </c>
    </row>
    <row r="120" s="628" customFormat="1" customHeight="1" spans="1:312">
      <c r="A120" s="682" t="s">
        <v>300</v>
      </c>
      <c r="B120" s="683">
        <v>116</v>
      </c>
      <c r="C120" s="689" t="s">
        <v>1053</v>
      </c>
      <c r="D120" s="680">
        <v>743492</v>
      </c>
      <c r="E120" s="685">
        <v>49.22</v>
      </c>
      <c r="F120" s="685">
        <v>48.99</v>
      </c>
      <c r="G120" s="688">
        <v>0.015101</v>
      </c>
      <c r="H120" s="686">
        <v>0.015246</v>
      </c>
      <c r="I120" s="696">
        <v>1.70297</v>
      </c>
      <c r="J120" s="696">
        <v>1.70999</v>
      </c>
      <c r="K120" s="696">
        <v>1.71767</v>
      </c>
      <c r="L120" s="696">
        <v>1.72455</v>
      </c>
      <c r="M120" s="696">
        <v>1.7258</v>
      </c>
      <c r="N120" s="696">
        <v>1.72685</v>
      </c>
      <c r="O120" s="696">
        <v>1.73087</v>
      </c>
      <c r="P120" s="696">
        <v>1.73364</v>
      </c>
      <c r="Q120" s="697">
        <v>1.73619</v>
      </c>
      <c r="R120" s="697">
        <v>1.73875</v>
      </c>
      <c r="S120" s="697">
        <v>1.73947</v>
      </c>
      <c r="T120" s="701">
        <v>1.74015</v>
      </c>
      <c r="U120" s="697">
        <v>1.74317</v>
      </c>
      <c r="V120" s="697">
        <v>1.7433</v>
      </c>
      <c r="W120" s="697">
        <v>1.7469</v>
      </c>
      <c r="X120" s="697">
        <v>1.75385</v>
      </c>
      <c r="Y120" s="697">
        <v>1.75472</v>
      </c>
      <c r="Z120" s="697">
        <v>1.76221</v>
      </c>
      <c r="AA120" s="697">
        <v>1.76921</v>
      </c>
      <c r="AB120" s="697">
        <v>1.78127</v>
      </c>
      <c r="AC120" s="704">
        <v>2.97513891</v>
      </c>
      <c r="AD120" s="705">
        <v>-0.0146215956</v>
      </c>
      <c r="AE120" s="705">
        <v>0.0217492662</v>
      </c>
      <c r="AF120" s="705">
        <v>0.000802001413</v>
      </c>
      <c r="AG120" s="705">
        <v>-3.64703266e-5</v>
      </c>
      <c r="AH120" s="705">
        <v>2.12357903e-6</v>
      </c>
      <c r="AI120" s="709">
        <v>0.3013</v>
      </c>
      <c r="AJ120" s="709">
        <v>0.2384</v>
      </c>
      <c r="AK120" s="709">
        <v>0.5536</v>
      </c>
      <c r="AL120" s="709">
        <v>0.2512</v>
      </c>
      <c r="AM120" s="709">
        <v>0.2361</v>
      </c>
      <c r="AN120" s="709">
        <v>0.4913</v>
      </c>
      <c r="AO120" s="709">
        <v>-0.0028</v>
      </c>
      <c r="AP120" s="709">
        <v>-0.0082</v>
      </c>
      <c r="AQ120" s="709">
        <v>0.0094</v>
      </c>
      <c r="AR120" s="709">
        <v>0.0033</v>
      </c>
      <c r="AS120" s="714">
        <v>7.4</v>
      </c>
      <c r="AT120" s="714">
        <v>7.3</v>
      </c>
      <c r="AU120" s="714">
        <v>7.3</v>
      </c>
      <c r="AV120" s="714">
        <v>7.4</v>
      </c>
      <c r="AW120" s="714">
        <v>7.4</v>
      </c>
      <c r="AX120" s="714">
        <v>7.5</v>
      </c>
      <c r="AY120" s="714">
        <v>7.6</v>
      </c>
      <c r="AZ120" s="714">
        <v>7.7</v>
      </c>
      <c r="BA120" s="714">
        <v>7.8</v>
      </c>
      <c r="BB120" s="714">
        <v>7.9</v>
      </c>
      <c r="BC120" s="714">
        <v>8.1</v>
      </c>
      <c r="BD120" s="714">
        <v>7.7</v>
      </c>
      <c r="BE120" s="714">
        <v>7.8</v>
      </c>
      <c r="BF120" s="714">
        <v>7.9</v>
      </c>
      <c r="BG120" s="714">
        <v>8</v>
      </c>
      <c r="BH120" s="714">
        <v>8</v>
      </c>
      <c r="BI120" s="714">
        <v>8.1</v>
      </c>
      <c r="BJ120" s="714">
        <v>8.2</v>
      </c>
      <c r="BK120" s="714">
        <v>8.3</v>
      </c>
      <c r="BL120" s="714">
        <v>8.5</v>
      </c>
      <c r="BM120" s="714">
        <v>8.5</v>
      </c>
      <c r="BN120" s="714">
        <v>8.7</v>
      </c>
      <c r="BO120" s="714">
        <v>7.9</v>
      </c>
      <c r="BP120" s="714">
        <v>8.1</v>
      </c>
      <c r="BQ120" s="714">
        <v>8.1</v>
      </c>
      <c r="BR120" s="714">
        <v>8.2</v>
      </c>
      <c r="BS120" s="714">
        <v>8.2</v>
      </c>
      <c r="BT120" s="714">
        <v>8.3</v>
      </c>
      <c r="BU120" s="714">
        <v>8.4</v>
      </c>
      <c r="BV120" s="714">
        <v>8.5</v>
      </c>
      <c r="BW120" s="714">
        <v>8.6</v>
      </c>
      <c r="BX120" s="714">
        <v>8.7</v>
      </c>
      <c r="BY120" s="714">
        <v>8.8</v>
      </c>
      <c r="BZ120" s="714">
        <v>7.9</v>
      </c>
      <c r="CA120" s="714">
        <v>8.1</v>
      </c>
      <c r="CB120" s="714">
        <v>8.1</v>
      </c>
      <c r="CC120" s="714">
        <v>8.2</v>
      </c>
      <c r="CD120" s="714">
        <v>8.2</v>
      </c>
      <c r="CE120" s="714">
        <v>8.3</v>
      </c>
      <c r="CF120" s="714">
        <v>8.4</v>
      </c>
      <c r="CG120" s="714">
        <v>8.6</v>
      </c>
      <c r="CH120" s="714">
        <v>8.6</v>
      </c>
      <c r="CI120" s="714">
        <v>8.7</v>
      </c>
      <c r="CJ120" s="714">
        <v>8.8</v>
      </c>
      <c r="CK120" s="714">
        <v>7.9</v>
      </c>
      <c r="CL120" s="715">
        <v>8</v>
      </c>
      <c r="CM120" s="715">
        <v>8.1</v>
      </c>
      <c r="CN120" s="715">
        <v>8.2</v>
      </c>
      <c r="CO120" s="715">
        <v>8.2</v>
      </c>
      <c r="CP120" s="715">
        <v>8.3</v>
      </c>
      <c r="CQ120" s="715">
        <v>8.5</v>
      </c>
      <c r="CR120" s="714">
        <v>8.6</v>
      </c>
      <c r="CS120" s="714">
        <v>8.6</v>
      </c>
      <c r="CT120" s="714">
        <v>8.7</v>
      </c>
      <c r="CU120" s="714">
        <v>8.8</v>
      </c>
      <c r="CV120" s="714">
        <v>8.1</v>
      </c>
      <c r="CW120" s="715">
        <v>8.2</v>
      </c>
      <c r="CX120" s="715">
        <v>8.2</v>
      </c>
      <c r="CY120" s="715">
        <v>8.3</v>
      </c>
      <c r="CZ120" s="715">
        <v>8.4</v>
      </c>
      <c r="DA120" s="715">
        <v>8.5</v>
      </c>
      <c r="DB120" s="715">
        <v>8.6</v>
      </c>
      <c r="DC120" s="714">
        <v>8.7</v>
      </c>
      <c r="DD120" s="714">
        <v>9</v>
      </c>
      <c r="DE120" s="714">
        <v>9.1</v>
      </c>
      <c r="DF120" s="714">
        <v>9.3</v>
      </c>
      <c r="DG120" s="714">
        <v>8.5</v>
      </c>
      <c r="DH120" s="715">
        <v>8.5</v>
      </c>
      <c r="DI120" s="715">
        <v>8.6</v>
      </c>
      <c r="DJ120" s="715">
        <v>8.7</v>
      </c>
      <c r="DK120" s="715">
        <v>8.7</v>
      </c>
      <c r="DL120" s="715">
        <v>8.8</v>
      </c>
      <c r="DM120" s="715">
        <v>9</v>
      </c>
      <c r="DN120" s="714">
        <v>9.1</v>
      </c>
      <c r="DO120" s="714">
        <v>9.3</v>
      </c>
      <c r="DP120" s="714">
        <v>9.5</v>
      </c>
      <c r="DQ120" s="714">
        <v>9.7</v>
      </c>
      <c r="DR120" s="714">
        <v>8.9</v>
      </c>
      <c r="DS120" s="715">
        <v>9</v>
      </c>
      <c r="DT120" s="715">
        <v>9.1</v>
      </c>
      <c r="DU120" s="715">
        <v>9.2</v>
      </c>
      <c r="DV120" s="715">
        <v>9.3</v>
      </c>
      <c r="DW120" s="715">
        <v>9.4</v>
      </c>
      <c r="DX120" s="715">
        <v>9.6</v>
      </c>
      <c r="DY120" s="714">
        <v>9.8</v>
      </c>
      <c r="DZ120" s="714">
        <v>10</v>
      </c>
      <c r="EA120" s="714">
        <v>10.2</v>
      </c>
      <c r="EB120" s="714">
        <v>10.4</v>
      </c>
      <c r="EC120" s="714">
        <v>9</v>
      </c>
      <c r="ED120" s="715">
        <v>9.1</v>
      </c>
      <c r="EE120" s="715">
        <v>9.2</v>
      </c>
      <c r="EF120" s="715">
        <v>9.3</v>
      </c>
      <c r="EG120" s="715">
        <v>9.4</v>
      </c>
      <c r="EH120" s="715">
        <v>9.6</v>
      </c>
      <c r="EI120" s="715">
        <v>9.7</v>
      </c>
      <c r="EJ120" s="714">
        <v>9.9</v>
      </c>
      <c r="EK120" s="714">
        <v>10.1</v>
      </c>
      <c r="EL120" s="714">
        <v>10.3</v>
      </c>
      <c r="EM120" s="714">
        <v>10.5</v>
      </c>
      <c r="EN120" s="714">
        <v>9.5</v>
      </c>
      <c r="EO120" s="715">
        <v>9.6</v>
      </c>
      <c r="EP120" s="715">
        <v>9.7</v>
      </c>
      <c r="EQ120" s="715">
        <v>9.8</v>
      </c>
      <c r="ER120" s="715">
        <v>9.9</v>
      </c>
      <c r="ES120" s="715">
        <v>10</v>
      </c>
      <c r="ET120" s="715">
        <v>10.2</v>
      </c>
      <c r="EU120" s="714">
        <v>10.4</v>
      </c>
      <c r="EV120" s="714">
        <v>10.7</v>
      </c>
      <c r="EW120" s="714">
        <v>11</v>
      </c>
      <c r="EX120" s="714">
        <v>11.2</v>
      </c>
      <c r="EY120" s="714">
        <v>5.1</v>
      </c>
      <c r="EZ120" s="715">
        <v>5.6</v>
      </c>
      <c r="FA120" s="715">
        <v>6.1</v>
      </c>
      <c r="FB120" s="715">
        <v>6.5</v>
      </c>
      <c r="FC120" s="715">
        <v>6.7</v>
      </c>
      <c r="FD120" s="715">
        <v>7</v>
      </c>
      <c r="FE120" s="715">
        <v>7.3</v>
      </c>
      <c r="FF120" s="714">
        <v>7.5</v>
      </c>
      <c r="FG120" s="714">
        <v>7.7</v>
      </c>
      <c r="FH120" s="714">
        <v>7.8</v>
      </c>
      <c r="FI120" s="714">
        <v>8</v>
      </c>
      <c r="FJ120" s="723">
        <v>9.82e-6</v>
      </c>
      <c r="FK120" s="723">
        <v>1.23e-8</v>
      </c>
      <c r="FL120" s="723">
        <v>-1.8e-11</v>
      </c>
      <c r="FM120" s="723">
        <v>5.12e-7</v>
      </c>
      <c r="FN120" s="723">
        <v>6.03e-10</v>
      </c>
      <c r="FO120" s="723">
        <v>0.246</v>
      </c>
      <c r="FP120" s="729">
        <v>1</v>
      </c>
      <c r="FQ120" s="729">
        <v>3</v>
      </c>
      <c r="FR120" s="729">
        <v>1</v>
      </c>
      <c r="FS120" s="729">
        <v>3</v>
      </c>
      <c r="FT120" s="729">
        <v>1</v>
      </c>
      <c r="FU120" s="729">
        <v>2</v>
      </c>
      <c r="FV120" s="681">
        <v>1</v>
      </c>
      <c r="FW120" s="729"/>
      <c r="FX120" s="729"/>
      <c r="FY120" s="729"/>
      <c r="FZ120" s="746">
        <v>608</v>
      </c>
      <c r="GA120" s="746">
        <v>634</v>
      </c>
      <c r="GB120" s="681">
        <v>550</v>
      </c>
      <c r="GC120" s="681">
        <v>578</v>
      </c>
      <c r="GD120" s="747">
        <v>0.83</v>
      </c>
      <c r="GE120" s="729"/>
      <c r="GF120" s="681">
        <v>50</v>
      </c>
      <c r="GG120" s="681">
        <v>66</v>
      </c>
      <c r="GH120" s="681">
        <v>44</v>
      </c>
      <c r="GI120" s="681">
        <v>47</v>
      </c>
      <c r="GJ120" s="681">
        <v>49</v>
      </c>
      <c r="GK120" s="681">
        <v>50</v>
      </c>
      <c r="GL120" s="681">
        <v>51</v>
      </c>
      <c r="GM120" s="681">
        <v>52</v>
      </c>
      <c r="GN120" s="681">
        <v>53</v>
      </c>
      <c r="GO120" s="681">
        <v>53</v>
      </c>
      <c r="GP120" s="681">
        <v>53</v>
      </c>
      <c r="GQ120" s="681">
        <v>54</v>
      </c>
      <c r="GR120" s="681">
        <v>54</v>
      </c>
      <c r="GS120" s="681">
        <v>54</v>
      </c>
      <c r="GT120" s="681">
        <v>55</v>
      </c>
      <c r="GU120" s="681">
        <v>56</v>
      </c>
      <c r="GV120" s="681">
        <v>57</v>
      </c>
      <c r="GW120" s="681">
        <v>58</v>
      </c>
      <c r="GX120" s="681">
        <v>59</v>
      </c>
      <c r="GY120" s="681">
        <v>60</v>
      </c>
      <c r="GZ120" s="681">
        <v>61</v>
      </c>
      <c r="HA120" s="681">
        <v>62</v>
      </c>
      <c r="HB120" s="681">
        <v>63</v>
      </c>
      <c r="HC120" s="681"/>
      <c r="HD120" s="750">
        <v>140</v>
      </c>
      <c r="HE120" s="681"/>
      <c r="HF120" s="681">
        <v>661</v>
      </c>
      <c r="HG120" s="681">
        <v>83</v>
      </c>
      <c r="HH120" s="714">
        <v>110.1</v>
      </c>
      <c r="HI120" s="714">
        <v>41.5</v>
      </c>
      <c r="HJ120" s="753">
        <v>0.327</v>
      </c>
      <c r="HK120" s="681">
        <v>75</v>
      </c>
      <c r="HL120" s="685">
        <v>2.18</v>
      </c>
      <c r="HM120" s="747">
        <v>4.15</v>
      </c>
      <c r="HN120" s="729" t="s">
        <v>547</v>
      </c>
      <c r="HO120" s="729" t="s">
        <v>1054</v>
      </c>
      <c r="HP120" s="714">
        <v>-1.1</v>
      </c>
      <c r="HQ120" s="753">
        <v>0.761</v>
      </c>
      <c r="HR120" s="753">
        <v>0.914</v>
      </c>
      <c r="HS120" s="753">
        <v>0.975</v>
      </c>
      <c r="HT120" s="753">
        <v>0.993</v>
      </c>
      <c r="HU120" s="753">
        <v>0.999</v>
      </c>
      <c r="HV120" s="753">
        <v>0.999</v>
      </c>
      <c r="HW120" s="753">
        <v>0.999</v>
      </c>
      <c r="HX120" s="753">
        <v>0.999</v>
      </c>
      <c r="HY120" s="753">
        <v>0.999</v>
      </c>
      <c r="HZ120" s="753">
        <v>0.999</v>
      </c>
      <c r="IA120" s="753">
        <v>0.999</v>
      </c>
      <c r="IB120" s="753">
        <v>0.999</v>
      </c>
      <c r="IC120" s="753">
        <v>0.999</v>
      </c>
      <c r="ID120" s="753">
        <v>0.999</v>
      </c>
      <c r="IE120" s="753">
        <v>0.999</v>
      </c>
      <c r="IF120" s="753">
        <v>0.999</v>
      </c>
      <c r="IG120" s="753">
        <v>0.999</v>
      </c>
      <c r="IH120" s="753">
        <v>0.999</v>
      </c>
      <c r="II120" s="753">
        <v>0.999</v>
      </c>
      <c r="IJ120" s="753">
        <v>0.999</v>
      </c>
      <c r="IK120" s="753">
        <v>0.998</v>
      </c>
      <c r="IL120" s="753">
        <v>0.997</v>
      </c>
      <c r="IM120" s="753">
        <v>0.996</v>
      </c>
      <c r="IN120" s="753">
        <v>0.992</v>
      </c>
      <c r="IO120" s="753">
        <v>0.987</v>
      </c>
      <c r="IP120" s="753">
        <v>0.981</v>
      </c>
      <c r="IQ120" s="753">
        <v>0.97</v>
      </c>
      <c r="IR120" s="753">
        <v>0.951</v>
      </c>
      <c r="IS120" s="753">
        <v>0.924</v>
      </c>
      <c r="IT120" s="753">
        <v>0.88</v>
      </c>
      <c r="IU120" s="753">
        <v>0.815</v>
      </c>
      <c r="IV120" s="753">
        <v>0.705</v>
      </c>
      <c r="IW120" s="753">
        <v>0.505</v>
      </c>
      <c r="IX120" s="753">
        <v>0.187</v>
      </c>
      <c r="IY120" s="753"/>
      <c r="IZ120" s="753"/>
      <c r="JA120" s="754">
        <v>0.58</v>
      </c>
      <c r="JB120" s="754">
        <v>0.835</v>
      </c>
      <c r="JC120" s="754">
        <v>0.951</v>
      </c>
      <c r="JD120" s="754">
        <v>0.986</v>
      </c>
      <c r="JE120" s="754">
        <v>0.998</v>
      </c>
      <c r="JF120" s="754">
        <v>0.998</v>
      </c>
      <c r="JG120" s="754">
        <v>0.998</v>
      </c>
      <c r="JH120" s="754">
        <v>0.998</v>
      </c>
      <c r="JI120" s="754">
        <v>0.998</v>
      </c>
      <c r="JJ120" s="754">
        <v>0.998</v>
      </c>
      <c r="JK120" s="754">
        <v>0.998</v>
      </c>
      <c r="JL120" s="754">
        <v>0.998</v>
      </c>
      <c r="JM120" s="754">
        <v>0.998</v>
      </c>
      <c r="JN120" s="754">
        <v>0.998</v>
      </c>
      <c r="JO120" s="754">
        <v>0.998</v>
      </c>
      <c r="JP120" s="754">
        <v>0.998</v>
      </c>
      <c r="JQ120" s="754">
        <v>0.998</v>
      </c>
      <c r="JR120" s="754">
        <v>0.998</v>
      </c>
      <c r="JS120" s="754">
        <v>0.998</v>
      </c>
      <c r="JT120" s="754">
        <v>0.998</v>
      </c>
      <c r="JU120" s="754">
        <v>0.996</v>
      </c>
      <c r="JV120" s="754">
        <v>0.994</v>
      </c>
      <c r="JW120" s="754">
        <v>0.992</v>
      </c>
      <c r="JX120" s="754">
        <v>0.987</v>
      </c>
      <c r="JY120" s="754">
        <v>0.98</v>
      </c>
      <c r="JZ120" s="754">
        <v>0.97</v>
      </c>
      <c r="KA120" s="754">
        <v>0.95</v>
      </c>
      <c r="KB120" s="754">
        <v>0.914</v>
      </c>
      <c r="KC120" s="754">
        <v>0.862</v>
      </c>
      <c r="KD120" s="754">
        <v>0.786</v>
      </c>
      <c r="KE120" s="754">
        <v>0.673</v>
      </c>
      <c r="KF120" s="754">
        <v>0.508</v>
      </c>
      <c r="KG120" s="754">
        <v>0.263</v>
      </c>
      <c r="KH120" s="754">
        <v>0.039</v>
      </c>
      <c r="KI120" s="754"/>
      <c r="KJ120" s="754"/>
      <c r="KK120" s="765" t="s">
        <v>281</v>
      </c>
      <c r="KL120" s="738">
        <v>55</v>
      </c>
      <c r="KM120" s="738">
        <v>228</v>
      </c>
      <c r="KN120" s="646" t="s">
        <v>339</v>
      </c>
      <c r="KO120" s="646" t="s">
        <v>1053</v>
      </c>
      <c r="KP120" s="680">
        <v>743492</v>
      </c>
      <c r="KQ120" s="766" t="s">
        <v>1055</v>
      </c>
      <c r="KR120" s="750" t="s">
        <v>550</v>
      </c>
      <c r="KS120" s="769" t="s">
        <v>1053</v>
      </c>
      <c r="KT120" s="770" t="s">
        <v>1056</v>
      </c>
      <c r="KU120" s="766" t="s">
        <v>1057</v>
      </c>
      <c r="KV120" s="750">
        <v>743492</v>
      </c>
      <c r="KW120" s="771" t="s">
        <v>1058</v>
      </c>
      <c r="KX120" s="750" t="s">
        <v>1056</v>
      </c>
      <c r="KY120" s="769" t="s">
        <v>1059</v>
      </c>
      <c r="KZ120" s="770" t="s">
        <v>1060</v>
      </c>
    </row>
    <row r="121" s="628" customFormat="1" customHeight="1" spans="1:312">
      <c r="A121" s="682" t="s">
        <v>374</v>
      </c>
      <c r="B121" s="683">
        <v>117</v>
      </c>
      <c r="C121" s="689" t="s">
        <v>1061</v>
      </c>
      <c r="D121" s="680">
        <v>800423</v>
      </c>
      <c r="E121" s="685">
        <v>42.34</v>
      </c>
      <c r="F121" s="685">
        <v>42.09</v>
      </c>
      <c r="G121" s="688">
        <v>0.018883</v>
      </c>
      <c r="H121" s="686">
        <v>0.019101</v>
      </c>
      <c r="I121" s="696">
        <v>1.75473</v>
      </c>
      <c r="J121" s="696">
        <v>1.76179</v>
      </c>
      <c r="K121" s="696">
        <v>1.76966</v>
      </c>
      <c r="L121" s="696">
        <v>1.77705</v>
      </c>
      <c r="M121" s="696">
        <v>1.77846</v>
      </c>
      <c r="N121" s="696">
        <v>1.77963</v>
      </c>
      <c r="O121" s="696">
        <v>1.78432</v>
      </c>
      <c r="P121" s="696">
        <v>1.78763</v>
      </c>
      <c r="Q121" s="697">
        <v>1.79073</v>
      </c>
      <c r="R121" s="697">
        <v>1.79388</v>
      </c>
      <c r="S121" s="697">
        <v>1.79476</v>
      </c>
      <c r="T121" s="701">
        <v>1.79559</v>
      </c>
      <c r="U121" s="697">
        <v>1.79934</v>
      </c>
      <c r="V121" s="697">
        <v>1.7995</v>
      </c>
      <c r="W121" s="697">
        <v>1.80399</v>
      </c>
      <c r="X121" s="697">
        <v>1.81276</v>
      </c>
      <c r="Y121" s="697">
        <v>1.81386</v>
      </c>
      <c r="Z121" s="697">
        <v>1.82345</v>
      </c>
      <c r="AA121" s="697">
        <v>1.83254</v>
      </c>
      <c r="AB121" s="697">
        <v>1.84858</v>
      </c>
      <c r="AC121" s="704">
        <v>3.15463077</v>
      </c>
      <c r="AD121" s="705">
        <v>-0.0149142692</v>
      </c>
      <c r="AE121" s="705">
        <v>0.0273983671</v>
      </c>
      <c r="AF121" s="705">
        <v>0.00130082902</v>
      </c>
      <c r="AG121" s="705">
        <v>-8.39080192e-5</v>
      </c>
      <c r="AH121" s="705">
        <v>6.66808513e-6</v>
      </c>
      <c r="AI121" s="709">
        <v>0.2976</v>
      </c>
      <c r="AJ121" s="709">
        <v>0.2378</v>
      </c>
      <c r="AK121" s="709">
        <v>0.5661</v>
      </c>
      <c r="AL121" s="709">
        <v>0.2482</v>
      </c>
      <c r="AM121" s="709">
        <v>0.2351</v>
      </c>
      <c r="AN121" s="709">
        <v>0.5021</v>
      </c>
      <c r="AO121" s="709">
        <v>-0.0024</v>
      </c>
      <c r="AP121" s="709">
        <v>-0.0072</v>
      </c>
      <c r="AQ121" s="709">
        <v>0.0094</v>
      </c>
      <c r="AR121" s="709">
        <v>0.0043</v>
      </c>
      <c r="AS121" s="714">
        <v>6.4</v>
      </c>
      <c r="AT121" s="714">
        <v>6.6</v>
      </c>
      <c r="AU121" s="714">
        <v>6.8</v>
      </c>
      <c r="AV121" s="714">
        <v>7</v>
      </c>
      <c r="AW121" s="714">
        <v>7</v>
      </c>
      <c r="AX121" s="714">
        <v>7</v>
      </c>
      <c r="AY121" s="714">
        <v>7.2</v>
      </c>
      <c r="AZ121" s="714">
        <v>7.4</v>
      </c>
      <c r="BA121" s="714">
        <v>7.6</v>
      </c>
      <c r="BB121" s="714">
        <v>7.7</v>
      </c>
      <c r="BC121" s="714">
        <v>7.8</v>
      </c>
      <c r="BD121" s="714">
        <v>6.9</v>
      </c>
      <c r="BE121" s="714">
        <v>7</v>
      </c>
      <c r="BF121" s="714">
        <v>7.1</v>
      </c>
      <c r="BG121" s="714">
        <v>7.3</v>
      </c>
      <c r="BH121" s="714">
        <v>7.3</v>
      </c>
      <c r="BI121" s="714">
        <v>7.4</v>
      </c>
      <c r="BJ121" s="714">
        <v>7.5</v>
      </c>
      <c r="BK121" s="714">
        <v>7.7</v>
      </c>
      <c r="BL121" s="714">
        <v>7.8</v>
      </c>
      <c r="BM121" s="714">
        <v>8</v>
      </c>
      <c r="BN121" s="714">
        <v>8.1</v>
      </c>
      <c r="BO121" s="714">
        <v>7.2</v>
      </c>
      <c r="BP121" s="714">
        <v>7.4</v>
      </c>
      <c r="BQ121" s="714">
        <v>7.7</v>
      </c>
      <c r="BR121" s="714">
        <v>7.8</v>
      </c>
      <c r="BS121" s="714">
        <v>7.9</v>
      </c>
      <c r="BT121" s="714">
        <v>7.9</v>
      </c>
      <c r="BU121" s="714">
        <v>8</v>
      </c>
      <c r="BV121" s="714">
        <v>8.1</v>
      </c>
      <c r="BW121" s="714">
        <v>8.2</v>
      </c>
      <c r="BX121" s="714">
        <v>8.4</v>
      </c>
      <c r="BY121" s="714">
        <v>8.5</v>
      </c>
      <c r="BZ121" s="714">
        <v>7.3</v>
      </c>
      <c r="CA121" s="714">
        <v>7.4</v>
      </c>
      <c r="CB121" s="714">
        <v>7.7</v>
      </c>
      <c r="CC121" s="714">
        <v>7.9</v>
      </c>
      <c r="CD121" s="714">
        <v>8</v>
      </c>
      <c r="CE121" s="714">
        <v>8</v>
      </c>
      <c r="CF121" s="714">
        <v>8</v>
      </c>
      <c r="CG121" s="714">
        <v>8.2</v>
      </c>
      <c r="CH121" s="714">
        <v>8.3</v>
      </c>
      <c r="CI121" s="714">
        <v>8.5</v>
      </c>
      <c r="CJ121" s="714">
        <v>8.6</v>
      </c>
      <c r="CK121" s="714">
        <v>7.3</v>
      </c>
      <c r="CL121" s="715">
        <v>7.5</v>
      </c>
      <c r="CM121" s="715">
        <v>7.8</v>
      </c>
      <c r="CN121" s="715">
        <v>8</v>
      </c>
      <c r="CO121" s="715">
        <v>8</v>
      </c>
      <c r="CP121" s="715">
        <v>8</v>
      </c>
      <c r="CQ121" s="715">
        <v>8.1</v>
      </c>
      <c r="CR121" s="714">
        <v>8.2</v>
      </c>
      <c r="CS121" s="714">
        <v>8.4</v>
      </c>
      <c r="CT121" s="714">
        <v>8.6</v>
      </c>
      <c r="CU121" s="714">
        <v>8.7</v>
      </c>
      <c r="CV121" s="714">
        <v>7.6</v>
      </c>
      <c r="CW121" s="715">
        <v>7.6</v>
      </c>
      <c r="CX121" s="715">
        <v>7.8</v>
      </c>
      <c r="CY121" s="715">
        <v>8.1</v>
      </c>
      <c r="CZ121" s="715">
        <v>8.2</v>
      </c>
      <c r="DA121" s="715">
        <v>8.3</v>
      </c>
      <c r="DB121" s="715">
        <v>8.6</v>
      </c>
      <c r="DC121" s="714">
        <v>8.8</v>
      </c>
      <c r="DD121" s="714">
        <v>9</v>
      </c>
      <c r="DE121" s="714">
        <v>9.2</v>
      </c>
      <c r="DF121" s="714">
        <v>9.3</v>
      </c>
      <c r="DG121" s="714">
        <v>7.8</v>
      </c>
      <c r="DH121" s="715">
        <v>8.1</v>
      </c>
      <c r="DI121" s="715">
        <v>8.3</v>
      </c>
      <c r="DJ121" s="715">
        <v>8.6</v>
      </c>
      <c r="DK121" s="715">
        <v>8.6</v>
      </c>
      <c r="DL121" s="715">
        <v>8.8</v>
      </c>
      <c r="DM121" s="715">
        <v>9</v>
      </c>
      <c r="DN121" s="714">
        <v>9.1</v>
      </c>
      <c r="DO121" s="714">
        <v>9.3</v>
      </c>
      <c r="DP121" s="714">
        <v>9.5</v>
      </c>
      <c r="DQ121" s="714">
        <v>9.6</v>
      </c>
      <c r="DR121" s="714">
        <v>8.5</v>
      </c>
      <c r="DS121" s="715">
        <v>8.7</v>
      </c>
      <c r="DT121" s="715">
        <v>9</v>
      </c>
      <c r="DU121" s="715">
        <v>9.2</v>
      </c>
      <c r="DV121" s="715">
        <v>9.3</v>
      </c>
      <c r="DW121" s="715">
        <v>9.5</v>
      </c>
      <c r="DX121" s="715">
        <v>9.7</v>
      </c>
      <c r="DY121" s="714">
        <v>10.1</v>
      </c>
      <c r="DZ121" s="714">
        <v>10.3</v>
      </c>
      <c r="EA121" s="714">
        <v>10.5</v>
      </c>
      <c r="EB121" s="714">
        <v>10.7</v>
      </c>
      <c r="EC121" s="714">
        <v>8.6</v>
      </c>
      <c r="ED121" s="715">
        <v>8.8</v>
      </c>
      <c r="EE121" s="715">
        <v>9.1</v>
      </c>
      <c r="EF121" s="715">
        <v>9.3</v>
      </c>
      <c r="EG121" s="715">
        <v>9.4</v>
      </c>
      <c r="EH121" s="715">
        <v>9.5</v>
      </c>
      <c r="EI121" s="715">
        <v>9.8</v>
      </c>
      <c r="EJ121" s="714">
        <v>10.1</v>
      </c>
      <c r="EK121" s="714">
        <v>10.3</v>
      </c>
      <c r="EL121" s="714">
        <v>10.5</v>
      </c>
      <c r="EM121" s="714">
        <v>10.8</v>
      </c>
      <c r="EN121" s="714">
        <v>9.1</v>
      </c>
      <c r="EO121" s="715">
        <v>9.4</v>
      </c>
      <c r="EP121" s="715">
        <v>9.9</v>
      </c>
      <c r="EQ121" s="715">
        <v>10</v>
      </c>
      <c r="ER121" s="715">
        <v>10.3</v>
      </c>
      <c r="ES121" s="715">
        <v>10.4</v>
      </c>
      <c r="ET121" s="715">
        <v>10.6</v>
      </c>
      <c r="EU121" s="714">
        <v>10.9</v>
      </c>
      <c r="EV121" s="714">
        <v>11</v>
      </c>
      <c r="EW121" s="714">
        <v>11.4</v>
      </c>
      <c r="EX121" s="714">
        <v>11.6</v>
      </c>
      <c r="EY121" s="714">
        <v>4.4</v>
      </c>
      <c r="EZ121" s="715">
        <v>5.1</v>
      </c>
      <c r="FA121" s="715">
        <v>5.7</v>
      </c>
      <c r="FB121" s="715">
        <v>6.2</v>
      </c>
      <c r="FC121" s="715">
        <v>6.4</v>
      </c>
      <c r="FD121" s="715">
        <v>6.6</v>
      </c>
      <c r="FE121" s="715">
        <v>6.9</v>
      </c>
      <c r="FF121" s="714">
        <v>7.1</v>
      </c>
      <c r="FG121" s="714">
        <v>7.4</v>
      </c>
      <c r="FH121" s="714">
        <v>7.7</v>
      </c>
      <c r="FI121" s="714">
        <v>7.9</v>
      </c>
      <c r="FJ121" s="723">
        <v>7.96e-6</v>
      </c>
      <c r="FK121" s="723">
        <v>1.37e-8</v>
      </c>
      <c r="FL121" s="723">
        <v>-2.59e-11</v>
      </c>
      <c r="FM121" s="723">
        <v>7.1e-7</v>
      </c>
      <c r="FN121" s="723">
        <v>8.49e-10</v>
      </c>
      <c r="FO121" s="723">
        <v>0.231</v>
      </c>
      <c r="FP121" s="729">
        <v>1</v>
      </c>
      <c r="FQ121" s="729">
        <v>3</v>
      </c>
      <c r="FR121" s="729">
        <v>1</v>
      </c>
      <c r="FS121" s="729">
        <v>3</v>
      </c>
      <c r="FT121" s="729">
        <v>1</v>
      </c>
      <c r="FU121" s="729">
        <v>1</v>
      </c>
      <c r="FV121" s="681">
        <v>1</v>
      </c>
      <c r="FW121" s="729"/>
      <c r="FX121" s="729"/>
      <c r="FY121" s="729"/>
      <c r="FZ121" s="746">
        <v>606</v>
      </c>
      <c r="GA121" s="746">
        <v>637</v>
      </c>
      <c r="GB121" s="681">
        <v>539</v>
      </c>
      <c r="GC121" s="681">
        <v>580</v>
      </c>
      <c r="GD121" s="747">
        <v>1.3</v>
      </c>
      <c r="GE121" s="729"/>
      <c r="GF121" s="681">
        <v>53</v>
      </c>
      <c r="GG121" s="681">
        <v>68</v>
      </c>
      <c r="GH121" s="681">
        <v>47</v>
      </c>
      <c r="GI121" s="681">
        <v>49</v>
      </c>
      <c r="GJ121" s="681">
        <v>51</v>
      </c>
      <c r="GK121" s="681">
        <v>53</v>
      </c>
      <c r="GL121" s="681">
        <v>53</v>
      </c>
      <c r="GM121" s="681">
        <v>54</v>
      </c>
      <c r="GN121" s="681">
        <v>55</v>
      </c>
      <c r="GO121" s="681">
        <v>56</v>
      </c>
      <c r="GP121" s="681">
        <v>57</v>
      </c>
      <c r="GQ121" s="681">
        <v>57</v>
      </c>
      <c r="GR121" s="681">
        <v>58</v>
      </c>
      <c r="GS121" s="681">
        <v>58</v>
      </c>
      <c r="GT121" s="681">
        <v>59</v>
      </c>
      <c r="GU121" s="681">
        <v>60</v>
      </c>
      <c r="GV121" s="681">
        <v>61</v>
      </c>
      <c r="GW121" s="681">
        <v>62</v>
      </c>
      <c r="GX121" s="681">
        <v>63</v>
      </c>
      <c r="GY121" s="681">
        <v>64</v>
      </c>
      <c r="GZ121" s="681">
        <v>65</v>
      </c>
      <c r="HA121" s="681">
        <v>66</v>
      </c>
      <c r="HB121" s="681">
        <v>66</v>
      </c>
      <c r="HC121" s="681"/>
      <c r="HD121" s="750">
        <v>145</v>
      </c>
      <c r="HE121" s="681"/>
      <c r="HF121" s="681">
        <v>630</v>
      </c>
      <c r="HG121" s="681">
        <v>84</v>
      </c>
      <c r="HH121" s="714">
        <v>114.4</v>
      </c>
      <c r="HI121" s="714">
        <v>42.7</v>
      </c>
      <c r="HJ121" s="753">
        <v>0.34</v>
      </c>
      <c r="HK121" s="681">
        <v>74</v>
      </c>
      <c r="HL121" s="685">
        <v>2.07</v>
      </c>
      <c r="HM121" s="747">
        <v>4.4</v>
      </c>
      <c r="HN121" s="729" t="s">
        <v>1062</v>
      </c>
      <c r="HO121" s="729" t="s">
        <v>1063</v>
      </c>
      <c r="HP121" s="714">
        <v>-1.7</v>
      </c>
      <c r="HQ121" s="753">
        <v>0.811</v>
      </c>
      <c r="HR121" s="753">
        <v>0.944</v>
      </c>
      <c r="HS121" s="753">
        <v>0.99</v>
      </c>
      <c r="HT121" s="753">
        <v>0.999</v>
      </c>
      <c r="HU121" s="753">
        <v>0.999</v>
      </c>
      <c r="HV121" s="753">
        <v>0.999</v>
      </c>
      <c r="HW121" s="753">
        <v>0.999</v>
      </c>
      <c r="HX121" s="753">
        <v>0.999</v>
      </c>
      <c r="HY121" s="753">
        <v>0.999</v>
      </c>
      <c r="HZ121" s="753">
        <v>0.999</v>
      </c>
      <c r="IA121" s="753">
        <v>0.999</v>
      </c>
      <c r="IB121" s="753">
        <v>0.999</v>
      </c>
      <c r="IC121" s="753">
        <v>0.999</v>
      </c>
      <c r="ID121" s="753">
        <v>0.999</v>
      </c>
      <c r="IE121" s="753">
        <v>0.999</v>
      </c>
      <c r="IF121" s="753">
        <v>0.999</v>
      </c>
      <c r="IG121" s="753">
        <v>0.999</v>
      </c>
      <c r="IH121" s="753">
        <v>0.999</v>
      </c>
      <c r="II121" s="753">
        <v>0.999</v>
      </c>
      <c r="IJ121" s="753">
        <v>0.997</v>
      </c>
      <c r="IK121" s="753">
        <v>0.995</v>
      </c>
      <c r="IL121" s="753">
        <v>0.993</v>
      </c>
      <c r="IM121" s="753">
        <v>0.991</v>
      </c>
      <c r="IN121" s="753">
        <v>0.984</v>
      </c>
      <c r="IO121" s="753">
        <v>0.978</v>
      </c>
      <c r="IP121" s="753">
        <v>0.966</v>
      </c>
      <c r="IQ121" s="753">
        <v>0.941</v>
      </c>
      <c r="IR121" s="753">
        <v>0.9</v>
      </c>
      <c r="IS121" s="753">
        <v>0.815</v>
      </c>
      <c r="IT121" s="753">
        <v>0.638</v>
      </c>
      <c r="IU121" s="753">
        <v>0.316</v>
      </c>
      <c r="IV121" s="753">
        <v>0.048</v>
      </c>
      <c r="IW121" s="753"/>
      <c r="IX121" s="753"/>
      <c r="IY121" s="753"/>
      <c r="IZ121" s="753"/>
      <c r="JA121" s="754">
        <v>0.658</v>
      </c>
      <c r="JB121" s="754">
        <v>0.891</v>
      </c>
      <c r="JC121" s="754">
        <v>0.98</v>
      </c>
      <c r="JD121" s="754">
        <v>0.998</v>
      </c>
      <c r="JE121" s="754">
        <v>0.998</v>
      </c>
      <c r="JF121" s="754">
        <v>0.998</v>
      </c>
      <c r="JG121" s="754">
        <v>0.998</v>
      </c>
      <c r="JH121" s="754">
        <v>0.998</v>
      </c>
      <c r="JI121" s="754">
        <v>0.998</v>
      </c>
      <c r="JJ121" s="754">
        <v>0.998</v>
      </c>
      <c r="JK121" s="754">
        <v>0.998</v>
      </c>
      <c r="JL121" s="754">
        <v>0.998</v>
      </c>
      <c r="JM121" s="754">
        <v>0.998</v>
      </c>
      <c r="JN121" s="754">
        <v>0.998</v>
      </c>
      <c r="JO121" s="754">
        <v>0.998</v>
      </c>
      <c r="JP121" s="754">
        <v>0.998</v>
      </c>
      <c r="JQ121" s="754">
        <v>0.998</v>
      </c>
      <c r="JR121" s="754">
        <v>0.998</v>
      </c>
      <c r="JS121" s="754">
        <v>0.998</v>
      </c>
      <c r="JT121" s="754">
        <v>0.996</v>
      </c>
      <c r="JU121" s="754">
        <v>0.994</v>
      </c>
      <c r="JV121" s="754">
        <v>0.992</v>
      </c>
      <c r="JW121" s="754">
        <v>0.986</v>
      </c>
      <c r="JX121" s="754">
        <v>0.973</v>
      </c>
      <c r="JY121" s="754">
        <v>0.96</v>
      </c>
      <c r="JZ121" s="754">
        <v>0.935</v>
      </c>
      <c r="KA121" s="754">
        <v>0.89</v>
      </c>
      <c r="KB121" s="754">
        <v>0.811</v>
      </c>
      <c r="KC121" s="754">
        <v>0.665</v>
      </c>
      <c r="KD121" s="754">
        <v>0.408</v>
      </c>
      <c r="KE121" s="754">
        <v>0.102</v>
      </c>
      <c r="KF121" s="754">
        <v>0.011</v>
      </c>
      <c r="KG121" s="754"/>
      <c r="KH121" s="754"/>
      <c r="KI121" s="754"/>
      <c r="KJ121" s="754"/>
      <c r="KK121" s="765" t="s">
        <v>281</v>
      </c>
      <c r="KL121" s="738">
        <v>65</v>
      </c>
      <c r="KM121" s="738">
        <v>286</v>
      </c>
      <c r="KN121" s="646" t="s">
        <v>339</v>
      </c>
      <c r="KO121" s="646" t="s">
        <v>1061</v>
      </c>
      <c r="KP121" s="680">
        <v>800423</v>
      </c>
      <c r="KQ121" s="766" t="s">
        <v>1064</v>
      </c>
      <c r="KR121" s="750" t="s">
        <v>1065</v>
      </c>
      <c r="KS121" s="769" t="s">
        <v>1061</v>
      </c>
      <c r="KT121" s="770" t="s">
        <v>1065</v>
      </c>
      <c r="KU121" s="766" t="s">
        <v>1066</v>
      </c>
      <c r="KV121" s="750">
        <v>800423</v>
      </c>
      <c r="KW121" s="771" t="s">
        <v>1067</v>
      </c>
      <c r="KX121" s="750" t="s">
        <v>1068</v>
      </c>
      <c r="KY121" s="769" t="s">
        <v>1069</v>
      </c>
      <c r="KZ121" s="770" t="s">
        <v>1070</v>
      </c>
    </row>
    <row r="122" s="628" customFormat="1" customHeight="1" spans="1:312">
      <c r="A122" s="682" t="s">
        <v>374</v>
      </c>
      <c r="B122" s="683">
        <v>118</v>
      </c>
      <c r="C122" s="689" t="s">
        <v>1071</v>
      </c>
      <c r="D122" s="680">
        <v>750353</v>
      </c>
      <c r="E122" s="685">
        <v>35.33</v>
      </c>
      <c r="F122" s="685">
        <v>35.1</v>
      </c>
      <c r="G122" s="688">
        <v>0.021214</v>
      </c>
      <c r="H122" s="686">
        <v>0.021498</v>
      </c>
      <c r="I122" s="696">
        <v>1.70383</v>
      </c>
      <c r="J122" s="696">
        <v>1.7104</v>
      </c>
      <c r="K122" s="696">
        <v>1.71787</v>
      </c>
      <c r="L122" s="696">
        <v>1.72521</v>
      </c>
      <c r="M122" s="696">
        <v>1.72665</v>
      </c>
      <c r="N122" s="696">
        <v>1.72788</v>
      </c>
      <c r="O122" s="696">
        <v>1.73284</v>
      </c>
      <c r="P122" s="696">
        <v>1.73642</v>
      </c>
      <c r="Q122" s="697">
        <v>1.7398</v>
      </c>
      <c r="R122" s="697">
        <v>1.74326</v>
      </c>
      <c r="S122" s="697">
        <v>1.74424</v>
      </c>
      <c r="T122" s="701">
        <v>1.74516</v>
      </c>
      <c r="U122" s="697">
        <v>1.74932</v>
      </c>
      <c r="V122" s="697">
        <v>1.7495</v>
      </c>
      <c r="W122" s="697">
        <v>1.75453</v>
      </c>
      <c r="X122" s="697">
        <v>1.76447</v>
      </c>
      <c r="Y122" s="697">
        <v>1.76574</v>
      </c>
      <c r="Z122" s="697">
        <v>1.77675</v>
      </c>
      <c r="AA122" s="697">
        <v>1.78738</v>
      </c>
      <c r="AB122" s="697">
        <v>1.80661</v>
      </c>
      <c r="AC122" s="704">
        <v>2.96935883</v>
      </c>
      <c r="AD122" s="705">
        <v>-0.0132774456</v>
      </c>
      <c r="AE122" s="705">
        <v>0.0293044954</v>
      </c>
      <c r="AF122" s="705">
        <v>0.00150919828</v>
      </c>
      <c r="AG122" s="705">
        <v>-9.11873783e-5</v>
      </c>
      <c r="AH122" s="705">
        <v>9.40030979e-6</v>
      </c>
      <c r="AI122" s="709">
        <v>0.2941</v>
      </c>
      <c r="AJ122" s="709">
        <v>0.2371</v>
      </c>
      <c r="AK122" s="709">
        <v>0.5789</v>
      </c>
      <c r="AL122" s="709">
        <v>0.2447</v>
      </c>
      <c r="AM122" s="709">
        <v>0.234</v>
      </c>
      <c r="AN122" s="709">
        <v>0.5121</v>
      </c>
      <c r="AO122" s="709">
        <v>-0.0021</v>
      </c>
      <c r="AP122" s="709">
        <v>-0.0061</v>
      </c>
      <c r="AQ122" s="709">
        <v>0.0137</v>
      </c>
      <c r="AR122" s="709">
        <v>0.006</v>
      </c>
      <c r="AS122" s="714">
        <v>4</v>
      </c>
      <c r="AT122" s="714">
        <v>4</v>
      </c>
      <c r="AU122" s="714">
        <v>3.8</v>
      </c>
      <c r="AV122" s="714">
        <v>3.8</v>
      </c>
      <c r="AW122" s="714">
        <v>3.7</v>
      </c>
      <c r="AX122" s="714">
        <v>3.7</v>
      </c>
      <c r="AY122" s="714">
        <v>3.8</v>
      </c>
      <c r="AZ122" s="714">
        <v>4</v>
      </c>
      <c r="BA122" s="714">
        <v>4.1</v>
      </c>
      <c r="BB122" s="714">
        <v>4.2</v>
      </c>
      <c r="BC122" s="714">
        <v>4.2</v>
      </c>
      <c r="BD122" s="714">
        <v>4.4</v>
      </c>
      <c r="BE122" s="714">
        <v>4.3</v>
      </c>
      <c r="BF122" s="714">
        <v>4.3</v>
      </c>
      <c r="BG122" s="714">
        <v>4.3</v>
      </c>
      <c r="BH122" s="714">
        <v>4.3</v>
      </c>
      <c r="BI122" s="714">
        <v>4.3</v>
      </c>
      <c r="BJ122" s="714">
        <v>4.4</v>
      </c>
      <c r="BK122" s="714">
        <v>4.4</v>
      </c>
      <c r="BL122" s="714">
        <v>4.5</v>
      </c>
      <c r="BM122" s="714">
        <v>4.5</v>
      </c>
      <c r="BN122" s="714">
        <v>4.6</v>
      </c>
      <c r="BO122" s="714">
        <v>4.6</v>
      </c>
      <c r="BP122" s="714">
        <v>4.6</v>
      </c>
      <c r="BQ122" s="714">
        <v>4.7</v>
      </c>
      <c r="BR122" s="714">
        <v>4.7</v>
      </c>
      <c r="BS122" s="714">
        <v>4.7</v>
      </c>
      <c r="BT122" s="714">
        <v>4.7</v>
      </c>
      <c r="BU122" s="714">
        <v>4.8</v>
      </c>
      <c r="BV122" s="714">
        <v>4.9</v>
      </c>
      <c r="BW122" s="714">
        <v>4.9</v>
      </c>
      <c r="BX122" s="714">
        <v>5</v>
      </c>
      <c r="BY122" s="714">
        <v>5.1</v>
      </c>
      <c r="BZ122" s="714">
        <v>4.7</v>
      </c>
      <c r="CA122" s="714">
        <v>4.7</v>
      </c>
      <c r="CB122" s="714">
        <v>4.7</v>
      </c>
      <c r="CC122" s="714">
        <v>4.7</v>
      </c>
      <c r="CD122" s="714">
        <v>4.7</v>
      </c>
      <c r="CE122" s="714">
        <v>4.7</v>
      </c>
      <c r="CF122" s="714">
        <v>4.8</v>
      </c>
      <c r="CG122" s="714">
        <v>4.9</v>
      </c>
      <c r="CH122" s="714">
        <v>4.9</v>
      </c>
      <c r="CI122" s="714">
        <v>5.1</v>
      </c>
      <c r="CJ122" s="714">
        <v>5.2</v>
      </c>
      <c r="CK122" s="714">
        <v>4.7</v>
      </c>
      <c r="CL122" s="715">
        <v>4.8</v>
      </c>
      <c r="CM122" s="715">
        <v>4.8</v>
      </c>
      <c r="CN122" s="715">
        <v>4.8</v>
      </c>
      <c r="CO122" s="715">
        <v>4.8</v>
      </c>
      <c r="CP122" s="715">
        <v>4.8</v>
      </c>
      <c r="CQ122" s="715">
        <v>4.9</v>
      </c>
      <c r="CR122" s="714">
        <v>5</v>
      </c>
      <c r="CS122" s="714">
        <v>5</v>
      </c>
      <c r="CT122" s="714">
        <v>5.2</v>
      </c>
      <c r="CU122" s="714">
        <v>5.3</v>
      </c>
      <c r="CV122" s="714">
        <v>5</v>
      </c>
      <c r="CW122" s="715">
        <v>5</v>
      </c>
      <c r="CX122" s="715">
        <v>5.1</v>
      </c>
      <c r="CY122" s="715">
        <v>5.1</v>
      </c>
      <c r="CZ122" s="715">
        <v>5.1</v>
      </c>
      <c r="DA122" s="715">
        <v>5.1</v>
      </c>
      <c r="DB122" s="715">
        <v>5.2</v>
      </c>
      <c r="DC122" s="714">
        <v>5.3</v>
      </c>
      <c r="DD122" s="714">
        <v>5.4</v>
      </c>
      <c r="DE122" s="714">
        <v>5.5</v>
      </c>
      <c r="DF122" s="714">
        <v>5.6</v>
      </c>
      <c r="DG122" s="714">
        <v>5.5</v>
      </c>
      <c r="DH122" s="715">
        <v>5.5</v>
      </c>
      <c r="DI122" s="715">
        <v>5.4</v>
      </c>
      <c r="DJ122" s="715">
        <v>5.4</v>
      </c>
      <c r="DK122" s="715">
        <v>5.4</v>
      </c>
      <c r="DL122" s="715">
        <v>5.5</v>
      </c>
      <c r="DM122" s="715">
        <v>5.7</v>
      </c>
      <c r="DN122" s="714">
        <v>5.8</v>
      </c>
      <c r="DO122" s="714">
        <v>6</v>
      </c>
      <c r="DP122" s="714">
        <v>6.2</v>
      </c>
      <c r="DQ122" s="714">
        <v>6.3</v>
      </c>
      <c r="DR122" s="714">
        <v>6.3</v>
      </c>
      <c r="DS122" s="715">
        <v>6.4</v>
      </c>
      <c r="DT122" s="715">
        <v>6.4</v>
      </c>
      <c r="DU122" s="715">
        <v>6.4</v>
      </c>
      <c r="DV122" s="715">
        <v>6.4</v>
      </c>
      <c r="DW122" s="715">
        <v>6.6</v>
      </c>
      <c r="DX122" s="715">
        <v>6.8</v>
      </c>
      <c r="DY122" s="714">
        <v>6.9</v>
      </c>
      <c r="DZ122" s="714">
        <v>7</v>
      </c>
      <c r="EA122" s="714">
        <v>7.1</v>
      </c>
      <c r="EB122" s="714">
        <v>7.3</v>
      </c>
      <c r="EC122" s="714">
        <v>6.3</v>
      </c>
      <c r="ED122" s="715">
        <v>6.4</v>
      </c>
      <c r="EE122" s="715">
        <v>6.4</v>
      </c>
      <c r="EF122" s="715">
        <v>6.4</v>
      </c>
      <c r="EG122" s="715">
        <v>6.4</v>
      </c>
      <c r="EH122" s="715">
        <v>6.6</v>
      </c>
      <c r="EI122" s="715">
        <v>6.8</v>
      </c>
      <c r="EJ122" s="714">
        <v>6.9</v>
      </c>
      <c r="EK122" s="714">
        <v>7</v>
      </c>
      <c r="EL122" s="714">
        <v>7.1</v>
      </c>
      <c r="EM122" s="714">
        <v>7.3</v>
      </c>
      <c r="EN122" s="714">
        <v>7.1</v>
      </c>
      <c r="EO122" s="715">
        <v>7.2</v>
      </c>
      <c r="EP122" s="715">
        <v>7.3</v>
      </c>
      <c r="EQ122" s="715">
        <v>7.4</v>
      </c>
      <c r="ER122" s="715">
        <v>7.4</v>
      </c>
      <c r="ES122" s="715">
        <v>7.5</v>
      </c>
      <c r="ET122" s="715">
        <v>7.8</v>
      </c>
      <c r="EU122" s="714">
        <v>7.9</v>
      </c>
      <c r="EV122" s="714">
        <v>8.1</v>
      </c>
      <c r="EW122" s="714">
        <v>8.2</v>
      </c>
      <c r="EX122" s="714">
        <v>8.4</v>
      </c>
      <c r="EY122" s="714">
        <v>1.9</v>
      </c>
      <c r="EZ122" s="715">
        <v>2.4</v>
      </c>
      <c r="FA122" s="715">
        <v>2.8</v>
      </c>
      <c r="FB122" s="715">
        <v>3.1</v>
      </c>
      <c r="FC122" s="715">
        <v>3.3</v>
      </c>
      <c r="FD122" s="715">
        <v>3.5</v>
      </c>
      <c r="FE122" s="715">
        <v>3.7</v>
      </c>
      <c r="FF122" s="714">
        <v>3.9</v>
      </c>
      <c r="FG122" s="714">
        <v>4.1</v>
      </c>
      <c r="FH122" s="714">
        <v>4.3</v>
      </c>
      <c r="FI122" s="714">
        <v>4.5</v>
      </c>
      <c r="FJ122" s="723">
        <v>3.12e-6</v>
      </c>
      <c r="FK122" s="723">
        <v>9.87e-9</v>
      </c>
      <c r="FL122" s="723">
        <v>-1.45e-11</v>
      </c>
      <c r="FM122" s="723">
        <v>7.63e-7</v>
      </c>
      <c r="FN122" s="723">
        <v>6e-10</v>
      </c>
      <c r="FO122" s="723">
        <v>0.265</v>
      </c>
      <c r="FP122" s="729">
        <v>1</v>
      </c>
      <c r="FQ122" s="729">
        <v>1</v>
      </c>
      <c r="FR122" s="729">
        <v>1</v>
      </c>
      <c r="FS122" s="729">
        <v>1</v>
      </c>
      <c r="FT122" s="729">
        <v>1</v>
      </c>
      <c r="FU122" s="729">
        <v>1</v>
      </c>
      <c r="FV122" s="681" t="s">
        <v>441</v>
      </c>
      <c r="FW122" s="729"/>
      <c r="FX122" s="729"/>
      <c r="FY122" s="729"/>
      <c r="FZ122" s="746">
        <v>551</v>
      </c>
      <c r="GA122" s="746">
        <v>589</v>
      </c>
      <c r="GB122" s="681">
        <v>482</v>
      </c>
      <c r="GC122" s="681">
        <v>533</v>
      </c>
      <c r="GD122" s="747">
        <v>1.29</v>
      </c>
      <c r="GE122" s="729"/>
      <c r="GF122" s="681">
        <v>78</v>
      </c>
      <c r="GG122" s="681">
        <v>104</v>
      </c>
      <c r="GH122" s="681">
        <v>70</v>
      </c>
      <c r="GI122" s="681">
        <v>72</v>
      </c>
      <c r="GJ122" s="681">
        <v>74</v>
      </c>
      <c r="GK122" s="681">
        <v>76</v>
      </c>
      <c r="GL122" s="681">
        <v>77</v>
      </c>
      <c r="GM122" s="681">
        <v>78</v>
      </c>
      <c r="GN122" s="681">
        <v>79</v>
      </c>
      <c r="GO122" s="681">
        <v>80</v>
      </c>
      <c r="GP122" s="681">
        <v>81</v>
      </c>
      <c r="GQ122" s="681">
        <v>82</v>
      </c>
      <c r="GR122" s="681">
        <v>83</v>
      </c>
      <c r="GS122" s="681">
        <v>84</v>
      </c>
      <c r="GT122" s="681">
        <v>84</v>
      </c>
      <c r="GU122" s="681">
        <v>85</v>
      </c>
      <c r="GV122" s="681">
        <v>86</v>
      </c>
      <c r="GW122" s="681">
        <v>88</v>
      </c>
      <c r="GX122" s="681">
        <v>89</v>
      </c>
      <c r="GY122" s="681">
        <v>91</v>
      </c>
      <c r="GZ122" s="681">
        <v>92</v>
      </c>
      <c r="HA122" s="681">
        <v>94</v>
      </c>
      <c r="HB122" s="681">
        <v>95</v>
      </c>
      <c r="HC122" s="681"/>
      <c r="HD122" s="750">
        <v>93</v>
      </c>
      <c r="HE122" s="681"/>
      <c r="HF122" s="681">
        <v>580</v>
      </c>
      <c r="HG122" s="681">
        <v>156</v>
      </c>
      <c r="HH122" s="714">
        <v>109.7</v>
      </c>
      <c r="HI122" s="714">
        <v>42.5</v>
      </c>
      <c r="HJ122" s="753">
        <v>0.29</v>
      </c>
      <c r="HK122" s="681">
        <v>81</v>
      </c>
      <c r="HL122" s="685">
        <v>2.44</v>
      </c>
      <c r="HM122" s="747">
        <v>3.23</v>
      </c>
      <c r="HN122" s="729" t="s">
        <v>1072</v>
      </c>
      <c r="HO122" s="729" t="s">
        <v>1073</v>
      </c>
      <c r="HP122" s="714">
        <v>-0.4</v>
      </c>
      <c r="HQ122" s="753">
        <v>0.967</v>
      </c>
      <c r="HR122" s="753">
        <v>0.982</v>
      </c>
      <c r="HS122" s="753">
        <v>0.993</v>
      </c>
      <c r="HT122" s="753">
        <v>0.996</v>
      </c>
      <c r="HU122" s="753">
        <v>0.998</v>
      </c>
      <c r="HV122" s="753">
        <v>0.998</v>
      </c>
      <c r="HW122" s="753">
        <v>0.999</v>
      </c>
      <c r="HX122" s="753">
        <v>0.999</v>
      </c>
      <c r="HY122" s="753">
        <v>0.999</v>
      </c>
      <c r="HZ122" s="753">
        <v>0.999</v>
      </c>
      <c r="IA122" s="753">
        <v>0.999</v>
      </c>
      <c r="IB122" s="753">
        <v>0.999</v>
      </c>
      <c r="IC122" s="753">
        <v>0.999</v>
      </c>
      <c r="ID122" s="753">
        <v>0.999</v>
      </c>
      <c r="IE122" s="753">
        <v>0.999</v>
      </c>
      <c r="IF122" s="753">
        <v>0.998</v>
      </c>
      <c r="IG122" s="753">
        <v>0.998</v>
      </c>
      <c r="IH122" s="753">
        <v>0.998</v>
      </c>
      <c r="II122" s="753">
        <v>0.996</v>
      </c>
      <c r="IJ122" s="753">
        <v>0.994</v>
      </c>
      <c r="IK122" s="753">
        <v>0.992</v>
      </c>
      <c r="IL122" s="753">
        <v>0.99</v>
      </c>
      <c r="IM122" s="753">
        <v>0.987</v>
      </c>
      <c r="IN122" s="753">
        <v>0.981</v>
      </c>
      <c r="IO122" s="753">
        <v>0.974</v>
      </c>
      <c r="IP122" s="753">
        <v>0.963</v>
      </c>
      <c r="IQ122" s="753">
        <v>0.946</v>
      </c>
      <c r="IR122" s="753">
        <v>0.919</v>
      </c>
      <c r="IS122" s="753">
        <v>0.872</v>
      </c>
      <c r="IT122" s="753">
        <v>0.759</v>
      </c>
      <c r="IU122" s="753">
        <v>0.486</v>
      </c>
      <c r="IV122" s="753">
        <v>0.118</v>
      </c>
      <c r="IW122" s="753"/>
      <c r="IX122" s="753"/>
      <c r="IY122" s="753"/>
      <c r="IZ122" s="753"/>
      <c r="JA122" s="754">
        <v>0.936</v>
      </c>
      <c r="JB122" s="754">
        <v>0.965</v>
      </c>
      <c r="JC122" s="754">
        <v>0.987</v>
      </c>
      <c r="JD122" s="754">
        <v>0.992</v>
      </c>
      <c r="JE122" s="754">
        <v>0.995</v>
      </c>
      <c r="JF122" s="754">
        <v>0.996</v>
      </c>
      <c r="JG122" s="754">
        <v>0.997</v>
      </c>
      <c r="JH122" s="754">
        <v>0.998</v>
      </c>
      <c r="JI122" s="754">
        <v>0.998</v>
      </c>
      <c r="JJ122" s="754">
        <v>0.998</v>
      </c>
      <c r="JK122" s="754">
        <v>0.998</v>
      </c>
      <c r="JL122" s="754">
        <v>0.998</v>
      </c>
      <c r="JM122" s="754">
        <v>0.998</v>
      </c>
      <c r="JN122" s="754">
        <v>0.998</v>
      </c>
      <c r="JO122" s="754">
        <v>0.998</v>
      </c>
      <c r="JP122" s="754">
        <v>0.996</v>
      </c>
      <c r="JQ122" s="754">
        <v>0.996</v>
      </c>
      <c r="JR122" s="754">
        <v>0.996</v>
      </c>
      <c r="JS122" s="754">
        <v>0.992</v>
      </c>
      <c r="JT122" s="754">
        <v>0.989</v>
      </c>
      <c r="JU122" s="754">
        <v>0.985</v>
      </c>
      <c r="JV122" s="754">
        <v>0.98</v>
      </c>
      <c r="JW122" s="754">
        <v>0.975</v>
      </c>
      <c r="JX122" s="754">
        <v>0.963</v>
      </c>
      <c r="JY122" s="754">
        <v>0.949</v>
      </c>
      <c r="JZ122" s="754">
        <v>0.928</v>
      </c>
      <c r="KA122" s="754">
        <v>0.895</v>
      </c>
      <c r="KB122" s="754">
        <v>0.845</v>
      </c>
      <c r="KC122" s="754">
        <v>0.76</v>
      </c>
      <c r="KD122" s="754">
        <v>0.576</v>
      </c>
      <c r="KE122" s="754">
        <v>0.236</v>
      </c>
      <c r="KF122" s="754">
        <v>0.014</v>
      </c>
      <c r="KG122" s="754"/>
      <c r="KH122" s="754"/>
      <c r="KI122" s="754"/>
      <c r="KJ122" s="754"/>
      <c r="KK122" s="765" t="s">
        <v>281</v>
      </c>
      <c r="KL122" s="738">
        <v>159</v>
      </c>
      <c r="KM122" s="738">
        <v>514</v>
      </c>
      <c r="KN122" s="646" t="s">
        <v>303</v>
      </c>
      <c r="KO122" s="646" t="s">
        <v>1071</v>
      </c>
      <c r="KP122" s="680">
        <v>750353</v>
      </c>
      <c r="KQ122" s="766" t="s">
        <v>1074</v>
      </c>
      <c r="KR122" s="750" t="s">
        <v>1007</v>
      </c>
      <c r="KS122" s="769"/>
      <c r="KT122" s="770"/>
      <c r="KU122" s="766"/>
      <c r="KV122" s="750"/>
      <c r="KW122" s="771"/>
      <c r="KX122" s="750"/>
      <c r="KY122" s="769"/>
      <c r="KZ122" s="770"/>
    </row>
    <row r="123" s="628" customFormat="1" customHeight="1" spans="1:312">
      <c r="A123" s="682" t="s">
        <v>374</v>
      </c>
      <c r="B123" s="683">
        <v>119</v>
      </c>
      <c r="C123" s="689" t="s">
        <v>1075</v>
      </c>
      <c r="D123" s="680">
        <v>800422</v>
      </c>
      <c r="E123" s="685">
        <v>42.24</v>
      </c>
      <c r="F123" s="685">
        <v>41.98</v>
      </c>
      <c r="G123" s="688">
        <v>0.018928</v>
      </c>
      <c r="H123" s="686">
        <v>0.019154</v>
      </c>
      <c r="I123" s="696"/>
      <c r="J123" s="696"/>
      <c r="K123" s="696"/>
      <c r="L123" s="696">
        <v>1.7775</v>
      </c>
      <c r="M123" s="696">
        <v>1.7788</v>
      </c>
      <c r="N123" s="696">
        <v>1.77991</v>
      </c>
      <c r="O123" s="696">
        <v>1.78443</v>
      </c>
      <c r="P123" s="696">
        <v>1.78769</v>
      </c>
      <c r="Q123" s="697">
        <v>1.79076</v>
      </c>
      <c r="R123" s="697">
        <v>1.79389</v>
      </c>
      <c r="S123" s="697">
        <v>1.79478</v>
      </c>
      <c r="T123" s="701">
        <v>1.79561</v>
      </c>
      <c r="U123" s="697">
        <v>1.79935</v>
      </c>
      <c r="V123" s="697">
        <v>1.79952</v>
      </c>
      <c r="W123" s="697">
        <v>1.80402</v>
      </c>
      <c r="X123" s="697">
        <v>1.81282</v>
      </c>
      <c r="Y123" s="697">
        <v>1.81393</v>
      </c>
      <c r="Z123" s="697">
        <v>1.82356</v>
      </c>
      <c r="AA123" s="697">
        <v>1.83269</v>
      </c>
      <c r="AB123" s="697">
        <v>1.84872</v>
      </c>
      <c r="AC123" s="704">
        <v>3.14996339</v>
      </c>
      <c r="AD123" s="705">
        <v>-0.0112409199</v>
      </c>
      <c r="AE123" s="705">
        <v>0.0299099759</v>
      </c>
      <c r="AF123" s="705">
        <v>0.000596811598</v>
      </c>
      <c r="AG123" s="705">
        <v>1.91751228e-5</v>
      </c>
      <c r="AH123" s="705">
        <v>9.69165865e-7</v>
      </c>
      <c r="AI123" s="709">
        <v>0.2974</v>
      </c>
      <c r="AJ123" s="709">
        <v>0.2377</v>
      </c>
      <c r="AK123" s="709">
        <v>0.5674</v>
      </c>
      <c r="AL123" s="709">
        <v>0.2475</v>
      </c>
      <c r="AM123" s="709">
        <v>0.2349</v>
      </c>
      <c r="AN123" s="709">
        <v>0.5028</v>
      </c>
      <c r="AO123" s="709">
        <v>-0.002</v>
      </c>
      <c r="AP123" s="709">
        <v>-0.006</v>
      </c>
      <c r="AQ123" s="709">
        <v>-0.0062</v>
      </c>
      <c r="AR123" s="709">
        <v>-0.002</v>
      </c>
      <c r="AS123" s="714">
        <v>7.5</v>
      </c>
      <c r="AT123" s="714">
        <v>7.7</v>
      </c>
      <c r="AU123" s="714">
        <v>7.8</v>
      </c>
      <c r="AV123" s="714">
        <v>8.1</v>
      </c>
      <c r="AW123" s="714">
        <v>8.2</v>
      </c>
      <c r="AX123" s="714">
        <v>8.5</v>
      </c>
      <c r="AY123" s="714">
        <v>8.6</v>
      </c>
      <c r="AZ123" s="714">
        <v>8.7</v>
      </c>
      <c r="BA123" s="714">
        <v>8.9</v>
      </c>
      <c r="BB123" s="714">
        <v>9.1</v>
      </c>
      <c r="BC123" s="714">
        <v>9.2</v>
      </c>
      <c r="BD123" s="714">
        <v>8.2</v>
      </c>
      <c r="BE123" s="714">
        <v>8.4</v>
      </c>
      <c r="BF123" s="714">
        <v>8.6</v>
      </c>
      <c r="BG123" s="714">
        <v>8.7</v>
      </c>
      <c r="BH123" s="714">
        <v>8.8</v>
      </c>
      <c r="BI123" s="714">
        <v>9</v>
      </c>
      <c r="BJ123" s="714">
        <v>9.2</v>
      </c>
      <c r="BK123" s="714">
        <v>9.5</v>
      </c>
      <c r="BL123" s="714">
        <v>9.7</v>
      </c>
      <c r="BM123" s="714">
        <v>9.8</v>
      </c>
      <c r="BN123" s="714">
        <v>9.8</v>
      </c>
      <c r="BO123" s="714">
        <v>9.2</v>
      </c>
      <c r="BP123" s="714">
        <v>9.3</v>
      </c>
      <c r="BQ123" s="714">
        <v>9.5</v>
      </c>
      <c r="BR123" s="714">
        <v>9.6</v>
      </c>
      <c r="BS123" s="714">
        <v>9.8</v>
      </c>
      <c r="BT123" s="714">
        <v>10.1</v>
      </c>
      <c r="BU123" s="714">
        <v>10.4</v>
      </c>
      <c r="BV123" s="714">
        <v>10.5</v>
      </c>
      <c r="BW123" s="714">
        <v>10.7</v>
      </c>
      <c r="BX123" s="714">
        <v>10.8</v>
      </c>
      <c r="BY123" s="714">
        <v>10.9</v>
      </c>
      <c r="BZ123" s="714">
        <v>9.4</v>
      </c>
      <c r="CA123" s="714">
        <v>9.6</v>
      </c>
      <c r="CB123" s="714">
        <v>9.7</v>
      </c>
      <c r="CC123" s="714">
        <v>9.8</v>
      </c>
      <c r="CD123" s="714">
        <v>9.9</v>
      </c>
      <c r="CE123" s="714">
        <v>10.2</v>
      </c>
      <c r="CF123" s="714">
        <v>10.5</v>
      </c>
      <c r="CG123" s="714">
        <v>10.6</v>
      </c>
      <c r="CH123" s="714">
        <v>10.8</v>
      </c>
      <c r="CI123" s="714">
        <v>10.9</v>
      </c>
      <c r="CJ123" s="714">
        <v>11</v>
      </c>
      <c r="CK123" s="714">
        <v>9.6</v>
      </c>
      <c r="CL123" s="715">
        <v>9.8</v>
      </c>
      <c r="CM123" s="715">
        <v>9.9</v>
      </c>
      <c r="CN123" s="715">
        <v>10</v>
      </c>
      <c r="CO123" s="715">
        <v>10.1</v>
      </c>
      <c r="CP123" s="715">
        <v>10.4</v>
      </c>
      <c r="CQ123" s="715">
        <v>10.6</v>
      </c>
      <c r="CR123" s="714">
        <v>10.7</v>
      </c>
      <c r="CS123" s="714">
        <v>10.9</v>
      </c>
      <c r="CT123" s="714">
        <v>11</v>
      </c>
      <c r="CU123" s="714">
        <v>11.2</v>
      </c>
      <c r="CV123" s="714">
        <v>10</v>
      </c>
      <c r="CW123" s="715">
        <v>10.1</v>
      </c>
      <c r="CX123" s="715">
        <v>10.3</v>
      </c>
      <c r="CY123" s="715">
        <v>10.5</v>
      </c>
      <c r="CZ123" s="715">
        <v>10.5</v>
      </c>
      <c r="DA123" s="715">
        <v>10.7</v>
      </c>
      <c r="DB123" s="715">
        <v>10.9</v>
      </c>
      <c r="DC123" s="714">
        <v>11.1</v>
      </c>
      <c r="DD123" s="714">
        <v>11.2</v>
      </c>
      <c r="DE123" s="714">
        <v>11.3</v>
      </c>
      <c r="DF123" s="714">
        <v>11.5</v>
      </c>
      <c r="DG123" s="714">
        <v>10.5</v>
      </c>
      <c r="DH123" s="715">
        <v>10.7</v>
      </c>
      <c r="DI123" s="715">
        <v>10.8</v>
      </c>
      <c r="DJ123" s="715">
        <v>10.9</v>
      </c>
      <c r="DK123" s="715">
        <v>11.2</v>
      </c>
      <c r="DL123" s="715">
        <v>11.3</v>
      </c>
      <c r="DM123" s="715">
        <v>11.5</v>
      </c>
      <c r="DN123" s="714">
        <v>11.7</v>
      </c>
      <c r="DO123" s="714">
        <v>11.8</v>
      </c>
      <c r="DP123" s="714">
        <v>12</v>
      </c>
      <c r="DQ123" s="714">
        <v>12.1</v>
      </c>
      <c r="DR123" s="714">
        <v>11.2</v>
      </c>
      <c r="DS123" s="715">
        <v>11.2</v>
      </c>
      <c r="DT123" s="715">
        <v>11.4</v>
      </c>
      <c r="DU123" s="715">
        <v>11.5</v>
      </c>
      <c r="DV123" s="715">
        <v>11.7</v>
      </c>
      <c r="DW123" s="715">
        <v>11.8</v>
      </c>
      <c r="DX123" s="715">
        <v>12.1</v>
      </c>
      <c r="DY123" s="714">
        <v>12.1</v>
      </c>
      <c r="DZ123" s="714">
        <v>12.4</v>
      </c>
      <c r="EA123" s="714">
        <v>12.5</v>
      </c>
      <c r="EB123" s="714">
        <v>12.5</v>
      </c>
      <c r="EC123" s="714">
        <v>11.3</v>
      </c>
      <c r="ED123" s="715">
        <v>11.4</v>
      </c>
      <c r="EE123" s="715">
        <v>11.6</v>
      </c>
      <c r="EF123" s="715">
        <v>11.7</v>
      </c>
      <c r="EG123" s="715">
        <v>11.9</v>
      </c>
      <c r="EH123" s="715">
        <v>12</v>
      </c>
      <c r="EI123" s="715">
        <v>12.3</v>
      </c>
      <c r="EJ123" s="714">
        <v>12.3</v>
      </c>
      <c r="EK123" s="714">
        <v>12.5</v>
      </c>
      <c r="EL123" s="714">
        <v>12.6</v>
      </c>
      <c r="EM123" s="714">
        <v>12.7</v>
      </c>
      <c r="EN123" s="714">
        <v>12</v>
      </c>
      <c r="EO123" s="715">
        <v>12</v>
      </c>
      <c r="EP123" s="715">
        <v>12.1</v>
      </c>
      <c r="EQ123" s="715">
        <v>12.2</v>
      </c>
      <c r="ER123" s="715">
        <v>12.5</v>
      </c>
      <c r="ES123" s="715">
        <v>12.6</v>
      </c>
      <c r="ET123" s="715">
        <v>12.9</v>
      </c>
      <c r="EU123" s="714">
        <v>13</v>
      </c>
      <c r="EV123" s="714">
        <v>13.1</v>
      </c>
      <c r="EW123" s="714">
        <v>13.3</v>
      </c>
      <c r="EX123" s="714">
        <v>13.4</v>
      </c>
      <c r="EY123" s="714">
        <v>6.7</v>
      </c>
      <c r="EZ123" s="715">
        <v>7.4</v>
      </c>
      <c r="FA123" s="715">
        <v>7.8</v>
      </c>
      <c r="FB123" s="715">
        <v>8.2</v>
      </c>
      <c r="FC123" s="715">
        <v>8.5</v>
      </c>
      <c r="FD123" s="715">
        <v>9</v>
      </c>
      <c r="FE123" s="715">
        <v>9.4</v>
      </c>
      <c r="FF123" s="714">
        <v>9.6</v>
      </c>
      <c r="FG123" s="714">
        <v>9.9</v>
      </c>
      <c r="FH123" s="714">
        <v>10.1</v>
      </c>
      <c r="FI123" s="714">
        <v>10.4</v>
      </c>
      <c r="FJ123" s="723">
        <v>9.77e-6</v>
      </c>
      <c r="FK123" s="723">
        <v>1.76e-8</v>
      </c>
      <c r="FL123" s="723">
        <v>-2.54e-11</v>
      </c>
      <c r="FM123" s="723">
        <v>1.41e-6</v>
      </c>
      <c r="FN123" s="723">
        <v>-2.8e-10</v>
      </c>
      <c r="FO123" s="723">
        <v>4.92e-10</v>
      </c>
      <c r="FP123" s="729">
        <v>1</v>
      </c>
      <c r="FQ123" s="729">
        <v>2</v>
      </c>
      <c r="FR123" s="729">
        <v>1</v>
      </c>
      <c r="FS123" s="729">
        <v>3</v>
      </c>
      <c r="FT123" s="729">
        <v>1</v>
      </c>
      <c r="FU123" s="729">
        <v>2</v>
      </c>
      <c r="FV123" s="681"/>
      <c r="FW123" s="729"/>
      <c r="FX123" s="729"/>
      <c r="FY123" s="729"/>
      <c r="FZ123" s="746">
        <v>583</v>
      </c>
      <c r="GA123" s="746">
        <v>619</v>
      </c>
      <c r="GB123" s="681">
        <v>537</v>
      </c>
      <c r="GC123" s="681">
        <v>562</v>
      </c>
      <c r="GD123" s="747">
        <v>0.93</v>
      </c>
      <c r="GE123" s="729"/>
      <c r="GF123" s="681">
        <v>62</v>
      </c>
      <c r="GG123" s="681">
        <v>79</v>
      </c>
      <c r="GH123" s="681">
        <v>52</v>
      </c>
      <c r="GI123" s="681">
        <v>55</v>
      </c>
      <c r="GJ123" s="681">
        <v>58</v>
      </c>
      <c r="GK123" s="681">
        <v>59</v>
      </c>
      <c r="GL123" s="681">
        <v>60</v>
      </c>
      <c r="GM123" s="681">
        <v>61</v>
      </c>
      <c r="GN123" s="681">
        <v>63</v>
      </c>
      <c r="GO123" s="681">
        <v>63</v>
      </c>
      <c r="GP123" s="681">
        <v>64</v>
      </c>
      <c r="GQ123" s="681">
        <v>64</v>
      </c>
      <c r="GR123" s="681">
        <v>66</v>
      </c>
      <c r="GS123" s="681">
        <v>67</v>
      </c>
      <c r="GT123" s="681">
        <v>67</v>
      </c>
      <c r="GU123" s="681">
        <v>68</v>
      </c>
      <c r="GV123" s="681">
        <v>69</v>
      </c>
      <c r="GW123" s="681">
        <v>71</v>
      </c>
      <c r="GX123" s="681">
        <v>71</v>
      </c>
      <c r="GY123" s="681">
        <v>72</v>
      </c>
      <c r="GZ123" s="681">
        <v>74</v>
      </c>
      <c r="HA123" s="681">
        <v>74</v>
      </c>
      <c r="HB123" s="681">
        <v>75</v>
      </c>
      <c r="HC123" s="681"/>
      <c r="HD123" s="750">
        <v>70</v>
      </c>
      <c r="HE123" s="681"/>
      <c r="HF123" s="681">
        <v>628</v>
      </c>
      <c r="HG123" s="681">
        <v>96</v>
      </c>
      <c r="HH123" s="714">
        <v>111.7</v>
      </c>
      <c r="HI123" s="714">
        <v>42.2</v>
      </c>
      <c r="HJ123" s="753">
        <v>0.322</v>
      </c>
      <c r="HK123" s="681">
        <v>141</v>
      </c>
      <c r="HL123" s="685">
        <v>2.28</v>
      </c>
      <c r="HM123" s="747">
        <v>4.6</v>
      </c>
      <c r="HN123" s="729" t="s">
        <v>1076</v>
      </c>
      <c r="HO123" s="729" t="s">
        <v>1077</v>
      </c>
      <c r="HP123" s="714">
        <v>-0.8</v>
      </c>
      <c r="HQ123" s="753">
        <v>0.903</v>
      </c>
      <c r="HR123" s="753">
        <v>0.975</v>
      </c>
      <c r="HS123" s="753">
        <v>0.989</v>
      </c>
      <c r="HT123" s="753">
        <v>0.997</v>
      </c>
      <c r="HU123" s="753">
        <v>0.999</v>
      </c>
      <c r="HV123" s="753">
        <v>0.999</v>
      </c>
      <c r="HW123" s="753">
        <v>0.999</v>
      </c>
      <c r="HX123" s="753">
        <v>0.999</v>
      </c>
      <c r="HY123" s="753">
        <v>0.999</v>
      </c>
      <c r="HZ123" s="753">
        <v>0.999</v>
      </c>
      <c r="IA123" s="753">
        <v>0.999</v>
      </c>
      <c r="IB123" s="753">
        <v>0.999</v>
      </c>
      <c r="IC123" s="753">
        <v>0.999</v>
      </c>
      <c r="ID123" s="753">
        <v>0.999</v>
      </c>
      <c r="IE123" s="753">
        <v>0.999</v>
      </c>
      <c r="IF123" s="753">
        <v>0.999</v>
      </c>
      <c r="IG123" s="753">
        <v>0.999</v>
      </c>
      <c r="IH123" s="753">
        <v>0.999</v>
      </c>
      <c r="II123" s="753">
        <v>0.998</v>
      </c>
      <c r="IJ123" s="753">
        <v>0.996</v>
      </c>
      <c r="IK123" s="753">
        <v>0.995</v>
      </c>
      <c r="IL123" s="753">
        <v>0.992</v>
      </c>
      <c r="IM123" s="753">
        <v>0.989</v>
      </c>
      <c r="IN123" s="753">
        <v>0.982</v>
      </c>
      <c r="IO123" s="753">
        <v>0.974</v>
      </c>
      <c r="IP123" s="753">
        <v>0.961</v>
      </c>
      <c r="IQ123" s="753">
        <v>0.935</v>
      </c>
      <c r="IR123" s="753">
        <v>0.872</v>
      </c>
      <c r="IS123" s="753">
        <v>0.722</v>
      </c>
      <c r="IT123" s="753">
        <v>0.424</v>
      </c>
      <c r="IU123" s="753">
        <v>0.112</v>
      </c>
      <c r="IV123" s="753"/>
      <c r="IW123" s="753"/>
      <c r="IX123" s="753"/>
      <c r="IY123" s="753"/>
      <c r="IZ123" s="753"/>
      <c r="JA123" s="754">
        <v>0.815</v>
      </c>
      <c r="JB123" s="754">
        <v>0.952</v>
      </c>
      <c r="JC123" s="754">
        <v>0.978</v>
      </c>
      <c r="JD123" s="754">
        <v>0.994</v>
      </c>
      <c r="JE123" s="754">
        <v>0.998</v>
      </c>
      <c r="JF123" s="754">
        <v>0.998</v>
      </c>
      <c r="JG123" s="754">
        <v>0.998</v>
      </c>
      <c r="JH123" s="754">
        <v>0.998</v>
      </c>
      <c r="JI123" s="754">
        <v>0.998</v>
      </c>
      <c r="JJ123" s="754">
        <v>0.998</v>
      </c>
      <c r="JK123" s="754">
        <v>0.998</v>
      </c>
      <c r="JL123" s="754">
        <v>0.998</v>
      </c>
      <c r="JM123" s="754">
        <v>0.998</v>
      </c>
      <c r="JN123" s="754">
        <v>0.998</v>
      </c>
      <c r="JO123" s="754">
        <v>0.998</v>
      </c>
      <c r="JP123" s="754">
        <v>0.998</v>
      </c>
      <c r="JQ123" s="754">
        <v>0.998</v>
      </c>
      <c r="JR123" s="754">
        <v>0.998</v>
      </c>
      <c r="JS123" s="754">
        <v>0.995</v>
      </c>
      <c r="JT123" s="754">
        <v>0.993</v>
      </c>
      <c r="JU123" s="754">
        <v>0.99</v>
      </c>
      <c r="JV123" s="754">
        <v>0.985</v>
      </c>
      <c r="JW123" s="754">
        <v>0.978</v>
      </c>
      <c r="JX123" s="754">
        <v>0.963</v>
      </c>
      <c r="JY123" s="754">
        <v>0.949</v>
      </c>
      <c r="JZ123" s="754">
        <v>0.923</v>
      </c>
      <c r="KA123" s="754">
        <v>0.873</v>
      </c>
      <c r="KB123" s="754">
        <v>0.76</v>
      </c>
      <c r="KC123" s="754">
        <v>0.522</v>
      </c>
      <c r="KD123" s="754">
        <v>0.179</v>
      </c>
      <c r="KE123" s="754">
        <v>0.013</v>
      </c>
      <c r="KF123" s="754"/>
      <c r="KG123" s="754"/>
      <c r="KH123" s="754"/>
      <c r="KI123" s="754"/>
      <c r="KJ123" s="754"/>
      <c r="KK123" s="765" t="s">
        <v>281</v>
      </c>
      <c r="KL123" s="738">
        <v>50</v>
      </c>
      <c r="KM123" s="738">
        <v>230</v>
      </c>
      <c r="KN123" s="646" t="s">
        <v>303</v>
      </c>
      <c r="KO123" s="646" t="s">
        <v>1075</v>
      </c>
      <c r="KP123" s="680">
        <v>800422</v>
      </c>
      <c r="KQ123" s="766" t="s">
        <v>1078</v>
      </c>
      <c r="KR123" s="750" t="s">
        <v>1065</v>
      </c>
      <c r="KS123" s="769"/>
      <c r="KT123" s="770"/>
      <c r="KU123" s="766" t="s">
        <v>1066</v>
      </c>
      <c r="KV123" s="750">
        <v>800423</v>
      </c>
      <c r="KW123" s="771" t="s">
        <v>1067</v>
      </c>
      <c r="KX123" s="750" t="s">
        <v>1068</v>
      </c>
      <c r="KY123" s="769"/>
      <c r="KZ123" s="770"/>
    </row>
    <row r="124" s="628" customFormat="1" customHeight="1" spans="1:312">
      <c r="A124" s="682" t="s">
        <v>277</v>
      </c>
      <c r="B124" s="683">
        <v>120</v>
      </c>
      <c r="C124" s="689" t="s">
        <v>1079</v>
      </c>
      <c r="D124" s="680">
        <v>720437</v>
      </c>
      <c r="E124" s="685">
        <v>43.68</v>
      </c>
      <c r="F124" s="685">
        <v>43.39</v>
      </c>
      <c r="G124" s="688">
        <v>0.016483</v>
      </c>
      <c r="H124" s="686">
        <v>0.016682</v>
      </c>
      <c r="I124" s="696">
        <v>1.68074</v>
      </c>
      <c r="J124" s="696">
        <v>1.68697</v>
      </c>
      <c r="K124" s="696">
        <v>1.69391</v>
      </c>
      <c r="L124" s="696">
        <v>1.7004</v>
      </c>
      <c r="M124" s="696">
        <v>1.70163</v>
      </c>
      <c r="N124" s="696">
        <v>1.70266</v>
      </c>
      <c r="O124" s="696">
        <v>1.70676</v>
      </c>
      <c r="P124" s="696">
        <v>1.70965</v>
      </c>
      <c r="Q124" s="697">
        <v>1.71235</v>
      </c>
      <c r="R124" s="697">
        <v>1.71511</v>
      </c>
      <c r="S124" s="697">
        <v>1.71588</v>
      </c>
      <c r="T124" s="701">
        <v>1.7166</v>
      </c>
      <c r="U124" s="697">
        <v>1.71985</v>
      </c>
      <c r="V124" s="697">
        <v>1.72</v>
      </c>
      <c r="W124" s="697">
        <v>1.72391</v>
      </c>
      <c r="X124" s="697">
        <v>1.73159</v>
      </c>
      <c r="Y124" s="697">
        <v>1.73256</v>
      </c>
      <c r="Z124" s="697">
        <v>1.74094</v>
      </c>
      <c r="AA124" s="697">
        <v>1.74893</v>
      </c>
      <c r="AB124" s="697">
        <v>1.76316</v>
      </c>
      <c r="AC124" s="704">
        <v>2.8889719</v>
      </c>
      <c r="AD124" s="705">
        <v>-0.0126328327</v>
      </c>
      <c r="AE124" s="705">
        <v>0.022689896</v>
      </c>
      <c r="AF124" s="705">
        <v>0.00115077142</v>
      </c>
      <c r="AG124" s="705">
        <v>-8.54940157e-5</v>
      </c>
      <c r="AH124" s="705">
        <v>7.07758016e-6</v>
      </c>
      <c r="AI124" s="709">
        <v>0.2967</v>
      </c>
      <c r="AJ124" s="709">
        <v>0.2372</v>
      </c>
      <c r="AK124" s="709">
        <v>0.5673</v>
      </c>
      <c r="AL124" s="709">
        <v>0.247</v>
      </c>
      <c r="AM124" s="709">
        <v>0.2344</v>
      </c>
      <c r="AN124" s="709">
        <v>0.5023</v>
      </c>
      <c r="AO124" s="709">
        <v>-0.0002</v>
      </c>
      <c r="AP124" s="709">
        <v>-0.0038</v>
      </c>
      <c r="AQ124" s="709">
        <v>0.0036</v>
      </c>
      <c r="AR124" s="709">
        <v>0.0014</v>
      </c>
      <c r="AS124" s="714">
        <v>2.4</v>
      </c>
      <c r="AT124" s="714">
        <v>2.4</v>
      </c>
      <c r="AU124" s="714">
        <v>2.5</v>
      </c>
      <c r="AV124" s="714">
        <v>2.4</v>
      </c>
      <c r="AW124" s="714">
        <v>2.4</v>
      </c>
      <c r="AX124" s="714">
        <v>2.4</v>
      </c>
      <c r="AY124" s="714">
        <v>2.5</v>
      </c>
      <c r="AZ124" s="714">
        <v>2.5</v>
      </c>
      <c r="BA124" s="714">
        <v>2.7</v>
      </c>
      <c r="BB124" s="714">
        <v>2.8</v>
      </c>
      <c r="BC124" s="714">
        <v>3</v>
      </c>
      <c r="BD124" s="714">
        <v>2.8</v>
      </c>
      <c r="BE124" s="714">
        <v>2.8</v>
      </c>
      <c r="BF124" s="714">
        <v>2.8</v>
      </c>
      <c r="BG124" s="714">
        <v>2.9</v>
      </c>
      <c r="BH124" s="714">
        <v>2.9</v>
      </c>
      <c r="BI124" s="714">
        <v>2.9</v>
      </c>
      <c r="BJ124" s="714">
        <v>3</v>
      </c>
      <c r="BK124" s="714">
        <v>3.1</v>
      </c>
      <c r="BL124" s="714">
        <v>3.2</v>
      </c>
      <c r="BM124" s="714">
        <v>3.3</v>
      </c>
      <c r="BN124" s="714">
        <v>3.4</v>
      </c>
      <c r="BO124" s="714">
        <v>3.1</v>
      </c>
      <c r="BP124" s="714">
        <v>3.1</v>
      </c>
      <c r="BQ124" s="714">
        <v>3.1</v>
      </c>
      <c r="BR124" s="714">
        <v>3.1</v>
      </c>
      <c r="BS124" s="714">
        <v>3.1</v>
      </c>
      <c r="BT124" s="714">
        <v>3.1</v>
      </c>
      <c r="BU124" s="714">
        <v>3.2</v>
      </c>
      <c r="BV124" s="714">
        <v>3.3</v>
      </c>
      <c r="BW124" s="714">
        <v>3.5</v>
      </c>
      <c r="BX124" s="714">
        <v>3.6</v>
      </c>
      <c r="BY124" s="714">
        <v>3.8</v>
      </c>
      <c r="BZ124" s="714">
        <v>3.1</v>
      </c>
      <c r="CA124" s="714">
        <v>3.1</v>
      </c>
      <c r="CB124" s="714">
        <v>3.1</v>
      </c>
      <c r="CC124" s="714">
        <v>3.1</v>
      </c>
      <c r="CD124" s="714">
        <v>3.1</v>
      </c>
      <c r="CE124" s="714">
        <v>3.1</v>
      </c>
      <c r="CF124" s="714">
        <v>3.3</v>
      </c>
      <c r="CG124" s="714">
        <v>3.4</v>
      </c>
      <c r="CH124" s="714">
        <v>3.5</v>
      </c>
      <c r="CI124" s="714">
        <v>3.6</v>
      </c>
      <c r="CJ124" s="714">
        <v>3.8</v>
      </c>
      <c r="CK124" s="714">
        <v>3.1</v>
      </c>
      <c r="CL124" s="715">
        <v>3.1</v>
      </c>
      <c r="CM124" s="715">
        <v>3.2</v>
      </c>
      <c r="CN124" s="715">
        <v>3.2</v>
      </c>
      <c r="CO124" s="715">
        <v>3.2</v>
      </c>
      <c r="CP124" s="715">
        <v>3.2</v>
      </c>
      <c r="CQ124" s="715">
        <v>3.4</v>
      </c>
      <c r="CR124" s="714">
        <v>3.5</v>
      </c>
      <c r="CS124" s="714">
        <v>3.6</v>
      </c>
      <c r="CT124" s="714">
        <v>3.7</v>
      </c>
      <c r="CU124" s="714">
        <v>3.9</v>
      </c>
      <c r="CV124" s="714">
        <v>3.3</v>
      </c>
      <c r="CW124" s="715">
        <v>3.3</v>
      </c>
      <c r="CX124" s="715">
        <v>3.4</v>
      </c>
      <c r="CY124" s="715">
        <v>3.4</v>
      </c>
      <c r="CZ124" s="715">
        <v>3.4</v>
      </c>
      <c r="DA124" s="715">
        <v>3.5</v>
      </c>
      <c r="DB124" s="715">
        <v>3.6</v>
      </c>
      <c r="DC124" s="714">
        <v>3.7</v>
      </c>
      <c r="DD124" s="714">
        <v>3.9</v>
      </c>
      <c r="DE124" s="714">
        <v>4</v>
      </c>
      <c r="DF124" s="714">
        <v>4.2</v>
      </c>
      <c r="DG124" s="714">
        <v>3.6</v>
      </c>
      <c r="DH124" s="715">
        <v>3.5</v>
      </c>
      <c r="DI124" s="715">
        <v>3.6</v>
      </c>
      <c r="DJ124" s="715">
        <v>3.6</v>
      </c>
      <c r="DK124" s="715">
        <v>3.7</v>
      </c>
      <c r="DL124" s="715">
        <v>3.7</v>
      </c>
      <c r="DM124" s="715">
        <v>3.8</v>
      </c>
      <c r="DN124" s="714">
        <v>3.9</v>
      </c>
      <c r="DO124" s="714">
        <v>4.1</v>
      </c>
      <c r="DP124" s="714">
        <v>4.3</v>
      </c>
      <c r="DQ124" s="714">
        <v>4.4</v>
      </c>
      <c r="DR124" s="714">
        <v>4.1</v>
      </c>
      <c r="DS124" s="715">
        <v>4.2</v>
      </c>
      <c r="DT124" s="715">
        <v>4.2</v>
      </c>
      <c r="DU124" s="715">
        <v>4.2</v>
      </c>
      <c r="DV124" s="715">
        <v>4.3</v>
      </c>
      <c r="DW124" s="715">
        <v>4.4</v>
      </c>
      <c r="DX124" s="715">
        <v>4.6</v>
      </c>
      <c r="DY124" s="714">
        <v>4.7</v>
      </c>
      <c r="DZ124" s="714">
        <v>4.9</v>
      </c>
      <c r="EA124" s="714">
        <v>5.1</v>
      </c>
      <c r="EB124" s="714">
        <v>5.2</v>
      </c>
      <c r="EC124" s="714">
        <v>4.2</v>
      </c>
      <c r="ED124" s="715">
        <v>4.3</v>
      </c>
      <c r="EE124" s="715">
        <v>4.3</v>
      </c>
      <c r="EF124" s="715">
        <v>4.3</v>
      </c>
      <c r="EG124" s="715">
        <v>4.4</v>
      </c>
      <c r="EH124" s="715">
        <v>4.5</v>
      </c>
      <c r="EI124" s="715">
        <v>4.7</v>
      </c>
      <c r="EJ124" s="714">
        <v>4.8</v>
      </c>
      <c r="EK124" s="714">
        <v>5</v>
      </c>
      <c r="EL124" s="714">
        <v>5.2</v>
      </c>
      <c r="EM124" s="714">
        <v>5.3</v>
      </c>
      <c r="EN124" s="714">
        <v>4.7</v>
      </c>
      <c r="EO124" s="715">
        <v>4.8</v>
      </c>
      <c r="EP124" s="715">
        <v>4.9</v>
      </c>
      <c r="EQ124" s="715">
        <v>5</v>
      </c>
      <c r="ER124" s="715">
        <v>5</v>
      </c>
      <c r="ES124" s="715">
        <v>5.2</v>
      </c>
      <c r="ET124" s="715">
        <v>5.3</v>
      </c>
      <c r="EU124" s="714">
        <v>5.5</v>
      </c>
      <c r="EV124" s="714">
        <v>5.7</v>
      </c>
      <c r="EW124" s="714">
        <v>5.8</v>
      </c>
      <c r="EX124" s="714">
        <v>5.9</v>
      </c>
      <c r="EY124" s="714">
        <v>0.3</v>
      </c>
      <c r="EZ124" s="715">
        <v>0.8</v>
      </c>
      <c r="FA124" s="715">
        <v>1.2</v>
      </c>
      <c r="FB124" s="715">
        <v>1.5</v>
      </c>
      <c r="FC124" s="715">
        <v>1.7</v>
      </c>
      <c r="FD124" s="715">
        <v>1.9</v>
      </c>
      <c r="FE124" s="715">
        <v>2.2</v>
      </c>
      <c r="FF124" s="714">
        <v>2.5</v>
      </c>
      <c r="FG124" s="714">
        <v>2.7</v>
      </c>
      <c r="FH124" s="714">
        <v>2.9</v>
      </c>
      <c r="FI124" s="714">
        <v>3.1</v>
      </c>
      <c r="FJ124" s="723">
        <v>9.15e-7</v>
      </c>
      <c r="FK124" s="723">
        <v>1.15e-8</v>
      </c>
      <c r="FL124" s="723">
        <v>-1.32e-11</v>
      </c>
      <c r="FM124" s="723">
        <v>6.49e-7</v>
      </c>
      <c r="FN124" s="723">
        <v>4.46e-10</v>
      </c>
      <c r="FO124" s="723">
        <v>0.236</v>
      </c>
      <c r="FP124" s="729">
        <v>1</v>
      </c>
      <c r="FQ124" s="729">
        <v>3</v>
      </c>
      <c r="FR124" s="729">
        <v>1</v>
      </c>
      <c r="FS124" s="729">
        <v>3</v>
      </c>
      <c r="FT124" s="729">
        <v>1</v>
      </c>
      <c r="FU124" s="729">
        <v>2</v>
      </c>
      <c r="FV124" s="681">
        <v>1</v>
      </c>
      <c r="FW124" s="729"/>
      <c r="FX124" s="729"/>
      <c r="FY124" s="729"/>
      <c r="FZ124" s="746">
        <v>604</v>
      </c>
      <c r="GA124" s="746">
        <v>640</v>
      </c>
      <c r="GB124" s="681">
        <v>530</v>
      </c>
      <c r="GC124" s="681">
        <v>581</v>
      </c>
      <c r="GD124" s="747">
        <v>0.95</v>
      </c>
      <c r="GE124" s="729"/>
      <c r="GF124" s="681">
        <v>71</v>
      </c>
      <c r="GG124" s="681">
        <v>88</v>
      </c>
      <c r="GH124" s="681">
        <v>61</v>
      </c>
      <c r="GI124" s="681">
        <v>64</v>
      </c>
      <c r="GJ124" s="681">
        <v>66</v>
      </c>
      <c r="GK124" s="681">
        <v>67</v>
      </c>
      <c r="GL124" s="681">
        <v>68</v>
      </c>
      <c r="GM124" s="681">
        <v>69</v>
      </c>
      <c r="GN124" s="681">
        <v>70</v>
      </c>
      <c r="GO124" s="681">
        <v>71</v>
      </c>
      <c r="GP124" s="681">
        <v>72</v>
      </c>
      <c r="GQ124" s="681">
        <v>73</v>
      </c>
      <c r="GR124" s="681">
        <v>74</v>
      </c>
      <c r="GS124" s="681">
        <v>75</v>
      </c>
      <c r="GT124" s="681">
        <v>75</v>
      </c>
      <c r="GU124" s="681">
        <v>76</v>
      </c>
      <c r="GV124" s="681">
        <v>77</v>
      </c>
      <c r="GW124" s="681">
        <v>79</v>
      </c>
      <c r="GX124" s="681">
        <v>80</v>
      </c>
      <c r="GY124" s="681">
        <v>81</v>
      </c>
      <c r="GZ124" s="681">
        <v>83</v>
      </c>
      <c r="HA124" s="681">
        <v>84</v>
      </c>
      <c r="HB124" s="681">
        <v>85</v>
      </c>
      <c r="HC124" s="681"/>
      <c r="HD124" s="750">
        <v>150</v>
      </c>
      <c r="HE124" s="681"/>
      <c r="HF124" s="681">
        <v>564</v>
      </c>
      <c r="HG124" s="681">
        <v>149</v>
      </c>
      <c r="HH124" s="714">
        <v>106.1</v>
      </c>
      <c r="HI124" s="714">
        <v>40.3</v>
      </c>
      <c r="HJ124" s="753">
        <v>0.317</v>
      </c>
      <c r="HK124" s="681">
        <v>70</v>
      </c>
      <c r="HL124" s="685">
        <v>2.25</v>
      </c>
      <c r="HM124" s="747">
        <v>3.71</v>
      </c>
      <c r="HN124" s="729" t="s">
        <v>919</v>
      </c>
      <c r="HO124" s="729" t="s">
        <v>1080</v>
      </c>
      <c r="HP124" s="714">
        <v>-0.9</v>
      </c>
      <c r="HQ124" s="753">
        <v>0.872</v>
      </c>
      <c r="HR124" s="753">
        <v>0.954</v>
      </c>
      <c r="HS124" s="753">
        <v>0.991</v>
      </c>
      <c r="HT124" s="753">
        <v>0.999</v>
      </c>
      <c r="HU124" s="753">
        <v>0.999</v>
      </c>
      <c r="HV124" s="753">
        <v>0.999</v>
      </c>
      <c r="HW124" s="753">
        <v>0.999</v>
      </c>
      <c r="HX124" s="753">
        <v>0.999</v>
      </c>
      <c r="HY124" s="753">
        <v>0.999</v>
      </c>
      <c r="HZ124" s="753">
        <v>0.999</v>
      </c>
      <c r="IA124" s="753">
        <v>0.999</v>
      </c>
      <c r="IB124" s="753">
        <v>0.999</v>
      </c>
      <c r="IC124" s="753">
        <v>0.999</v>
      </c>
      <c r="ID124" s="753">
        <v>0.999</v>
      </c>
      <c r="IE124" s="753">
        <v>0.999</v>
      </c>
      <c r="IF124" s="753">
        <v>0.999</v>
      </c>
      <c r="IG124" s="753">
        <v>0.999</v>
      </c>
      <c r="IH124" s="753">
        <v>0.999</v>
      </c>
      <c r="II124" s="753">
        <v>0.998</v>
      </c>
      <c r="IJ124" s="753">
        <v>0.996</v>
      </c>
      <c r="IK124" s="753">
        <v>0.994</v>
      </c>
      <c r="IL124" s="753">
        <v>0.992</v>
      </c>
      <c r="IM124" s="753">
        <v>0.984</v>
      </c>
      <c r="IN124" s="753">
        <v>0.976</v>
      </c>
      <c r="IO124" s="753">
        <v>0.966</v>
      </c>
      <c r="IP124" s="753">
        <v>0.946</v>
      </c>
      <c r="IQ124" s="753">
        <v>0.901</v>
      </c>
      <c r="IR124" s="753">
        <v>0.788</v>
      </c>
      <c r="IS124" s="753">
        <v>0.517</v>
      </c>
      <c r="IT124" s="753">
        <v>0.127</v>
      </c>
      <c r="IU124" s="753"/>
      <c r="IV124" s="753"/>
      <c r="IW124" s="753"/>
      <c r="IX124" s="753"/>
      <c r="IY124" s="753"/>
      <c r="IZ124" s="753"/>
      <c r="JA124" s="754">
        <v>0.76</v>
      </c>
      <c r="JB124" s="754">
        <v>0.91</v>
      </c>
      <c r="JC124" s="754">
        <v>0.982</v>
      </c>
      <c r="JD124" s="754">
        <v>0.998</v>
      </c>
      <c r="JE124" s="754">
        <v>0.998</v>
      </c>
      <c r="JF124" s="754">
        <v>0.998</v>
      </c>
      <c r="JG124" s="754">
        <v>0.998</v>
      </c>
      <c r="JH124" s="754">
        <v>0.998</v>
      </c>
      <c r="JI124" s="754">
        <v>0.998</v>
      </c>
      <c r="JJ124" s="754">
        <v>0.998</v>
      </c>
      <c r="JK124" s="754">
        <v>0.998</v>
      </c>
      <c r="JL124" s="754">
        <v>0.998</v>
      </c>
      <c r="JM124" s="754">
        <v>0.998</v>
      </c>
      <c r="JN124" s="754">
        <v>0.998</v>
      </c>
      <c r="JO124" s="754">
        <v>0.998</v>
      </c>
      <c r="JP124" s="754">
        <v>0.998</v>
      </c>
      <c r="JQ124" s="754">
        <v>0.998</v>
      </c>
      <c r="JR124" s="754">
        <v>0.998</v>
      </c>
      <c r="JS124" s="754">
        <v>0.996</v>
      </c>
      <c r="JT124" s="754">
        <v>0.993</v>
      </c>
      <c r="JU124" s="754">
        <v>0.99</v>
      </c>
      <c r="JV124" s="754">
        <v>0.985</v>
      </c>
      <c r="JW124" s="754">
        <v>0.975</v>
      </c>
      <c r="JX124" s="754">
        <v>0.958</v>
      </c>
      <c r="JY124" s="754">
        <v>0.94</v>
      </c>
      <c r="JZ124" s="754">
        <v>0.901</v>
      </c>
      <c r="KA124" s="754">
        <v>0.819</v>
      </c>
      <c r="KB124" s="754">
        <v>0.625</v>
      </c>
      <c r="KC124" s="754">
        <v>0.272</v>
      </c>
      <c r="KD124" s="754">
        <v>0.02</v>
      </c>
      <c r="KE124" s="754"/>
      <c r="KF124" s="754"/>
      <c r="KG124" s="754"/>
      <c r="KH124" s="754"/>
      <c r="KI124" s="754"/>
      <c r="KJ124" s="754"/>
      <c r="KK124" s="765" t="s">
        <v>281</v>
      </c>
      <c r="KL124" s="738">
        <v>32</v>
      </c>
      <c r="KM124" s="738">
        <v>119</v>
      </c>
      <c r="KN124" s="646" t="s">
        <v>282</v>
      </c>
      <c r="KO124" s="646" t="s">
        <v>1079</v>
      </c>
      <c r="KP124" s="680">
        <v>720437</v>
      </c>
      <c r="KQ124" s="766"/>
      <c r="KR124" s="750"/>
      <c r="KS124" s="769" t="s">
        <v>1079</v>
      </c>
      <c r="KT124" s="770" t="s">
        <v>1081</v>
      </c>
      <c r="KU124" s="766"/>
      <c r="KV124" s="750"/>
      <c r="KW124" s="771"/>
      <c r="KX124" s="750"/>
      <c r="KY124" s="769"/>
      <c r="KZ124" s="770"/>
    </row>
    <row r="125" s="628" customFormat="1" customHeight="1" spans="1:312">
      <c r="A125" s="682" t="s">
        <v>374</v>
      </c>
      <c r="B125" s="683">
        <v>121</v>
      </c>
      <c r="C125" s="689" t="s">
        <v>1082</v>
      </c>
      <c r="D125" s="680">
        <v>720460</v>
      </c>
      <c r="E125" s="685">
        <v>46.02</v>
      </c>
      <c r="F125" s="685">
        <v>45.77</v>
      </c>
      <c r="G125" s="688">
        <v>0.015645</v>
      </c>
      <c r="H125" s="686">
        <v>0.015811</v>
      </c>
      <c r="I125" s="696">
        <v>1.68194</v>
      </c>
      <c r="J125" s="696">
        <v>1.68799</v>
      </c>
      <c r="K125" s="696">
        <v>1.69476</v>
      </c>
      <c r="L125" s="696">
        <v>1.70111</v>
      </c>
      <c r="M125" s="696">
        <v>1.70232</v>
      </c>
      <c r="N125" s="696">
        <v>1.70333</v>
      </c>
      <c r="O125" s="696">
        <v>1.70732</v>
      </c>
      <c r="P125" s="696">
        <v>1.71011</v>
      </c>
      <c r="Q125" s="697">
        <v>1.71271</v>
      </c>
      <c r="R125" s="697">
        <v>1.71533</v>
      </c>
      <c r="S125" s="697">
        <v>1.71607</v>
      </c>
      <c r="T125" s="701">
        <v>1.71676</v>
      </c>
      <c r="U125" s="697">
        <v>1.71987</v>
      </c>
      <c r="V125" s="697">
        <v>1.72</v>
      </c>
      <c r="W125" s="697">
        <v>1.72372</v>
      </c>
      <c r="X125" s="697">
        <v>1.73097</v>
      </c>
      <c r="Y125" s="697">
        <v>1.73188</v>
      </c>
      <c r="Z125" s="697">
        <v>1.73981</v>
      </c>
      <c r="AA125" s="697">
        <v>1.74732</v>
      </c>
      <c r="AB125" s="697">
        <v>1.76051</v>
      </c>
      <c r="AC125" s="704">
        <v>2.89068995</v>
      </c>
      <c r="AD125" s="705">
        <v>-0.0122258397</v>
      </c>
      <c r="AE125" s="705">
        <v>0.0234463603</v>
      </c>
      <c r="AF125" s="705">
        <v>0.000398991928</v>
      </c>
      <c r="AG125" s="705">
        <v>2.73296394e-5</v>
      </c>
      <c r="AH125" s="705">
        <v>1.01579894e-7</v>
      </c>
      <c r="AI125" s="709">
        <v>0.2985</v>
      </c>
      <c r="AJ125" s="709">
        <v>0.2378</v>
      </c>
      <c r="AK125" s="709">
        <v>0.565</v>
      </c>
      <c r="AL125" s="709">
        <v>0.2486</v>
      </c>
      <c r="AM125" s="709">
        <v>0.2353</v>
      </c>
      <c r="AN125" s="709">
        <v>0.5015</v>
      </c>
      <c r="AO125" s="709">
        <v>-0.0014</v>
      </c>
      <c r="AP125" s="709">
        <v>-0.0021</v>
      </c>
      <c r="AQ125" s="709">
        <v>0.0039</v>
      </c>
      <c r="AR125" s="709">
        <v>0.0011</v>
      </c>
      <c r="AS125" s="714">
        <v>2.7</v>
      </c>
      <c r="AT125" s="714">
        <v>2.7</v>
      </c>
      <c r="AU125" s="714">
        <v>2.7</v>
      </c>
      <c r="AV125" s="714">
        <v>2.7</v>
      </c>
      <c r="AW125" s="714">
        <v>2.7</v>
      </c>
      <c r="AX125" s="714">
        <v>2.7</v>
      </c>
      <c r="AY125" s="714">
        <v>2.8</v>
      </c>
      <c r="AZ125" s="714">
        <v>2.9</v>
      </c>
      <c r="BA125" s="714">
        <v>2.9</v>
      </c>
      <c r="BB125" s="714">
        <v>2.9</v>
      </c>
      <c r="BC125" s="714">
        <v>3</v>
      </c>
      <c r="BD125" s="714">
        <v>2.9</v>
      </c>
      <c r="BE125" s="714">
        <v>3</v>
      </c>
      <c r="BF125" s="714">
        <v>3</v>
      </c>
      <c r="BG125" s="714">
        <v>3</v>
      </c>
      <c r="BH125" s="714">
        <v>3.1</v>
      </c>
      <c r="BI125" s="714">
        <v>3.1</v>
      </c>
      <c r="BJ125" s="714">
        <v>3.2</v>
      </c>
      <c r="BK125" s="714">
        <v>3.2</v>
      </c>
      <c r="BL125" s="714">
        <v>3.3</v>
      </c>
      <c r="BM125" s="714">
        <v>3.4</v>
      </c>
      <c r="BN125" s="714">
        <v>3.5</v>
      </c>
      <c r="BO125" s="714">
        <v>3.2</v>
      </c>
      <c r="BP125" s="714">
        <v>3.2</v>
      </c>
      <c r="BQ125" s="714">
        <v>3.2</v>
      </c>
      <c r="BR125" s="714">
        <v>3.2</v>
      </c>
      <c r="BS125" s="714">
        <v>3.3</v>
      </c>
      <c r="BT125" s="714">
        <v>3.4</v>
      </c>
      <c r="BU125" s="714">
        <v>3.5</v>
      </c>
      <c r="BV125" s="714">
        <v>3.6</v>
      </c>
      <c r="BW125" s="714">
        <v>3.7</v>
      </c>
      <c r="BX125" s="714">
        <v>3.8</v>
      </c>
      <c r="BY125" s="714">
        <v>3.9</v>
      </c>
      <c r="BZ125" s="714">
        <v>3.2</v>
      </c>
      <c r="CA125" s="714">
        <v>3.3</v>
      </c>
      <c r="CB125" s="714">
        <v>3.3</v>
      </c>
      <c r="CC125" s="714">
        <v>3.3</v>
      </c>
      <c r="CD125" s="714">
        <v>3.3</v>
      </c>
      <c r="CE125" s="714">
        <v>3.4</v>
      </c>
      <c r="CF125" s="714">
        <v>3.5</v>
      </c>
      <c r="CG125" s="714">
        <v>3.6</v>
      </c>
      <c r="CH125" s="714">
        <v>3.7</v>
      </c>
      <c r="CI125" s="714">
        <v>3.8</v>
      </c>
      <c r="CJ125" s="714">
        <v>4</v>
      </c>
      <c r="CK125" s="714">
        <v>3.3</v>
      </c>
      <c r="CL125" s="715">
        <v>3.3</v>
      </c>
      <c r="CM125" s="715">
        <v>3.4</v>
      </c>
      <c r="CN125" s="715">
        <v>3.4</v>
      </c>
      <c r="CO125" s="715">
        <v>3.4</v>
      </c>
      <c r="CP125" s="715">
        <v>3.5</v>
      </c>
      <c r="CQ125" s="715">
        <v>3.6</v>
      </c>
      <c r="CR125" s="714">
        <v>3.7</v>
      </c>
      <c r="CS125" s="714">
        <v>3.8</v>
      </c>
      <c r="CT125" s="714">
        <v>3.9</v>
      </c>
      <c r="CU125" s="714">
        <v>4</v>
      </c>
      <c r="CV125" s="714">
        <v>3.5</v>
      </c>
      <c r="CW125" s="715">
        <v>3.5</v>
      </c>
      <c r="CX125" s="715">
        <v>3.6</v>
      </c>
      <c r="CY125" s="715">
        <v>3.6</v>
      </c>
      <c r="CZ125" s="715">
        <v>3.6</v>
      </c>
      <c r="DA125" s="715">
        <v>3.7</v>
      </c>
      <c r="DB125" s="715">
        <v>3.8</v>
      </c>
      <c r="DC125" s="714">
        <v>3.9</v>
      </c>
      <c r="DD125" s="714">
        <v>4</v>
      </c>
      <c r="DE125" s="714">
        <v>4.1</v>
      </c>
      <c r="DF125" s="714">
        <v>4.3</v>
      </c>
      <c r="DG125" s="714">
        <v>3.6</v>
      </c>
      <c r="DH125" s="715">
        <v>3.6</v>
      </c>
      <c r="DI125" s="715">
        <v>3.8</v>
      </c>
      <c r="DJ125" s="715">
        <v>3.8</v>
      </c>
      <c r="DK125" s="715">
        <v>3.9</v>
      </c>
      <c r="DL125" s="715">
        <v>4.1</v>
      </c>
      <c r="DM125" s="715">
        <v>4.1</v>
      </c>
      <c r="DN125" s="714">
        <v>4.1</v>
      </c>
      <c r="DO125" s="714">
        <v>4.3</v>
      </c>
      <c r="DP125" s="714">
        <v>4.5</v>
      </c>
      <c r="DQ125" s="714">
        <v>4.6</v>
      </c>
      <c r="DR125" s="714">
        <v>4.2</v>
      </c>
      <c r="DS125" s="715">
        <v>4.2</v>
      </c>
      <c r="DT125" s="715">
        <v>4.2</v>
      </c>
      <c r="DU125" s="715">
        <v>4.2</v>
      </c>
      <c r="DV125" s="715">
        <v>4.3</v>
      </c>
      <c r="DW125" s="715">
        <v>4.3</v>
      </c>
      <c r="DX125" s="715">
        <v>4.5</v>
      </c>
      <c r="DY125" s="714">
        <v>4.7</v>
      </c>
      <c r="DZ125" s="714">
        <v>4.9</v>
      </c>
      <c r="EA125" s="714">
        <v>5.1</v>
      </c>
      <c r="EB125" s="714">
        <v>5.2</v>
      </c>
      <c r="EC125" s="714">
        <v>4.3</v>
      </c>
      <c r="ED125" s="715">
        <v>4.3</v>
      </c>
      <c r="EE125" s="715">
        <v>4.3</v>
      </c>
      <c r="EF125" s="715">
        <v>4.3</v>
      </c>
      <c r="EG125" s="715">
        <v>4.4</v>
      </c>
      <c r="EH125" s="715">
        <v>4.4</v>
      </c>
      <c r="EI125" s="715">
        <v>4.6</v>
      </c>
      <c r="EJ125" s="714">
        <v>4.8</v>
      </c>
      <c r="EK125" s="714">
        <v>5</v>
      </c>
      <c r="EL125" s="714">
        <v>5.2</v>
      </c>
      <c r="EM125" s="714">
        <v>5.3</v>
      </c>
      <c r="EN125" s="714">
        <v>4.7</v>
      </c>
      <c r="EO125" s="715">
        <v>4.8</v>
      </c>
      <c r="EP125" s="715">
        <v>4.9</v>
      </c>
      <c r="EQ125" s="715">
        <v>5</v>
      </c>
      <c r="ER125" s="715">
        <v>5.1</v>
      </c>
      <c r="ES125" s="715">
        <v>5.2</v>
      </c>
      <c r="ET125" s="715">
        <v>5.3</v>
      </c>
      <c r="EU125" s="714">
        <v>5.4</v>
      </c>
      <c r="EV125" s="714">
        <v>5.5</v>
      </c>
      <c r="EW125" s="714">
        <v>5.7</v>
      </c>
      <c r="EX125" s="714">
        <v>5.8</v>
      </c>
      <c r="EY125" s="714">
        <v>0.5</v>
      </c>
      <c r="EZ125" s="715">
        <v>1</v>
      </c>
      <c r="FA125" s="715">
        <v>1.4</v>
      </c>
      <c r="FB125" s="715">
        <v>1.7</v>
      </c>
      <c r="FC125" s="715">
        <v>1.9</v>
      </c>
      <c r="FD125" s="715">
        <v>2.2</v>
      </c>
      <c r="FE125" s="715">
        <v>2.4</v>
      </c>
      <c r="FF125" s="714">
        <v>2.7</v>
      </c>
      <c r="FG125" s="714">
        <v>2.9</v>
      </c>
      <c r="FH125" s="714">
        <v>3.1</v>
      </c>
      <c r="FI125" s="714">
        <v>3.2</v>
      </c>
      <c r="FJ125" s="723">
        <v>1.36e-6</v>
      </c>
      <c r="FK125" s="723">
        <v>1.16e-8</v>
      </c>
      <c r="FL125" s="723">
        <v>-1.71e-11</v>
      </c>
      <c r="FM125" s="723">
        <v>6.48e-7</v>
      </c>
      <c r="FN125" s="723">
        <v>4.94e-10</v>
      </c>
      <c r="FO125" s="723">
        <v>0.199</v>
      </c>
      <c r="FP125" s="729">
        <v>1</v>
      </c>
      <c r="FQ125" s="729">
        <v>1</v>
      </c>
      <c r="FR125" s="729">
        <v>1</v>
      </c>
      <c r="FS125" s="729">
        <v>3</v>
      </c>
      <c r="FT125" s="729">
        <v>1</v>
      </c>
      <c r="FU125" s="729">
        <v>2</v>
      </c>
      <c r="FV125" s="681">
        <v>1</v>
      </c>
      <c r="FW125" s="729"/>
      <c r="FX125" s="729"/>
      <c r="FY125" s="729"/>
      <c r="FZ125" s="746">
        <v>660</v>
      </c>
      <c r="GA125" s="746">
        <v>692</v>
      </c>
      <c r="GB125" s="681">
        <v>584</v>
      </c>
      <c r="GC125" s="681">
        <v>628</v>
      </c>
      <c r="GD125" s="747">
        <v>0.98</v>
      </c>
      <c r="GE125" s="729"/>
      <c r="GF125" s="681">
        <v>67</v>
      </c>
      <c r="GG125" s="681">
        <v>82</v>
      </c>
      <c r="GH125" s="681">
        <v>60</v>
      </c>
      <c r="GI125" s="681">
        <v>63</v>
      </c>
      <c r="GJ125" s="681">
        <v>64</v>
      </c>
      <c r="GK125" s="681">
        <v>65</v>
      </c>
      <c r="GL125" s="681">
        <v>66</v>
      </c>
      <c r="GM125" s="681">
        <v>67</v>
      </c>
      <c r="GN125" s="681">
        <v>68</v>
      </c>
      <c r="GO125" s="681">
        <v>70</v>
      </c>
      <c r="GP125" s="681">
        <v>70</v>
      </c>
      <c r="GQ125" s="681">
        <v>71</v>
      </c>
      <c r="GR125" s="681">
        <v>71</v>
      </c>
      <c r="GS125" s="681">
        <v>72</v>
      </c>
      <c r="GT125" s="681">
        <v>72</v>
      </c>
      <c r="GU125" s="681">
        <v>73</v>
      </c>
      <c r="GV125" s="681">
        <v>74</v>
      </c>
      <c r="GW125" s="681">
        <v>75</v>
      </c>
      <c r="GX125" s="681">
        <v>76</v>
      </c>
      <c r="GY125" s="681">
        <v>77</v>
      </c>
      <c r="GZ125" s="681">
        <v>78</v>
      </c>
      <c r="HA125" s="681">
        <v>79</v>
      </c>
      <c r="HB125" s="681">
        <v>80</v>
      </c>
      <c r="HC125" s="681"/>
      <c r="HD125" s="750">
        <v>140</v>
      </c>
      <c r="HE125" s="681"/>
      <c r="HF125" s="681">
        <v>585</v>
      </c>
      <c r="HG125" s="681">
        <v>128</v>
      </c>
      <c r="HH125" s="714">
        <v>98.1</v>
      </c>
      <c r="HI125" s="714">
        <v>38.4</v>
      </c>
      <c r="HJ125" s="753">
        <v>0.277</v>
      </c>
      <c r="HK125" s="681">
        <v>70</v>
      </c>
      <c r="HL125" s="685">
        <v>1.77</v>
      </c>
      <c r="HM125" s="747">
        <v>3.88</v>
      </c>
      <c r="HN125" s="729" t="s">
        <v>919</v>
      </c>
      <c r="HO125" s="729" t="s">
        <v>1083</v>
      </c>
      <c r="HP125" s="714">
        <v>-1.2</v>
      </c>
      <c r="HQ125" s="753">
        <v>0.902</v>
      </c>
      <c r="HR125" s="753">
        <v>0.982</v>
      </c>
      <c r="HS125" s="753">
        <v>0.993</v>
      </c>
      <c r="HT125" s="753">
        <v>0.998</v>
      </c>
      <c r="HU125" s="753">
        <v>0.998</v>
      </c>
      <c r="HV125" s="753">
        <v>0.998</v>
      </c>
      <c r="HW125" s="753">
        <v>0.998</v>
      </c>
      <c r="HX125" s="753">
        <v>0.998</v>
      </c>
      <c r="HY125" s="753">
        <v>0.998</v>
      </c>
      <c r="HZ125" s="753">
        <v>0.998</v>
      </c>
      <c r="IA125" s="753">
        <v>0.998</v>
      </c>
      <c r="IB125" s="753">
        <v>0.998</v>
      </c>
      <c r="IC125" s="753">
        <v>0.998</v>
      </c>
      <c r="ID125" s="753">
        <v>0.998</v>
      </c>
      <c r="IE125" s="753">
        <v>0.998</v>
      </c>
      <c r="IF125" s="753">
        <v>0.998</v>
      </c>
      <c r="IG125" s="753">
        <v>0.998</v>
      </c>
      <c r="IH125" s="753">
        <v>0.998</v>
      </c>
      <c r="II125" s="753">
        <v>0.998</v>
      </c>
      <c r="IJ125" s="753">
        <v>0.997</v>
      </c>
      <c r="IK125" s="753">
        <v>0.995</v>
      </c>
      <c r="IL125" s="753">
        <v>0.993</v>
      </c>
      <c r="IM125" s="753">
        <v>0.988</v>
      </c>
      <c r="IN125" s="753">
        <v>0.978</v>
      </c>
      <c r="IO125" s="753">
        <v>0.967</v>
      </c>
      <c r="IP125" s="753">
        <v>0.948</v>
      </c>
      <c r="IQ125" s="753">
        <v>0.908</v>
      </c>
      <c r="IR125" s="753">
        <v>0.826</v>
      </c>
      <c r="IS125" s="753">
        <v>0.638</v>
      </c>
      <c r="IT125" s="753">
        <v>0.303</v>
      </c>
      <c r="IU125" s="753"/>
      <c r="IV125" s="753"/>
      <c r="IW125" s="753"/>
      <c r="IX125" s="753"/>
      <c r="IY125" s="753"/>
      <c r="IZ125" s="753"/>
      <c r="JA125" s="754">
        <v>0.806</v>
      </c>
      <c r="JB125" s="754">
        <v>0.949</v>
      </c>
      <c r="JC125" s="754">
        <v>0.986</v>
      </c>
      <c r="JD125" s="754">
        <v>0.996</v>
      </c>
      <c r="JE125" s="754">
        <v>0.996</v>
      </c>
      <c r="JF125" s="754">
        <v>0.996</v>
      </c>
      <c r="JG125" s="754">
        <v>0.996</v>
      </c>
      <c r="JH125" s="754">
        <v>0.996</v>
      </c>
      <c r="JI125" s="754">
        <v>0.996</v>
      </c>
      <c r="JJ125" s="754">
        <v>0.996</v>
      </c>
      <c r="JK125" s="754">
        <v>0.996</v>
      </c>
      <c r="JL125" s="754">
        <v>0.996</v>
      </c>
      <c r="JM125" s="754">
        <v>0.996</v>
      </c>
      <c r="JN125" s="754">
        <v>0.996</v>
      </c>
      <c r="JO125" s="754">
        <v>0.996</v>
      </c>
      <c r="JP125" s="754">
        <v>0.996</v>
      </c>
      <c r="JQ125" s="754">
        <v>0.996</v>
      </c>
      <c r="JR125" s="754">
        <v>0.996</v>
      </c>
      <c r="JS125" s="754">
        <v>0.996</v>
      </c>
      <c r="JT125" s="754">
        <v>0.994</v>
      </c>
      <c r="JU125" s="754">
        <v>0.992</v>
      </c>
      <c r="JV125" s="754">
        <v>0.987</v>
      </c>
      <c r="JW125" s="754">
        <v>0.982</v>
      </c>
      <c r="JX125" s="754">
        <v>0.964</v>
      </c>
      <c r="JY125" s="754">
        <v>0.946</v>
      </c>
      <c r="JZ125" s="754">
        <v>0.91</v>
      </c>
      <c r="KA125" s="754">
        <v>0.839</v>
      </c>
      <c r="KB125" s="754">
        <v>0.698</v>
      </c>
      <c r="KC125" s="754">
        <v>0.423</v>
      </c>
      <c r="KD125" s="754">
        <v>0.098</v>
      </c>
      <c r="KE125" s="754"/>
      <c r="KF125" s="754"/>
      <c r="KG125" s="754"/>
      <c r="KH125" s="754"/>
      <c r="KI125" s="754"/>
      <c r="KJ125" s="754"/>
      <c r="KK125" s="765" t="s">
        <v>281</v>
      </c>
      <c r="KL125" s="738">
        <v>82</v>
      </c>
      <c r="KM125" s="738">
        <v>318</v>
      </c>
      <c r="KN125" s="646" t="s">
        <v>303</v>
      </c>
      <c r="KO125" s="646" t="s">
        <v>1082</v>
      </c>
      <c r="KP125" s="680">
        <v>720460</v>
      </c>
      <c r="KQ125" s="766"/>
      <c r="KR125" s="750"/>
      <c r="KS125" s="769"/>
      <c r="KT125" s="770"/>
      <c r="KU125" s="766" t="s">
        <v>1084</v>
      </c>
      <c r="KV125" s="750">
        <v>717480</v>
      </c>
      <c r="KW125" s="771" t="s">
        <v>1085</v>
      </c>
      <c r="KX125" s="750" t="s">
        <v>1086</v>
      </c>
      <c r="KY125" s="769"/>
      <c r="KZ125" s="770"/>
    </row>
    <row r="126" s="628" customFormat="1" customHeight="1" spans="1:312">
      <c r="A126" s="682" t="s">
        <v>374</v>
      </c>
      <c r="B126" s="683">
        <v>122</v>
      </c>
      <c r="C126" s="689" t="s">
        <v>1087</v>
      </c>
      <c r="D126" s="680">
        <v>762401</v>
      </c>
      <c r="E126" s="685">
        <v>40.09</v>
      </c>
      <c r="F126" s="685">
        <v>39.86</v>
      </c>
      <c r="G126" s="688">
        <v>0.01901</v>
      </c>
      <c r="H126" s="686">
        <v>0.019232</v>
      </c>
      <c r="I126" s="696">
        <v>1.7175</v>
      </c>
      <c r="J126" s="696">
        <v>1.72452</v>
      </c>
      <c r="K126" s="696">
        <v>1.73233</v>
      </c>
      <c r="L126" s="696">
        <v>1.73966</v>
      </c>
      <c r="M126" s="696">
        <v>1.74105</v>
      </c>
      <c r="N126" s="696">
        <v>1.74222</v>
      </c>
      <c r="O126" s="696">
        <v>1.74686</v>
      </c>
      <c r="P126" s="696">
        <v>1.75016</v>
      </c>
      <c r="Q126" s="697">
        <v>1.75325</v>
      </c>
      <c r="R126" s="697">
        <v>1.75638</v>
      </c>
      <c r="S126" s="697">
        <v>1.75727</v>
      </c>
      <c r="T126" s="701">
        <v>1.75809</v>
      </c>
      <c r="U126" s="697">
        <v>1.76183</v>
      </c>
      <c r="V126" s="697">
        <v>1.762</v>
      </c>
      <c r="W126" s="697">
        <v>1.76651</v>
      </c>
      <c r="X126" s="697">
        <v>1.77539</v>
      </c>
      <c r="Y126" s="697">
        <v>1.77651</v>
      </c>
      <c r="Z126" s="697">
        <v>1.78629</v>
      </c>
      <c r="AA126" s="697">
        <v>1.79568</v>
      </c>
      <c r="AB126" s="697">
        <v>1.81262</v>
      </c>
      <c r="AC126" s="704">
        <v>3.02351576</v>
      </c>
      <c r="AD126" s="705">
        <v>-0.0145336956</v>
      </c>
      <c r="AE126" s="705">
        <v>0.026174688</v>
      </c>
      <c r="AF126" s="705">
        <v>0.00146334106</v>
      </c>
      <c r="AG126" s="705">
        <v>-0.000107305803</v>
      </c>
      <c r="AH126" s="705">
        <v>9.60593182e-6</v>
      </c>
      <c r="AI126" s="709">
        <v>0.2956</v>
      </c>
      <c r="AJ126" s="709">
        <v>0.2372</v>
      </c>
      <c r="AK126" s="709">
        <v>0.5734</v>
      </c>
      <c r="AL126" s="709">
        <v>0.2459</v>
      </c>
      <c r="AM126" s="709">
        <v>0.2345</v>
      </c>
      <c r="AN126" s="709">
        <v>0.5085</v>
      </c>
      <c r="AO126" s="709">
        <v>-0.0009</v>
      </c>
      <c r="AP126" s="709">
        <v>-0.0036</v>
      </c>
      <c r="AQ126" s="709">
        <v>0.0105</v>
      </c>
      <c r="AR126" s="709">
        <v>0.0042</v>
      </c>
      <c r="AS126" s="714">
        <v>2.7</v>
      </c>
      <c r="AT126" s="714">
        <v>2.7</v>
      </c>
      <c r="AU126" s="714">
        <v>2.7</v>
      </c>
      <c r="AV126" s="714">
        <v>2.7</v>
      </c>
      <c r="AW126" s="714">
        <v>2.7</v>
      </c>
      <c r="AX126" s="714">
        <v>2.9</v>
      </c>
      <c r="AY126" s="714">
        <v>3</v>
      </c>
      <c r="AZ126" s="714">
        <v>3</v>
      </c>
      <c r="BA126" s="714">
        <v>3.1</v>
      </c>
      <c r="BB126" s="714">
        <v>3</v>
      </c>
      <c r="BC126" s="714">
        <v>3.2</v>
      </c>
      <c r="BD126" s="714">
        <v>2.8</v>
      </c>
      <c r="BE126" s="714">
        <v>2.9</v>
      </c>
      <c r="BF126" s="714">
        <v>2.9</v>
      </c>
      <c r="BG126" s="714">
        <v>2.9</v>
      </c>
      <c r="BH126" s="714">
        <v>3</v>
      </c>
      <c r="BI126" s="714">
        <v>3.1</v>
      </c>
      <c r="BJ126" s="714">
        <v>3.3</v>
      </c>
      <c r="BK126" s="714">
        <v>3.4</v>
      </c>
      <c r="BL126" s="714">
        <v>3.4</v>
      </c>
      <c r="BM126" s="714">
        <v>3.5</v>
      </c>
      <c r="BN126" s="714">
        <v>3.5</v>
      </c>
      <c r="BO126" s="714">
        <v>3.1</v>
      </c>
      <c r="BP126" s="714">
        <v>3.1</v>
      </c>
      <c r="BQ126" s="714">
        <v>3.1</v>
      </c>
      <c r="BR126" s="714">
        <v>3.1</v>
      </c>
      <c r="BS126" s="714">
        <v>3.2</v>
      </c>
      <c r="BT126" s="714">
        <v>3.3</v>
      </c>
      <c r="BU126" s="714">
        <v>3.5</v>
      </c>
      <c r="BV126" s="714">
        <v>3.6</v>
      </c>
      <c r="BW126" s="714">
        <v>3.7</v>
      </c>
      <c r="BX126" s="714">
        <v>3.7</v>
      </c>
      <c r="BY126" s="714">
        <v>3.8</v>
      </c>
      <c r="BZ126" s="714">
        <v>3.1</v>
      </c>
      <c r="CA126" s="714">
        <v>3.1</v>
      </c>
      <c r="CB126" s="714">
        <v>3.2</v>
      </c>
      <c r="CC126" s="714">
        <v>3.3</v>
      </c>
      <c r="CD126" s="714">
        <v>3.3</v>
      </c>
      <c r="CE126" s="714">
        <v>3.4</v>
      </c>
      <c r="CF126" s="714">
        <v>3.5</v>
      </c>
      <c r="CG126" s="714">
        <v>3.7</v>
      </c>
      <c r="CH126" s="714">
        <v>3.7</v>
      </c>
      <c r="CI126" s="714">
        <v>3.8</v>
      </c>
      <c r="CJ126" s="714">
        <v>3.9</v>
      </c>
      <c r="CK126" s="714">
        <v>3.2</v>
      </c>
      <c r="CL126" s="715">
        <v>3.2</v>
      </c>
      <c r="CM126" s="715">
        <v>3.3</v>
      </c>
      <c r="CN126" s="715">
        <v>3.4</v>
      </c>
      <c r="CO126" s="715">
        <v>3.4</v>
      </c>
      <c r="CP126" s="715">
        <v>3.4</v>
      </c>
      <c r="CQ126" s="715">
        <v>3.6</v>
      </c>
      <c r="CR126" s="714">
        <v>3.7</v>
      </c>
      <c r="CS126" s="714">
        <v>3.7</v>
      </c>
      <c r="CT126" s="714">
        <v>3.8</v>
      </c>
      <c r="CU126" s="714">
        <v>4</v>
      </c>
      <c r="CV126" s="714">
        <v>3.5</v>
      </c>
      <c r="CW126" s="715">
        <v>3.6</v>
      </c>
      <c r="CX126" s="715">
        <v>3.6</v>
      </c>
      <c r="CY126" s="715">
        <v>3.6</v>
      </c>
      <c r="CZ126" s="715">
        <v>3.8</v>
      </c>
      <c r="DA126" s="715">
        <v>3.8</v>
      </c>
      <c r="DB126" s="715">
        <v>3.8</v>
      </c>
      <c r="DC126" s="714">
        <v>4</v>
      </c>
      <c r="DD126" s="714">
        <v>4.1</v>
      </c>
      <c r="DE126" s="714">
        <v>4.2</v>
      </c>
      <c r="DF126" s="714">
        <v>4.4</v>
      </c>
      <c r="DG126" s="714">
        <v>3.6</v>
      </c>
      <c r="DH126" s="715">
        <v>3.7</v>
      </c>
      <c r="DI126" s="715">
        <v>3.8</v>
      </c>
      <c r="DJ126" s="715">
        <v>3.8</v>
      </c>
      <c r="DK126" s="715">
        <v>3.9</v>
      </c>
      <c r="DL126" s="715">
        <v>4</v>
      </c>
      <c r="DM126" s="715">
        <v>4.1</v>
      </c>
      <c r="DN126" s="714">
        <v>4.2</v>
      </c>
      <c r="DO126" s="714">
        <v>4.3</v>
      </c>
      <c r="DP126" s="714">
        <v>4.4</v>
      </c>
      <c r="DQ126" s="714">
        <v>4.6</v>
      </c>
      <c r="DR126" s="714">
        <v>4.1</v>
      </c>
      <c r="DS126" s="715">
        <v>4.1</v>
      </c>
      <c r="DT126" s="715">
        <v>4.3</v>
      </c>
      <c r="DU126" s="715">
        <v>4.3</v>
      </c>
      <c r="DV126" s="715">
        <v>4.4</v>
      </c>
      <c r="DW126" s="715">
        <v>4.5</v>
      </c>
      <c r="DX126" s="715">
        <v>4.7</v>
      </c>
      <c r="DY126" s="714">
        <v>4.9</v>
      </c>
      <c r="DZ126" s="714">
        <v>5</v>
      </c>
      <c r="EA126" s="714">
        <v>5.2</v>
      </c>
      <c r="EB126" s="714">
        <v>5.3</v>
      </c>
      <c r="EC126" s="714">
        <v>4.1</v>
      </c>
      <c r="ED126" s="715">
        <v>4.2</v>
      </c>
      <c r="EE126" s="715">
        <v>4.4</v>
      </c>
      <c r="EF126" s="715">
        <v>4.4</v>
      </c>
      <c r="EG126" s="715">
        <v>4.5</v>
      </c>
      <c r="EH126" s="715">
        <v>4.6</v>
      </c>
      <c r="EI126" s="715">
        <v>4.8</v>
      </c>
      <c r="EJ126" s="714">
        <v>5</v>
      </c>
      <c r="EK126" s="714">
        <v>5.1</v>
      </c>
      <c r="EL126" s="714">
        <v>5.3</v>
      </c>
      <c r="EM126" s="714">
        <v>5.4</v>
      </c>
      <c r="EN126" s="714">
        <v>4.7</v>
      </c>
      <c r="EO126" s="715">
        <v>4.9</v>
      </c>
      <c r="EP126" s="715">
        <v>5</v>
      </c>
      <c r="EQ126" s="715">
        <v>5.1</v>
      </c>
      <c r="ER126" s="715">
        <v>5.3</v>
      </c>
      <c r="ES126" s="715">
        <v>5.5</v>
      </c>
      <c r="ET126" s="715">
        <v>5.7</v>
      </c>
      <c r="EU126" s="714">
        <v>5.9</v>
      </c>
      <c r="EV126" s="714">
        <v>6.1</v>
      </c>
      <c r="EW126" s="714">
        <v>6.4</v>
      </c>
      <c r="EX126" s="714">
        <v>6.6</v>
      </c>
      <c r="EY126" s="714">
        <v>0.4</v>
      </c>
      <c r="EZ126" s="715">
        <v>0.8</v>
      </c>
      <c r="FA126" s="715">
        <v>1.3</v>
      </c>
      <c r="FB126" s="715">
        <v>1.6</v>
      </c>
      <c r="FC126" s="715">
        <v>1.9</v>
      </c>
      <c r="FD126" s="715">
        <v>2.1</v>
      </c>
      <c r="FE126" s="715">
        <v>2.4</v>
      </c>
      <c r="FF126" s="714">
        <v>2.6</v>
      </c>
      <c r="FG126" s="714">
        <v>2.7</v>
      </c>
      <c r="FH126" s="714">
        <v>2.9</v>
      </c>
      <c r="FI126" s="714">
        <v>3.2</v>
      </c>
      <c r="FJ126" s="723">
        <v>1.58e-6</v>
      </c>
      <c r="FK126" s="723">
        <v>1.15e-8</v>
      </c>
      <c r="FL126" s="723">
        <v>-2e-11</v>
      </c>
      <c r="FM126" s="723">
        <v>4.02e-7</v>
      </c>
      <c r="FN126" s="723">
        <v>5.35e-10</v>
      </c>
      <c r="FO126" s="723">
        <v>0.307</v>
      </c>
      <c r="FP126" s="729">
        <v>1</v>
      </c>
      <c r="FQ126" s="729">
        <v>3</v>
      </c>
      <c r="FR126" s="729">
        <v>1</v>
      </c>
      <c r="FS126" s="729">
        <v>4</v>
      </c>
      <c r="FT126" s="729">
        <v>1</v>
      </c>
      <c r="FU126" s="729">
        <v>1</v>
      </c>
      <c r="FV126" s="681">
        <v>1</v>
      </c>
      <c r="FW126" s="729"/>
      <c r="FX126" s="729"/>
      <c r="FY126" s="729"/>
      <c r="FZ126" s="746">
        <v>656</v>
      </c>
      <c r="GA126" s="746">
        <v>682</v>
      </c>
      <c r="GB126" s="681">
        <v>589</v>
      </c>
      <c r="GC126" s="681">
        <v>625</v>
      </c>
      <c r="GD126" s="747">
        <v>1.11</v>
      </c>
      <c r="GE126" s="729"/>
      <c r="GF126" s="681">
        <v>62</v>
      </c>
      <c r="GG126" s="681">
        <v>74</v>
      </c>
      <c r="GH126" s="681">
        <v>55</v>
      </c>
      <c r="GI126" s="681">
        <v>57</v>
      </c>
      <c r="GJ126" s="681">
        <v>59</v>
      </c>
      <c r="GK126" s="681">
        <v>60</v>
      </c>
      <c r="GL126" s="681">
        <v>61</v>
      </c>
      <c r="GM126" s="681">
        <v>62</v>
      </c>
      <c r="GN126" s="681">
        <v>63</v>
      </c>
      <c r="GO126" s="681">
        <v>63</v>
      </c>
      <c r="GP126" s="681">
        <v>64</v>
      </c>
      <c r="GQ126" s="681">
        <v>64</v>
      </c>
      <c r="GR126" s="681">
        <v>65</v>
      </c>
      <c r="GS126" s="681">
        <v>65</v>
      </c>
      <c r="GT126" s="681">
        <v>66</v>
      </c>
      <c r="GU126" s="681">
        <v>66</v>
      </c>
      <c r="GV126" s="681">
        <v>67</v>
      </c>
      <c r="GW126" s="681">
        <v>68</v>
      </c>
      <c r="GX126" s="681">
        <v>69</v>
      </c>
      <c r="GY126" s="681">
        <v>70</v>
      </c>
      <c r="GZ126" s="681">
        <v>71</v>
      </c>
      <c r="HA126" s="681">
        <v>72</v>
      </c>
      <c r="HB126" s="681">
        <v>72</v>
      </c>
      <c r="HC126" s="681"/>
      <c r="HD126" s="750">
        <v>160</v>
      </c>
      <c r="HE126" s="681"/>
      <c r="HF126" s="681">
        <v>563</v>
      </c>
      <c r="HG126" s="681">
        <v>118</v>
      </c>
      <c r="HH126" s="714">
        <v>103.1</v>
      </c>
      <c r="HI126" s="714">
        <v>39.3</v>
      </c>
      <c r="HJ126" s="753">
        <v>0.31</v>
      </c>
      <c r="HK126" s="681">
        <v>69</v>
      </c>
      <c r="HL126" s="685">
        <v>1.84</v>
      </c>
      <c r="HM126" s="747">
        <v>3.97</v>
      </c>
      <c r="HN126" s="729" t="s">
        <v>1088</v>
      </c>
      <c r="HO126" s="729" t="s">
        <v>1089</v>
      </c>
      <c r="HP126" s="714">
        <v>-0.3</v>
      </c>
      <c r="HQ126" s="753">
        <v>0.872</v>
      </c>
      <c r="HR126" s="753">
        <v>0.976</v>
      </c>
      <c r="HS126" s="753">
        <v>0.99</v>
      </c>
      <c r="HT126" s="753">
        <v>0.998</v>
      </c>
      <c r="HU126" s="753">
        <v>0.998</v>
      </c>
      <c r="HV126" s="753">
        <v>0.998</v>
      </c>
      <c r="HW126" s="753">
        <v>0.999</v>
      </c>
      <c r="HX126" s="753">
        <v>0.999</v>
      </c>
      <c r="HY126" s="753">
        <v>0.999</v>
      </c>
      <c r="HZ126" s="753">
        <v>0.999</v>
      </c>
      <c r="IA126" s="753">
        <v>0.999</v>
      </c>
      <c r="IB126" s="753">
        <v>0.999</v>
      </c>
      <c r="IC126" s="753">
        <v>0.999</v>
      </c>
      <c r="ID126" s="753">
        <v>0.999</v>
      </c>
      <c r="IE126" s="753">
        <v>0.999</v>
      </c>
      <c r="IF126" s="753">
        <v>0.999</v>
      </c>
      <c r="IG126" s="753">
        <v>0.999</v>
      </c>
      <c r="IH126" s="753">
        <v>0.999</v>
      </c>
      <c r="II126" s="753">
        <v>0.996</v>
      </c>
      <c r="IJ126" s="753">
        <v>0.994</v>
      </c>
      <c r="IK126" s="753">
        <v>0.992</v>
      </c>
      <c r="IL126" s="753">
        <v>0.99</v>
      </c>
      <c r="IM126" s="753">
        <v>0.984</v>
      </c>
      <c r="IN126" s="753">
        <v>0.972</v>
      </c>
      <c r="IO126" s="753">
        <v>0.959</v>
      </c>
      <c r="IP126" s="753">
        <v>0.932</v>
      </c>
      <c r="IQ126" s="753">
        <v>0.871</v>
      </c>
      <c r="IR126" s="753">
        <v>0.713</v>
      </c>
      <c r="IS126" s="753">
        <v>0.368</v>
      </c>
      <c r="IT126" s="753"/>
      <c r="IU126" s="753"/>
      <c r="IV126" s="753"/>
      <c r="IW126" s="753"/>
      <c r="IX126" s="753"/>
      <c r="IY126" s="753"/>
      <c r="IZ126" s="753"/>
      <c r="JA126" s="754">
        <v>0.76</v>
      </c>
      <c r="JB126" s="754">
        <v>0.953</v>
      </c>
      <c r="JC126" s="754">
        <v>0.98</v>
      </c>
      <c r="JD126" s="754">
        <v>0.996</v>
      </c>
      <c r="JE126" s="754">
        <v>0.996</v>
      </c>
      <c r="JF126" s="754">
        <v>0.996</v>
      </c>
      <c r="JG126" s="754">
        <v>0.998</v>
      </c>
      <c r="JH126" s="754">
        <v>0.998</v>
      </c>
      <c r="JI126" s="754">
        <v>0.998</v>
      </c>
      <c r="JJ126" s="754">
        <v>0.998</v>
      </c>
      <c r="JK126" s="754">
        <v>0.998</v>
      </c>
      <c r="JL126" s="754">
        <v>0.998</v>
      </c>
      <c r="JM126" s="754">
        <v>0.998</v>
      </c>
      <c r="JN126" s="754">
        <v>0.998</v>
      </c>
      <c r="JO126" s="754">
        <v>0.998</v>
      </c>
      <c r="JP126" s="754">
        <v>0.998</v>
      </c>
      <c r="JQ126" s="754">
        <v>0.998</v>
      </c>
      <c r="JR126" s="754">
        <v>0.998</v>
      </c>
      <c r="JS126" s="754">
        <v>0.992</v>
      </c>
      <c r="JT126" s="754">
        <v>0.989</v>
      </c>
      <c r="JU126" s="754">
        <v>0.984</v>
      </c>
      <c r="JV126" s="754">
        <v>0.98</v>
      </c>
      <c r="JW126" s="754">
        <v>0.97</v>
      </c>
      <c r="JX126" s="754">
        <v>0.942</v>
      </c>
      <c r="JY126" s="754">
        <v>0.916</v>
      </c>
      <c r="JZ126" s="754">
        <v>0.86</v>
      </c>
      <c r="KA126" s="754">
        <v>0.745</v>
      </c>
      <c r="KB126" s="754">
        <v>0.487</v>
      </c>
      <c r="KC126" s="754">
        <v>0.124</v>
      </c>
      <c r="KD126" s="754"/>
      <c r="KE126" s="754"/>
      <c r="KF126" s="754"/>
      <c r="KG126" s="754"/>
      <c r="KH126" s="754"/>
      <c r="KI126" s="754"/>
      <c r="KJ126" s="754"/>
      <c r="KK126" s="765" t="s">
        <v>281</v>
      </c>
      <c r="KL126" s="738">
        <v>92</v>
      </c>
      <c r="KM126" s="738">
        <v>365</v>
      </c>
      <c r="KN126" s="646" t="s">
        <v>339</v>
      </c>
      <c r="KO126" s="646" t="s">
        <v>1087</v>
      </c>
      <c r="KP126" s="680">
        <v>762401</v>
      </c>
      <c r="KQ126" s="766" t="s">
        <v>1090</v>
      </c>
      <c r="KR126" s="750" t="s">
        <v>1091</v>
      </c>
      <c r="KS126" s="769" t="s">
        <v>1071</v>
      </c>
      <c r="KT126" s="770" t="s">
        <v>1091</v>
      </c>
      <c r="KU126" s="766"/>
      <c r="KV126" s="750"/>
      <c r="KW126" s="771" t="s">
        <v>1092</v>
      </c>
      <c r="KX126" s="750" t="s">
        <v>1093</v>
      </c>
      <c r="KY126" s="769"/>
      <c r="KZ126" s="770"/>
    </row>
    <row r="127" s="628" customFormat="1" customHeight="1" spans="1:312">
      <c r="A127" s="682" t="s">
        <v>374</v>
      </c>
      <c r="B127" s="683">
        <v>123</v>
      </c>
      <c r="C127" s="689" t="s">
        <v>1094</v>
      </c>
      <c r="D127" s="680">
        <v>802443</v>
      </c>
      <c r="E127" s="685">
        <v>44.27</v>
      </c>
      <c r="F127" s="685">
        <v>44.05</v>
      </c>
      <c r="G127" s="688">
        <v>0.01811</v>
      </c>
      <c r="H127" s="686">
        <v>0.018298</v>
      </c>
      <c r="I127" s="696">
        <v>1.75717</v>
      </c>
      <c r="J127" s="696">
        <v>1.76442</v>
      </c>
      <c r="K127" s="696">
        <v>1.77245</v>
      </c>
      <c r="L127" s="696">
        <v>1.77986</v>
      </c>
      <c r="M127" s="696">
        <v>1.78125</v>
      </c>
      <c r="N127" s="696">
        <v>1.78241</v>
      </c>
      <c r="O127" s="696">
        <v>1.787</v>
      </c>
      <c r="P127" s="696">
        <v>1.79021</v>
      </c>
      <c r="Q127" s="697">
        <v>1.79321</v>
      </c>
      <c r="R127" s="697">
        <v>1.79624</v>
      </c>
      <c r="S127" s="697">
        <v>1.7971</v>
      </c>
      <c r="T127" s="701">
        <v>1.7979</v>
      </c>
      <c r="U127" s="697">
        <v>1.8015</v>
      </c>
      <c r="V127" s="697">
        <v>1.80166</v>
      </c>
      <c r="W127" s="697">
        <v>1.80596</v>
      </c>
      <c r="X127" s="697">
        <v>1.81435</v>
      </c>
      <c r="Y127" s="697">
        <v>1.8154</v>
      </c>
      <c r="Z127" s="697">
        <v>1.82451</v>
      </c>
      <c r="AA127" s="697">
        <v>1.83312</v>
      </c>
      <c r="AB127" s="697">
        <v>1.84826</v>
      </c>
      <c r="AC127" s="704">
        <v>3.16628243</v>
      </c>
      <c r="AD127" s="705">
        <v>-0.015441144</v>
      </c>
      <c r="AE127" s="705">
        <v>0.0261007358</v>
      </c>
      <c r="AF127" s="705">
        <v>0.0013712332</v>
      </c>
      <c r="AG127" s="705">
        <v>-0.000109192053</v>
      </c>
      <c r="AH127" s="705">
        <v>7.83345535e-6</v>
      </c>
      <c r="AI127" s="709">
        <v>0.2993</v>
      </c>
      <c r="AJ127" s="709">
        <v>0.2374</v>
      </c>
      <c r="AK127" s="709">
        <v>0.561</v>
      </c>
      <c r="AL127" s="709">
        <v>0.2492</v>
      </c>
      <c r="AM127" s="709">
        <v>0.235</v>
      </c>
      <c r="AN127" s="709">
        <v>0.4979</v>
      </c>
      <c r="AO127" s="709">
        <v>-0.0025</v>
      </c>
      <c r="AP127" s="709">
        <v>-0.0091</v>
      </c>
      <c r="AQ127" s="709">
        <v>0.009</v>
      </c>
      <c r="AR127" s="709">
        <v>0.0036</v>
      </c>
      <c r="AS127" s="714">
        <v>4.6</v>
      </c>
      <c r="AT127" s="714">
        <v>4.6</v>
      </c>
      <c r="AU127" s="714">
        <v>4.7</v>
      </c>
      <c r="AV127" s="714">
        <v>4.7</v>
      </c>
      <c r="AW127" s="714">
        <v>4.8</v>
      </c>
      <c r="AX127" s="714">
        <v>4.8</v>
      </c>
      <c r="AY127" s="714">
        <v>5</v>
      </c>
      <c r="AZ127" s="714">
        <v>5</v>
      </c>
      <c r="BA127" s="714">
        <v>5</v>
      </c>
      <c r="BB127" s="714">
        <v>5.1</v>
      </c>
      <c r="BC127" s="714">
        <v>5.1</v>
      </c>
      <c r="BD127" s="714">
        <v>5</v>
      </c>
      <c r="BE127" s="714">
        <v>4.9</v>
      </c>
      <c r="BF127" s="714">
        <v>4.9</v>
      </c>
      <c r="BG127" s="714">
        <v>4.9</v>
      </c>
      <c r="BH127" s="714">
        <v>4.9</v>
      </c>
      <c r="BI127" s="714">
        <v>5</v>
      </c>
      <c r="BJ127" s="714">
        <v>5.2</v>
      </c>
      <c r="BK127" s="714">
        <v>5.4</v>
      </c>
      <c r="BL127" s="714">
        <v>5.5</v>
      </c>
      <c r="BM127" s="714">
        <v>5.6</v>
      </c>
      <c r="BN127" s="714">
        <v>5.6</v>
      </c>
      <c r="BO127" s="714">
        <v>5.3</v>
      </c>
      <c r="BP127" s="714">
        <v>5.3</v>
      </c>
      <c r="BQ127" s="714">
        <v>5.3</v>
      </c>
      <c r="BR127" s="714">
        <v>5.3</v>
      </c>
      <c r="BS127" s="714">
        <v>5.4</v>
      </c>
      <c r="BT127" s="714">
        <v>5.5</v>
      </c>
      <c r="BU127" s="714">
        <v>5.7</v>
      </c>
      <c r="BV127" s="714">
        <v>5.9</v>
      </c>
      <c r="BW127" s="714">
        <v>6.1</v>
      </c>
      <c r="BX127" s="714">
        <v>6.2</v>
      </c>
      <c r="BY127" s="714">
        <v>6.3</v>
      </c>
      <c r="BZ127" s="714">
        <v>5.3</v>
      </c>
      <c r="CA127" s="714">
        <v>5.3</v>
      </c>
      <c r="CB127" s="714">
        <v>5.3</v>
      </c>
      <c r="CC127" s="714">
        <v>5.4</v>
      </c>
      <c r="CD127" s="714">
        <v>5.5</v>
      </c>
      <c r="CE127" s="714">
        <v>5.6</v>
      </c>
      <c r="CF127" s="714">
        <v>5.8</v>
      </c>
      <c r="CG127" s="714">
        <v>6</v>
      </c>
      <c r="CH127" s="714">
        <v>6.2</v>
      </c>
      <c r="CI127" s="714">
        <v>6.4</v>
      </c>
      <c r="CJ127" s="714">
        <v>6.5</v>
      </c>
      <c r="CK127" s="714">
        <v>5.4</v>
      </c>
      <c r="CL127" s="715">
        <v>5.4</v>
      </c>
      <c r="CM127" s="715">
        <v>5.4</v>
      </c>
      <c r="CN127" s="715">
        <v>5.4</v>
      </c>
      <c r="CO127" s="715">
        <v>5.5</v>
      </c>
      <c r="CP127" s="715">
        <v>5.7</v>
      </c>
      <c r="CQ127" s="715">
        <v>5.9</v>
      </c>
      <c r="CR127" s="714">
        <v>6.1</v>
      </c>
      <c r="CS127" s="714">
        <v>6.3</v>
      </c>
      <c r="CT127" s="714">
        <v>6.4</v>
      </c>
      <c r="CU127" s="714">
        <v>6.6</v>
      </c>
      <c r="CV127" s="714">
        <v>5.6</v>
      </c>
      <c r="CW127" s="715">
        <v>5.6</v>
      </c>
      <c r="CX127" s="715">
        <v>5.7</v>
      </c>
      <c r="CY127" s="715">
        <v>5.8</v>
      </c>
      <c r="CZ127" s="715">
        <v>5.8</v>
      </c>
      <c r="DA127" s="715">
        <v>6</v>
      </c>
      <c r="DB127" s="715">
        <v>6.3</v>
      </c>
      <c r="DC127" s="714">
        <v>6.4</v>
      </c>
      <c r="DD127" s="714">
        <v>6.6</v>
      </c>
      <c r="DE127" s="714">
        <v>6.7</v>
      </c>
      <c r="DF127" s="714">
        <v>6.9</v>
      </c>
      <c r="DG127" s="714">
        <v>5.7</v>
      </c>
      <c r="DH127" s="715">
        <v>5.7</v>
      </c>
      <c r="DI127" s="715">
        <v>5.8</v>
      </c>
      <c r="DJ127" s="715">
        <v>6</v>
      </c>
      <c r="DK127" s="715">
        <v>6.1</v>
      </c>
      <c r="DL127" s="715">
        <v>6.3</v>
      </c>
      <c r="DM127" s="715">
        <v>6.5</v>
      </c>
      <c r="DN127" s="714">
        <v>6.6</v>
      </c>
      <c r="DO127" s="714">
        <v>6.8</v>
      </c>
      <c r="DP127" s="714">
        <v>7</v>
      </c>
      <c r="DQ127" s="714">
        <v>7.2</v>
      </c>
      <c r="DR127" s="714">
        <v>6.4</v>
      </c>
      <c r="DS127" s="715">
        <v>6.4</v>
      </c>
      <c r="DT127" s="715">
        <v>6.5</v>
      </c>
      <c r="DU127" s="715">
        <v>6.6</v>
      </c>
      <c r="DV127" s="715">
        <v>6.7</v>
      </c>
      <c r="DW127" s="715">
        <v>6.8</v>
      </c>
      <c r="DX127" s="715">
        <v>7</v>
      </c>
      <c r="DY127" s="714">
        <v>7.2</v>
      </c>
      <c r="DZ127" s="714">
        <v>7.3</v>
      </c>
      <c r="EA127" s="714">
        <v>7.4</v>
      </c>
      <c r="EB127" s="714">
        <v>7.5</v>
      </c>
      <c r="EC127" s="714">
        <v>6.5</v>
      </c>
      <c r="ED127" s="715">
        <v>6.5</v>
      </c>
      <c r="EE127" s="715">
        <v>6.5</v>
      </c>
      <c r="EF127" s="715">
        <v>6.6</v>
      </c>
      <c r="EG127" s="715">
        <v>6.7</v>
      </c>
      <c r="EH127" s="715">
        <v>6.9</v>
      </c>
      <c r="EI127" s="715">
        <v>7.1</v>
      </c>
      <c r="EJ127" s="714">
        <v>7.2</v>
      </c>
      <c r="EK127" s="714">
        <v>7.4</v>
      </c>
      <c r="EL127" s="714">
        <v>7.5</v>
      </c>
      <c r="EM127" s="714">
        <v>7.6</v>
      </c>
      <c r="EN127" s="714">
        <v>7</v>
      </c>
      <c r="EO127" s="715">
        <v>7.2</v>
      </c>
      <c r="EP127" s="715">
        <v>7.4</v>
      </c>
      <c r="EQ127" s="715">
        <v>7.4</v>
      </c>
      <c r="ER127" s="715">
        <v>7.5</v>
      </c>
      <c r="ES127" s="715">
        <v>7.7</v>
      </c>
      <c r="ET127" s="715">
        <v>7.9</v>
      </c>
      <c r="EU127" s="714">
        <v>8.1</v>
      </c>
      <c r="EV127" s="714">
        <v>8.2</v>
      </c>
      <c r="EW127" s="714">
        <v>8.4</v>
      </c>
      <c r="EX127" s="714">
        <v>8.6</v>
      </c>
      <c r="EY127" s="714">
        <v>2.5</v>
      </c>
      <c r="EZ127" s="715">
        <v>3</v>
      </c>
      <c r="FA127" s="715">
        <v>3.3</v>
      </c>
      <c r="FB127" s="715">
        <v>3.6</v>
      </c>
      <c r="FC127" s="715">
        <v>3.9</v>
      </c>
      <c r="FD127" s="715">
        <v>4.3</v>
      </c>
      <c r="FE127" s="715">
        <v>4.7</v>
      </c>
      <c r="FF127" s="714">
        <v>5</v>
      </c>
      <c r="FG127" s="714">
        <v>5.3</v>
      </c>
      <c r="FH127" s="714">
        <v>5.5</v>
      </c>
      <c r="FI127" s="714">
        <v>5.8</v>
      </c>
      <c r="FJ127" s="723">
        <v>4.19e-6</v>
      </c>
      <c r="FK127" s="723">
        <v>1.23e-8</v>
      </c>
      <c r="FL127" s="723">
        <v>-1.53e-11</v>
      </c>
      <c r="FM127" s="723">
        <v>7.59e-7</v>
      </c>
      <c r="FN127" s="723">
        <v>5.64e-10</v>
      </c>
      <c r="FO127" s="723">
        <v>0.165</v>
      </c>
      <c r="FP127" s="729">
        <v>1</v>
      </c>
      <c r="FQ127" s="729">
        <v>1</v>
      </c>
      <c r="FR127" s="729">
        <v>1</v>
      </c>
      <c r="FS127" s="729">
        <v>3</v>
      </c>
      <c r="FT127" s="729">
        <v>1</v>
      </c>
      <c r="FU127" s="729">
        <v>1</v>
      </c>
      <c r="FV127" s="681">
        <v>1</v>
      </c>
      <c r="FW127" s="729"/>
      <c r="FX127" s="729"/>
      <c r="FY127" s="729"/>
      <c r="FZ127" s="746">
        <v>658</v>
      </c>
      <c r="GA127" s="746">
        <v>687</v>
      </c>
      <c r="GB127" s="681">
        <v>596</v>
      </c>
      <c r="GC127" s="681">
        <v>627</v>
      </c>
      <c r="GD127" s="747">
        <v>0.92</v>
      </c>
      <c r="GE127" s="729"/>
      <c r="GF127" s="681">
        <v>56</v>
      </c>
      <c r="GG127" s="681">
        <v>74</v>
      </c>
      <c r="GH127" s="681">
        <v>48</v>
      </c>
      <c r="GI127" s="681">
        <v>50</v>
      </c>
      <c r="GJ127" s="681">
        <v>50</v>
      </c>
      <c r="GK127" s="681">
        <v>52</v>
      </c>
      <c r="GL127" s="681">
        <v>57</v>
      </c>
      <c r="GM127" s="681">
        <v>54</v>
      </c>
      <c r="GN127" s="681">
        <v>55</v>
      </c>
      <c r="GO127" s="681">
        <v>59</v>
      </c>
      <c r="GP127" s="681">
        <v>61</v>
      </c>
      <c r="GQ127" s="681">
        <v>58</v>
      </c>
      <c r="GR127" s="681">
        <v>59</v>
      </c>
      <c r="GS127" s="681">
        <v>61</v>
      </c>
      <c r="GT127" s="681">
        <v>62</v>
      </c>
      <c r="GU127" s="681">
        <v>62</v>
      </c>
      <c r="GV127" s="681">
        <v>64</v>
      </c>
      <c r="GW127" s="681">
        <v>62</v>
      </c>
      <c r="GX127" s="681">
        <v>64</v>
      </c>
      <c r="GY127" s="681">
        <v>68</v>
      </c>
      <c r="GZ127" s="681">
        <v>70</v>
      </c>
      <c r="HA127" s="681">
        <v>71</v>
      </c>
      <c r="HB127" s="681">
        <v>72</v>
      </c>
      <c r="HC127" s="681"/>
      <c r="HD127" s="750">
        <v>170</v>
      </c>
      <c r="HE127" s="681"/>
      <c r="HF127" s="681">
        <v>681</v>
      </c>
      <c r="HG127" s="681">
        <v>75</v>
      </c>
      <c r="HH127" s="714">
        <v>121.2</v>
      </c>
      <c r="HI127" s="714">
        <v>45.9</v>
      </c>
      <c r="HJ127" s="753">
        <v>0.319</v>
      </c>
      <c r="HK127" s="681">
        <v>63</v>
      </c>
      <c r="HL127" s="685">
        <v>1.76</v>
      </c>
      <c r="HM127" s="747">
        <v>4.41</v>
      </c>
      <c r="HN127" s="729" t="s">
        <v>1095</v>
      </c>
      <c r="HO127" s="729" t="s">
        <v>980</v>
      </c>
      <c r="HP127" s="714">
        <v>-0.7</v>
      </c>
      <c r="HQ127" s="753">
        <v>0.803</v>
      </c>
      <c r="HR127" s="753">
        <v>0.935</v>
      </c>
      <c r="HS127" s="753">
        <v>0.99</v>
      </c>
      <c r="HT127" s="753">
        <v>0.999</v>
      </c>
      <c r="HU127" s="753">
        <v>0.999</v>
      </c>
      <c r="HV127" s="753">
        <v>0.999</v>
      </c>
      <c r="HW127" s="753">
        <v>0.999</v>
      </c>
      <c r="HX127" s="753">
        <v>0.999</v>
      </c>
      <c r="HY127" s="753">
        <v>0.999</v>
      </c>
      <c r="HZ127" s="753">
        <v>0.999</v>
      </c>
      <c r="IA127" s="753">
        <v>0.999</v>
      </c>
      <c r="IB127" s="753">
        <v>0.999</v>
      </c>
      <c r="IC127" s="753">
        <v>0.999</v>
      </c>
      <c r="ID127" s="753">
        <v>0.999</v>
      </c>
      <c r="IE127" s="753">
        <v>0.999</v>
      </c>
      <c r="IF127" s="753">
        <v>0.999</v>
      </c>
      <c r="IG127" s="753">
        <v>0.999</v>
      </c>
      <c r="IH127" s="753">
        <v>0.999</v>
      </c>
      <c r="II127" s="753">
        <v>0.999</v>
      </c>
      <c r="IJ127" s="753">
        <v>0.997</v>
      </c>
      <c r="IK127" s="753">
        <v>0.995</v>
      </c>
      <c r="IL127" s="753">
        <v>0.994</v>
      </c>
      <c r="IM127" s="753">
        <v>0.99</v>
      </c>
      <c r="IN127" s="753">
        <v>0.984</v>
      </c>
      <c r="IO127" s="753">
        <v>0.976</v>
      </c>
      <c r="IP127" s="753">
        <v>0.963</v>
      </c>
      <c r="IQ127" s="753">
        <v>0.936</v>
      </c>
      <c r="IR127" s="753">
        <v>0.881</v>
      </c>
      <c r="IS127" s="753">
        <v>0.747</v>
      </c>
      <c r="IT127" s="753">
        <v>0.485</v>
      </c>
      <c r="IU127" s="753">
        <v>0.156</v>
      </c>
      <c r="IV127" s="753"/>
      <c r="IW127" s="753"/>
      <c r="IX127" s="753"/>
      <c r="IY127" s="753"/>
      <c r="IZ127" s="753"/>
      <c r="JA127" s="754">
        <v>0.645</v>
      </c>
      <c r="JB127" s="754">
        <v>0.874</v>
      </c>
      <c r="JC127" s="754">
        <v>0.98</v>
      </c>
      <c r="JD127" s="754">
        <v>0.998</v>
      </c>
      <c r="JE127" s="754">
        <v>0.998</v>
      </c>
      <c r="JF127" s="754">
        <v>0.998</v>
      </c>
      <c r="JG127" s="754">
        <v>0.998</v>
      </c>
      <c r="JH127" s="754">
        <v>0.998</v>
      </c>
      <c r="JI127" s="754">
        <v>0.998</v>
      </c>
      <c r="JJ127" s="754">
        <v>0.998</v>
      </c>
      <c r="JK127" s="754">
        <v>0.998</v>
      </c>
      <c r="JL127" s="754">
        <v>0.998</v>
      </c>
      <c r="JM127" s="754">
        <v>0.998</v>
      </c>
      <c r="JN127" s="754">
        <v>0.998</v>
      </c>
      <c r="JO127" s="754">
        <v>0.998</v>
      </c>
      <c r="JP127" s="754">
        <v>0.998</v>
      </c>
      <c r="JQ127" s="754">
        <v>0.998</v>
      </c>
      <c r="JR127" s="754">
        <v>0.998</v>
      </c>
      <c r="JS127" s="754">
        <v>0.998</v>
      </c>
      <c r="JT127" s="754">
        <v>0.994</v>
      </c>
      <c r="JU127" s="754">
        <v>0.991</v>
      </c>
      <c r="JV127" s="754">
        <v>0.987</v>
      </c>
      <c r="JW127" s="754">
        <v>0.981</v>
      </c>
      <c r="JX127" s="754">
        <v>0.968</v>
      </c>
      <c r="JY127" s="754">
        <v>0.953</v>
      </c>
      <c r="JZ127" s="754">
        <v>0.927</v>
      </c>
      <c r="KA127" s="754">
        <v>0.876</v>
      </c>
      <c r="KB127" s="754">
        <v>0.776</v>
      </c>
      <c r="KC127" s="754">
        <v>0.558</v>
      </c>
      <c r="KD127" s="754">
        <v>0.235</v>
      </c>
      <c r="KE127" s="754">
        <v>0.024</v>
      </c>
      <c r="KF127" s="754"/>
      <c r="KG127" s="754"/>
      <c r="KH127" s="754"/>
      <c r="KI127" s="754"/>
      <c r="KJ127" s="754"/>
      <c r="KK127" s="765" t="s">
        <v>281</v>
      </c>
      <c r="KL127" s="738">
        <v>102</v>
      </c>
      <c r="KM127" s="738">
        <v>450</v>
      </c>
      <c r="KN127" s="646" t="s">
        <v>617</v>
      </c>
      <c r="KO127" s="646" t="s">
        <v>1094</v>
      </c>
      <c r="KP127" s="680">
        <v>802443</v>
      </c>
      <c r="KQ127" s="766"/>
      <c r="KR127" s="750"/>
      <c r="KS127" s="769" t="s">
        <v>1094</v>
      </c>
      <c r="KT127" s="770" t="s">
        <v>1096</v>
      </c>
      <c r="KU127" s="766"/>
      <c r="KV127" s="750"/>
      <c r="KW127" s="771" t="s">
        <v>1097</v>
      </c>
      <c r="KX127" s="750" t="s">
        <v>1098</v>
      </c>
      <c r="KY127" s="769"/>
      <c r="KZ127" s="770"/>
    </row>
    <row r="128" s="628" customFormat="1" customHeight="1" spans="1:312">
      <c r="A128" s="682" t="s">
        <v>374</v>
      </c>
      <c r="B128" s="683">
        <v>124</v>
      </c>
      <c r="C128" s="689" t="s">
        <v>1099</v>
      </c>
      <c r="D128" s="680">
        <v>803468</v>
      </c>
      <c r="E128" s="685">
        <v>46.76</v>
      </c>
      <c r="F128" s="685">
        <v>46.52</v>
      </c>
      <c r="G128" s="688">
        <v>0.017168</v>
      </c>
      <c r="H128" s="686">
        <v>0.017345</v>
      </c>
      <c r="I128" s="696">
        <v>1.75864</v>
      </c>
      <c r="J128" s="696">
        <v>1.7661</v>
      </c>
      <c r="K128" s="696">
        <v>1.7743</v>
      </c>
      <c r="L128" s="696">
        <v>1.78174</v>
      </c>
      <c r="M128" s="696">
        <v>1.78312</v>
      </c>
      <c r="N128" s="696">
        <v>1.78426</v>
      </c>
      <c r="O128" s="696">
        <v>1.78874</v>
      </c>
      <c r="P128" s="696">
        <v>1.79184</v>
      </c>
      <c r="Q128" s="697">
        <v>1.79473</v>
      </c>
      <c r="R128" s="697">
        <v>1.79763</v>
      </c>
      <c r="S128" s="697">
        <v>1.79845</v>
      </c>
      <c r="T128" s="701">
        <v>1.79921</v>
      </c>
      <c r="U128" s="697">
        <v>1.80264</v>
      </c>
      <c r="V128" s="697">
        <v>1.80279</v>
      </c>
      <c r="W128" s="697">
        <v>1.80687</v>
      </c>
      <c r="X128" s="697">
        <v>1.8148</v>
      </c>
      <c r="Y128" s="697">
        <v>1.81579</v>
      </c>
      <c r="Z128" s="697">
        <v>1.82438</v>
      </c>
      <c r="AA128" s="697">
        <v>1.83241</v>
      </c>
      <c r="AB128" s="697">
        <v>1.84644</v>
      </c>
      <c r="AC128" s="704">
        <v>3.17454812</v>
      </c>
      <c r="AD128" s="705">
        <v>-0.0159776958</v>
      </c>
      <c r="AE128" s="705">
        <v>0.0251277775</v>
      </c>
      <c r="AF128" s="705">
        <v>0.00118617161</v>
      </c>
      <c r="AG128" s="705">
        <v>-8.90435226e-5</v>
      </c>
      <c r="AH128" s="705">
        <v>6.03380469e-6</v>
      </c>
      <c r="AI128" s="709">
        <v>0.3006</v>
      </c>
      <c r="AJ128" s="709">
        <v>0.2377</v>
      </c>
      <c r="AK128" s="709">
        <v>0.558</v>
      </c>
      <c r="AL128" s="709">
        <v>0.2502</v>
      </c>
      <c r="AM128" s="709">
        <v>0.2352</v>
      </c>
      <c r="AN128" s="709">
        <v>0.4952</v>
      </c>
      <c r="AO128" s="709">
        <v>-0.0025</v>
      </c>
      <c r="AP128" s="709">
        <v>-0.0079</v>
      </c>
      <c r="AQ128" s="709">
        <v>0.0121</v>
      </c>
      <c r="AR128" s="709">
        <v>0.0052</v>
      </c>
      <c r="AS128" s="714">
        <v>3.6</v>
      </c>
      <c r="AT128" s="714">
        <v>3.7</v>
      </c>
      <c r="AU128" s="714">
        <v>3.6</v>
      </c>
      <c r="AV128" s="714">
        <v>3.8</v>
      </c>
      <c r="AW128" s="714">
        <v>3.9</v>
      </c>
      <c r="AX128" s="714">
        <v>4</v>
      </c>
      <c r="AY128" s="714">
        <v>4</v>
      </c>
      <c r="AZ128" s="714">
        <v>4.1</v>
      </c>
      <c r="BA128" s="714">
        <v>4.2</v>
      </c>
      <c r="BB128" s="714">
        <v>4.3</v>
      </c>
      <c r="BC128" s="714">
        <v>4.4</v>
      </c>
      <c r="BD128" s="714">
        <v>4</v>
      </c>
      <c r="BE128" s="714">
        <v>4</v>
      </c>
      <c r="BF128" s="714">
        <v>4</v>
      </c>
      <c r="BG128" s="714">
        <v>4</v>
      </c>
      <c r="BH128" s="714">
        <v>4</v>
      </c>
      <c r="BI128" s="714">
        <v>4.1</v>
      </c>
      <c r="BJ128" s="714">
        <v>4.2</v>
      </c>
      <c r="BK128" s="714">
        <v>4.3</v>
      </c>
      <c r="BL128" s="714">
        <v>4.4</v>
      </c>
      <c r="BM128" s="714">
        <v>4.5</v>
      </c>
      <c r="BN128" s="714">
        <v>4.6</v>
      </c>
      <c r="BO128" s="714">
        <v>4.3</v>
      </c>
      <c r="BP128" s="714">
        <v>4.3</v>
      </c>
      <c r="BQ128" s="714">
        <v>4.3</v>
      </c>
      <c r="BR128" s="714">
        <v>4.3</v>
      </c>
      <c r="BS128" s="714">
        <v>4.4</v>
      </c>
      <c r="BT128" s="714">
        <v>4.5</v>
      </c>
      <c r="BU128" s="714">
        <v>4.6</v>
      </c>
      <c r="BV128" s="714">
        <v>4.7</v>
      </c>
      <c r="BW128" s="714">
        <v>4.9</v>
      </c>
      <c r="BX128" s="714">
        <v>5.1</v>
      </c>
      <c r="BY128" s="714">
        <v>5.2</v>
      </c>
      <c r="BZ128" s="714">
        <v>4.3</v>
      </c>
      <c r="CA128" s="714">
        <v>4.3</v>
      </c>
      <c r="CB128" s="714">
        <v>4.3</v>
      </c>
      <c r="CC128" s="714">
        <v>4.4</v>
      </c>
      <c r="CD128" s="714">
        <v>4.5</v>
      </c>
      <c r="CE128" s="714">
        <v>4.6</v>
      </c>
      <c r="CF128" s="714">
        <v>4.7</v>
      </c>
      <c r="CG128" s="714">
        <v>4.8</v>
      </c>
      <c r="CH128" s="714">
        <v>5</v>
      </c>
      <c r="CI128" s="714">
        <v>5.1</v>
      </c>
      <c r="CJ128" s="714">
        <v>5.2</v>
      </c>
      <c r="CK128" s="714">
        <v>4.4</v>
      </c>
      <c r="CL128" s="715">
        <v>4.4</v>
      </c>
      <c r="CM128" s="715">
        <v>4.4</v>
      </c>
      <c r="CN128" s="715">
        <v>4.4</v>
      </c>
      <c r="CO128" s="715">
        <v>4.5</v>
      </c>
      <c r="CP128" s="715">
        <v>4.7</v>
      </c>
      <c r="CQ128" s="715">
        <v>4.8</v>
      </c>
      <c r="CR128" s="714">
        <v>4.9</v>
      </c>
      <c r="CS128" s="714">
        <v>5</v>
      </c>
      <c r="CT128" s="714">
        <v>5.1</v>
      </c>
      <c r="CU128" s="714">
        <v>5.3</v>
      </c>
      <c r="CV128" s="714">
        <v>4.5</v>
      </c>
      <c r="CW128" s="715">
        <v>4.5</v>
      </c>
      <c r="CX128" s="715">
        <v>4.6</v>
      </c>
      <c r="CY128" s="715">
        <v>4.6</v>
      </c>
      <c r="CZ128" s="715">
        <v>4.7</v>
      </c>
      <c r="DA128" s="715">
        <v>4.9</v>
      </c>
      <c r="DB128" s="715">
        <v>5.1</v>
      </c>
      <c r="DC128" s="714">
        <v>5.3</v>
      </c>
      <c r="DD128" s="714">
        <v>5.5</v>
      </c>
      <c r="DE128" s="714">
        <v>5.6</v>
      </c>
      <c r="DF128" s="714">
        <v>5.8</v>
      </c>
      <c r="DG128" s="714">
        <v>4.7</v>
      </c>
      <c r="DH128" s="715">
        <v>4.8</v>
      </c>
      <c r="DI128" s="715">
        <v>4.8</v>
      </c>
      <c r="DJ128" s="715">
        <v>4.8</v>
      </c>
      <c r="DK128" s="715">
        <v>5</v>
      </c>
      <c r="DL128" s="715">
        <v>5.1</v>
      </c>
      <c r="DM128" s="715">
        <v>5.4</v>
      </c>
      <c r="DN128" s="714">
        <v>5.6</v>
      </c>
      <c r="DO128" s="714">
        <v>5.7</v>
      </c>
      <c r="DP128" s="714">
        <v>5.9</v>
      </c>
      <c r="DQ128" s="714">
        <v>6.1</v>
      </c>
      <c r="DR128" s="714">
        <v>5.3</v>
      </c>
      <c r="DS128" s="715">
        <v>5.3</v>
      </c>
      <c r="DT128" s="715">
        <v>5.3</v>
      </c>
      <c r="DU128" s="715">
        <v>5.4</v>
      </c>
      <c r="DV128" s="715">
        <v>5.6</v>
      </c>
      <c r="DW128" s="715">
        <v>5.8</v>
      </c>
      <c r="DX128" s="715">
        <v>6</v>
      </c>
      <c r="DY128" s="714">
        <v>6.2</v>
      </c>
      <c r="DZ128" s="714">
        <v>6.5</v>
      </c>
      <c r="EA128" s="714">
        <v>6.8</v>
      </c>
      <c r="EB128" s="714">
        <v>7</v>
      </c>
      <c r="EC128" s="714">
        <v>5.4</v>
      </c>
      <c r="ED128" s="715">
        <v>5.3</v>
      </c>
      <c r="EE128" s="715">
        <v>5.3</v>
      </c>
      <c r="EF128" s="715">
        <v>5.4</v>
      </c>
      <c r="EG128" s="715">
        <v>5.6</v>
      </c>
      <c r="EH128" s="715">
        <v>5.9</v>
      </c>
      <c r="EI128" s="715">
        <v>6.1</v>
      </c>
      <c r="EJ128" s="714">
        <v>6.3</v>
      </c>
      <c r="EK128" s="714">
        <v>6.6</v>
      </c>
      <c r="EL128" s="714">
        <v>6.9</v>
      </c>
      <c r="EM128" s="714">
        <v>7.1</v>
      </c>
      <c r="EN128" s="714">
        <v>5.9</v>
      </c>
      <c r="EO128" s="715">
        <v>5.9</v>
      </c>
      <c r="EP128" s="715">
        <v>6</v>
      </c>
      <c r="EQ128" s="715">
        <v>5.9</v>
      </c>
      <c r="ER128" s="715">
        <v>6.2</v>
      </c>
      <c r="ES128" s="715">
        <v>6.4</v>
      </c>
      <c r="ET128" s="715">
        <v>6.6</v>
      </c>
      <c r="EU128" s="714">
        <v>6.9</v>
      </c>
      <c r="EV128" s="714">
        <v>6.9</v>
      </c>
      <c r="EW128" s="714">
        <v>7.2</v>
      </c>
      <c r="EX128" s="714">
        <v>7.4</v>
      </c>
      <c r="EY128" s="714">
        <v>1.5</v>
      </c>
      <c r="EZ128" s="715">
        <v>2</v>
      </c>
      <c r="FA128" s="715">
        <v>2.3</v>
      </c>
      <c r="FB128" s="715">
        <v>2.6</v>
      </c>
      <c r="FC128" s="715">
        <v>2.9</v>
      </c>
      <c r="FD128" s="715">
        <v>3.3</v>
      </c>
      <c r="FE128" s="715">
        <v>3.6</v>
      </c>
      <c r="FF128" s="714">
        <v>3.8</v>
      </c>
      <c r="FG128" s="714">
        <v>4</v>
      </c>
      <c r="FH128" s="714">
        <v>4.2</v>
      </c>
      <c r="FI128" s="714">
        <v>4.5</v>
      </c>
      <c r="FJ128" s="723">
        <v>2.69e-6</v>
      </c>
      <c r="FK128" s="723">
        <v>1.08e-8</v>
      </c>
      <c r="FL128" s="723">
        <v>-1.22e-11</v>
      </c>
      <c r="FM128" s="723">
        <v>6.81e-7</v>
      </c>
      <c r="FN128" s="723">
        <v>9.88e-10</v>
      </c>
      <c r="FO128" s="723">
        <v>0.172</v>
      </c>
      <c r="FP128" s="729">
        <v>1</v>
      </c>
      <c r="FQ128" s="729">
        <v>1</v>
      </c>
      <c r="FR128" s="729">
        <v>1</v>
      </c>
      <c r="FS128" s="729">
        <v>3</v>
      </c>
      <c r="FT128" s="729">
        <v>1</v>
      </c>
      <c r="FU128" s="729">
        <v>1</v>
      </c>
      <c r="FV128" s="681">
        <v>1</v>
      </c>
      <c r="FW128" s="729"/>
      <c r="FX128" s="729"/>
      <c r="FY128" s="729"/>
      <c r="FZ128" s="746">
        <v>690</v>
      </c>
      <c r="GA128" s="746">
        <v>708</v>
      </c>
      <c r="GB128" s="681">
        <v>612</v>
      </c>
      <c r="GC128" s="681">
        <v>648</v>
      </c>
      <c r="GD128" s="747">
        <v>0.96</v>
      </c>
      <c r="GE128" s="729"/>
      <c r="GF128" s="681">
        <v>59</v>
      </c>
      <c r="GG128" s="681">
        <v>74</v>
      </c>
      <c r="GH128" s="681">
        <v>53</v>
      </c>
      <c r="GI128" s="681">
        <v>55</v>
      </c>
      <c r="GJ128" s="681">
        <v>57</v>
      </c>
      <c r="GK128" s="681">
        <v>58</v>
      </c>
      <c r="GL128" s="681">
        <v>59</v>
      </c>
      <c r="GM128" s="681">
        <v>60</v>
      </c>
      <c r="GN128" s="681">
        <v>60</v>
      </c>
      <c r="GO128" s="681">
        <v>61</v>
      </c>
      <c r="GP128" s="681">
        <v>61</v>
      </c>
      <c r="GQ128" s="681">
        <v>62</v>
      </c>
      <c r="GR128" s="681">
        <v>62</v>
      </c>
      <c r="GS128" s="681">
        <v>63</v>
      </c>
      <c r="GT128" s="681">
        <v>63</v>
      </c>
      <c r="GU128" s="681">
        <v>64</v>
      </c>
      <c r="GV128" s="681">
        <v>65</v>
      </c>
      <c r="GW128" s="681">
        <v>66</v>
      </c>
      <c r="GX128" s="681">
        <v>67</v>
      </c>
      <c r="GY128" s="681">
        <v>68</v>
      </c>
      <c r="GZ128" s="681">
        <v>69</v>
      </c>
      <c r="HA128" s="681">
        <v>70</v>
      </c>
      <c r="HB128" s="681">
        <v>71</v>
      </c>
      <c r="HC128" s="681"/>
      <c r="HD128" s="750">
        <v>150</v>
      </c>
      <c r="HE128" s="681"/>
      <c r="HF128" s="681">
        <v>702</v>
      </c>
      <c r="HG128" s="681">
        <v>68</v>
      </c>
      <c r="HH128" s="714">
        <v>123.6</v>
      </c>
      <c r="HI128" s="714">
        <v>47.8</v>
      </c>
      <c r="HJ128" s="753">
        <v>0.292</v>
      </c>
      <c r="HK128" s="681">
        <v>95</v>
      </c>
      <c r="HL128" s="685">
        <v>1.36</v>
      </c>
      <c r="HM128" s="747">
        <v>4.68</v>
      </c>
      <c r="HN128" s="729" t="s">
        <v>1044</v>
      </c>
      <c r="HO128" s="729" t="s">
        <v>1045</v>
      </c>
      <c r="HP128" s="714">
        <v>-1.1</v>
      </c>
      <c r="HQ128" s="753">
        <v>0.826</v>
      </c>
      <c r="HR128" s="753">
        <v>0.959</v>
      </c>
      <c r="HS128" s="753">
        <v>0.993</v>
      </c>
      <c r="HT128" s="753">
        <v>0.999</v>
      </c>
      <c r="HU128" s="753">
        <v>0.999</v>
      </c>
      <c r="HV128" s="753">
        <v>0.999</v>
      </c>
      <c r="HW128" s="753">
        <v>0.999</v>
      </c>
      <c r="HX128" s="753">
        <v>0.999</v>
      </c>
      <c r="HY128" s="753">
        <v>0.999</v>
      </c>
      <c r="HZ128" s="753">
        <v>0.999</v>
      </c>
      <c r="IA128" s="753">
        <v>0.999</v>
      </c>
      <c r="IB128" s="753">
        <v>0.999</v>
      </c>
      <c r="IC128" s="753">
        <v>0.999</v>
      </c>
      <c r="ID128" s="753">
        <v>0.999</v>
      </c>
      <c r="IE128" s="753">
        <v>0.999</v>
      </c>
      <c r="IF128" s="753">
        <v>0.999</v>
      </c>
      <c r="IG128" s="753">
        <v>0.998</v>
      </c>
      <c r="IH128" s="753">
        <v>0.998</v>
      </c>
      <c r="II128" s="753">
        <v>0.997</v>
      </c>
      <c r="IJ128" s="753">
        <v>0.996</v>
      </c>
      <c r="IK128" s="753">
        <v>0.994</v>
      </c>
      <c r="IL128" s="753">
        <v>0.994</v>
      </c>
      <c r="IM128" s="753">
        <v>0.993</v>
      </c>
      <c r="IN128" s="753">
        <v>0.988</v>
      </c>
      <c r="IO128" s="753">
        <v>0.983</v>
      </c>
      <c r="IP128" s="753">
        <v>0.975</v>
      </c>
      <c r="IQ128" s="753">
        <v>0.959</v>
      </c>
      <c r="IR128" s="753">
        <v>0.929</v>
      </c>
      <c r="IS128" s="753">
        <v>0.881</v>
      </c>
      <c r="IT128" s="753">
        <v>0.791</v>
      </c>
      <c r="IU128" s="753">
        <v>0.62</v>
      </c>
      <c r="IV128" s="753">
        <v>0.322</v>
      </c>
      <c r="IW128" s="753">
        <v>0.043</v>
      </c>
      <c r="IX128" s="753"/>
      <c r="IY128" s="753"/>
      <c r="IZ128" s="753"/>
      <c r="JA128" s="754">
        <v>0.682</v>
      </c>
      <c r="JB128" s="754">
        <v>0.92</v>
      </c>
      <c r="JC128" s="754">
        <v>0.986</v>
      </c>
      <c r="JD128" s="754">
        <v>0.998</v>
      </c>
      <c r="JE128" s="754">
        <v>0.998</v>
      </c>
      <c r="JF128" s="754">
        <v>0.998</v>
      </c>
      <c r="JG128" s="754">
        <v>0.998</v>
      </c>
      <c r="JH128" s="754">
        <v>0.998</v>
      </c>
      <c r="JI128" s="754">
        <v>0.998</v>
      </c>
      <c r="JJ128" s="754">
        <v>0.998</v>
      </c>
      <c r="JK128" s="754">
        <v>0.998</v>
      </c>
      <c r="JL128" s="754">
        <v>0.998</v>
      </c>
      <c r="JM128" s="754">
        <v>0.998</v>
      </c>
      <c r="JN128" s="754">
        <v>0.998</v>
      </c>
      <c r="JO128" s="754">
        <v>0.998</v>
      </c>
      <c r="JP128" s="754">
        <v>0.998</v>
      </c>
      <c r="JQ128" s="754">
        <v>0.997</v>
      </c>
      <c r="JR128" s="754">
        <v>0.996</v>
      </c>
      <c r="JS128" s="754">
        <v>0.995</v>
      </c>
      <c r="JT128" s="754">
        <v>0.993</v>
      </c>
      <c r="JU128" s="754">
        <v>0.989</v>
      </c>
      <c r="JV128" s="754">
        <v>0.988</v>
      </c>
      <c r="JW128" s="754">
        <v>0.986</v>
      </c>
      <c r="JX128" s="754">
        <v>0.976</v>
      </c>
      <c r="JY128" s="754">
        <v>0.973</v>
      </c>
      <c r="JZ128" s="754">
        <v>0.956</v>
      </c>
      <c r="KA128" s="754">
        <v>0.925</v>
      </c>
      <c r="KB128" s="754">
        <v>0.87</v>
      </c>
      <c r="KC128" s="754">
        <v>0.781</v>
      </c>
      <c r="KD128" s="754">
        <v>0.629</v>
      </c>
      <c r="KE128" s="754">
        <v>0.383</v>
      </c>
      <c r="KF128" s="754">
        <v>0.103</v>
      </c>
      <c r="KG128" s="754">
        <v>0.007</v>
      </c>
      <c r="KH128" s="754"/>
      <c r="KI128" s="754"/>
      <c r="KJ128" s="754"/>
      <c r="KK128" s="765" t="s">
        <v>281</v>
      </c>
      <c r="KL128" s="738">
        <v>136</v>
      </c>
      <c r="KM128" s="738">
        <v>636</v>
      </c>
      <c r="KN128" s="646" t="s">
        <v>617</v>
      </c>
      <c r="KO128" s="646" t="s">
        <v>1099</v>
      </c>
      <c r="KP128" s="680">
        <v>803468</v>
      </c>
      <c r="KQ128" s="766" t="s">
        <v>1100</v>
      </c>
      <c r="KR128" s="750" t="s">
        <v>1101</v>
      </c>
      <c r="KS128" s="769" t="s">
        <v>1102</v>
      </c>
      <c r="KT128" s="770" t="s">
        <v>1103</v>
      </c>
      <c r="KU128" s="766" t="s">
        <v>1104</v>
      </c>
      <c r="KV128" s="750">
        <v>804465</v>
      </c>
      <c r="KW128" s="771" t="s">
        <v>1105</v>
      </c>
      <c r="KX128" s="750" t="s">
        <v>1101</v>
      </c>
      <c r="KY128" s="769" t="s">
        <v>1106</v>
      </c>
      <c r="KZ128" s="770" t="s">
        <v>1107</v>
      </c>
    </row>
    <row r="129" s="628" customFormat="1" customHeight="1" spans="1:312">
      <c r="A129" s="682" t="s">
        <v>374</v>
      </c>
      <c r="B129" s="683">
        <v>125</v>
      </c>
      <c r="C129" s="689" t="s">
        <v>1108</v>
      </c>
      <c r="D129" s="680">
        <v>855366</v>
      </c>
      <c r="E129" s="685">
        <v>36.59</v>
      </c>
      <c r="F129" s="685">
        <v>36.35</v>
      </c>
      <c r="G129" s="688">
        <v>0.023381</v>
      </c>
      <c r="H129" s="686">
        <v>0.023687</v>
      </c>
      <c r="I129" s="696">
        <v>1.8054</v>
      </c>
      <c r="J129" s="696">
        <v>1.81252</v>
      </c>
      <c r="K129" s="696">
        <v>1.82064</v>
      </c>
      <c r="L129" s="696">
        <v>1.82866</v>
      </c>
      <c r="M129" s="696">
        <v>1.83025</v>
      </c>
      <c r="N129" s="696">
        <v>1.83159</v>
      </c>
      <c r="O129" s="696">
        <v>1.83706</v>
      </c>
      <c r="P129" s="696">
        <v>1.841</v>
      </c>
      <c r="Q129" s="697">
        <v>1.84474</v>
      </c>
      <c r="R129" s="697">
        <v>1.84856</v>
      </c>
      <c r="S129" s="697">
        <v>1.84964</v>
      </c>
      <c r="T129" s="701">
        <v>1.85065</v>
      </c>
      <c r="U129" s="697">
        <v>1.85524</v>
      </c>
      <c r="V129" s="697">
        <v>1.85544</v>
      </c>
      <c r="W129" s="697">
        <v>1.86099</v>
      </c>
      <c r="X129" s="697">
        <v>1.87194</v>
      </c>
      <c r="Y129" s="697">
        <v>1.87333</v>
      </c>
      <c r="Z129" s="697">
        <v>1.88549</v>
      </c>
      <c r="AA129" s="697">
        <v>1.89719</v>
      </c>
      <c r="AB129" s="697">
        <v>1.91828</v>
      </c>
      <c r="AC129" s="704">
        <v>3.33508086</v>
      </c>
      <c r="AD129" s="705">
        <v>-0.0151809916</v>
      </c>
      <c r="AE129" s="705">
        <v>0.0347880996</v>
      </c>
      <c r="AF129" s="705">
        <v>0.00157445974</v>
      </c>
      <c r="AG129" s="705">
        <v>-7.28030297e-5</v>
      </c>
      <c r="AH129" s="705">
        <v>8.73416251e-6</v>
      </c>
      <c r="AI129" s="709">
        <v>0.2943</v>
      </c>
      <c r="AJ129" s="709">
        <v>0.2374</v>
      </c>
      <c r="AK129" s="709">
        <v>0.5795</v>
      </c>
      <c r="AL129" s="709">
        <v>0.2449</v>
      </c>
      <c r="AM129" s="709">
        <v>0.2343</v>
      </c>
      <c r="AN129" s="709">
        <v>0.5134</v>
      </c>
      <c r="AO129" s="709">
        <v>-0.0017</v>
      </c>
      <c r="AP129" s="709">
        <v>-0.0033</v>
      </c>
      <c r="AQ129" s="709">
        <v>0.0084</v>
      </c>
      <c r="AR129" s="709">
        <v>0.0036</v>
      </c>
      <c r="AS129" s="714">
        <v>4.6</v>
      </c>
      <c r="AT129" s="714">
        <v>4.9</v>
      </c>
      <c r="AU129" s="714">
        <v>5.4</v>
      </c>
      <c r="AV129" s="714">
        <v>5.6</v>
      </c>
      <c r="AW129" s="714">
        <v>5.8</v>
      </c>
      <c r="AX129" s="714">
        <v>5.9</v>
      </c>
      <c r="AY129" s="714">
        <v>6.1</v>
      </c>
      <c r="AZ129" s="714">
        <v>6.4</v>
      </c>
      <c r="BA129" s="714">
        <v>6.6</v>
      </c>
      <c r="BB129" s="714">
        <v>6.8</v>
      </c>
      <c r="BC129" s="714">
        <v>6.9</v>
      </c>
      <c r="BD129" s="714">
        <v>5.2</v>
      </c>
      <c r="BE129" s="714">
        <v>5.5</v>
      </c>
      <c r="BF129" s="714">
        <v>5.9</v>
      </c>
      <c r="BG129" s="714">
        <v>6.1</v>
      </c>
      <c r="BH129" s="714">
        <v>6.4</v>
      </c>
      <c r="BI129" s="714">
        <v>6.6</v>
      </c>
      <c r="BJ129" s="714">
        <v>6.7</v>
      </c>
      <c r="BK129" s="714">
        <v>6.9</v>
      </c>
      <c r="BL129" s="714">
        <v>7.1</v>
      </c>
      <c r="BM129" s="714">
        <v>7.3</v>
      </c>
      <c r="BN129" s="714">
        <v>7.4</v>
      </c>
      <c r="BO129" s="714">
        <v>5.6</v>
      </c>
      <c r="BP129" s="714">
        <v>5.8</v>
      </c>
      <c r="BQ129" s="714">
        <v>6.2</v>
      </c>
      <c r="BR129" s="714">
        <v>6.5</v>
      </c>
      <c r="BS129" s="714">
        <v>6.8</v>
      </c>
      <c r="BT129" s="714">
        <v>7</v>
      </c>
      <c r="BU129" s="714">
        <v>7.2</v>
      </c>
      <c r="BV129" s="714">
        <v>7.3</v>
      </c>
      <c r="BW129" s="714">
        <v>7.5</v>
      </c>
      <c r="BX129" s="714">
        <v>7.7</v>
      </c>
      <c r="BY129" s="714">
        <v>7.8</v>
      </c>
      <c r="BZ129" s="714">
        <v>5.6</v>
      </c>
      <c r="CA129" s="714">
        <v>5.9</v>
      </c>
      <c r="CB129" s="714">
        <v>6.3</v>
      </c>
      <c r="CC129" s="714">
        <v>6.6</v>
      </c>
      <c r="CD129" s="714">
        <v>6.8</v>
      </c>
      <c r="CE129" s="714">
        <v>7</v>
      </c>
      <c r="CF129" s="714">
        <v>7.2</v>
      </c>
      <c r="CG129" s="714">
        <v>7.3</v>
      </c>
      <c r="CH129" s="714">
        <v>7.5</v>
      </c>
      <c r="CI129" s="714">
        <v>7.7</v>
      </c>
      <c r="CJ129" s="714">
        <v>7.9</v>
      </c>
      <c r="CK129" s="714">
        <v>5.7</v>
      </c>
      <c r="CL129" s="715">
        <v>5.9</v>
      </c>
      <c r="CM129" s="715">
        <v>6.4</v>
      </c>
      <c r="CN129" s="715">
        <v>6.7</v>
      </c>
      <c r="CO129" s="715">
        <v>6.9</v>
      </c>
      <c r="CP129" s="715">
        <v>7.1</v>
      </c>
      <c r="CQ129" s="715">
        <v>7.3</v>
      </c>
      <c r="CR129" s="714">
        <v>7.4</v>
      </c>
      <c r="CS129" s="714">
        <v>7.6</v>
      </c>
      <c r="CT129" s="714">
        <v>7.8</v>
      </c>
      <c r="CU129" s="714">
        <v>8</v>
      </c>
      <c r="CV129" s="714">
        <v>5.9</v>
      </c>
      <c r="CW129" s="715">
        <v>6.3</v>
      </c>
      <c r="CX129" s="715">
        <v>6.6</v>
      </c>
      <c r="CY129" s="715">
        <v>7</v>
      </c>
      <c r="CZ129" s="715">
        <v>7.3</v>
      </c>
      <c r="DA129" s="715">
        <v>7.5</v>
      </c>
      <c r="DB129" s="715">
        <v>7.6</v>
      </c>
      <c r="DC129" s="714">
        <v>7.9</v>
      </c>
      <c r="DD129" s="714">
        <v>8.1</v>
      </c>
      <c r="DE129" s="714">
        <v>8.3</v>
      </c>
      <c r="DF129" s="714">
        <v>8.5</v>
      </c>
      <c r="DG129" s="714">
        <v>6.4</v>
      </c>
      <c r="DH129" s="715">
        <v>6.7</v>
      </c>
      <c r="DI129" s="715">
        <v>7.1</v>
      </c>
      <c r="DJ129" s="715">
        <v>7.4</v>
      </c>
      <c r="DK129" s="715">
        <v>7.7</v>
      </c>
      <c r="DL129" s="715">
        <v>7.8</v>
      </c>
      <c r="DM129" s="715">
        <v>8.2</v>
      </c>
      <c r="DN129" s="714">
        <v>8.4</v>
      </c>
      <c r="DO129" s="714">
        <v>8.6</v>
      </c>
      <c r="DP129" s="714">
        <v>8.8</v>
      </c>
      <c r="DQ129" s="714">
        <v>9</v>
      </c>
      <c r="DR129" s="714">
        <v>7.1</v>
      </c>
      <c r="DS129" s="715">
        <v>7.6</v>
      </c>
      <c r="DT129" s="715">
        <v>8</v>
      </c>
      <c r="DU129" s="715">
        <v>8.4</v>
      </c>
      <c r="DV129" s="715">
        <v>8.6</v>
      </c>
      <c r="DW129" s="715">
        <v>8.9</v>
      </c>
      <c r="DX129" s="715">
        <v>9.3</v>
      </c>
      <c r="DY129" s="714">
        <v>9.5</v>
      </c>
      <c r="DZ129" s="714">
        <v>9.7</v>
      </c>
      <c r="EA129" s="714">
        <v>9.9</v>
      </c>
      <c r="EB129" s="714">
        <v>10.1</v>
      </c>
      <c r="EC129" s="714">
        <v>7.1</v>
      </c>
      <c r="ED129" s="715">
        <v>7.6</v>
      </c>
      <c r="EE129" s="715">
        <v>8</v>
      </c>
      <c r="EF129" s="715">
        <v>8.4</v>
      </c>
      <c r="EG129" s="715">
        <v>8.6</v>
      </c>
      <c r="EH129" s="715">
        <v>8.9</v>
      </c>
      <c r="EI129" s="715">
        <v>9.3</v>
      </c>
      <c r="EJ129" s="714">
        <v>9.5</v>
      </c>
      <c r="EK129" s="714">
        <v>9.7</v>
      </c>
      <c r="EL129" s="714">
        <v>9.9</v>
      </c>
      <c r="EM129" s="714">
        <v>10.1</v>
      </c>
      <c r="EN129" s="714">
        <v>7.9</v>
      </c>
      <c r="EO129" s="715">
        <v>8.5</v>
      </c>
      <c r="EP129" s="715">
        <v>9.1</v>
      </c>
      <c r="EQ129" s="715">
        <v>9.5</v>
      </c>
      <c r="ER129" s="715">
        <v>9.9</v>
      </c>
      <c r="ES129" s="715">
        <v>10.1</v>
      </c>
      <c r="ET129" s="715">
        <v>10.4</v>
      </c>
      <c r="EU129" s="714">
        <v>10.7</v>
      </c>
      <c r="EV129" s="714">
        <v>10.9</v>
      </c>
      <c r="EW129" s="714">
        <v>11.2</v>
      </c>
      <c r="EX129" s="714">
        <v>11.4</v>
      </c>
      <c r="EY129" s="714">
        <v>2.7</v>
      </c>
      <c r="EZ129" s="715">
        <v>3.4</v>
      </c>
      <c r="FA129" s="715">
        <v>4.3</v>
      </c>
      <c r="FB129" s="715">
        <v>4.9</v>
      </c>
      <c r="FC129" s="715">
        <v>5.3</v>
      </c>
      <c r="FD129" s="715">
        <v>5.7</v>
      </c>
      <c r="FE129" s="715">
        <v>6</v>
      </c>
      <c r="FF129" s="714">
        <v>6.3</v>
      </c>
      <c r="FG129" s="714">
        <v>6.6</v>
      </c>
      <c r="FH129" s="714">
        <v>6.9</v>
      </c>
      <c r="FI129" s="714">
        <v>7.2</v>
      </c>
      <c r="FJ129" s="723">
        <v>5.56e-6</v>
      </c>
      <c r="FK129" s="723">
        <v>1.86e-8</v>
      </c>
      <c r="FL129" s="723">
        <v>-3.98e-11</v>
      </c>
      <c r="FM129" s="723">
        <v>7.03e-7</v>
      </c>
      <c r="FN129" s="723">
        <v>5.83e-10</v>
      </c>
      <c r="FO129" s="723">
        <v>0.268</v>
      </c>
      <c r="FP129" s="729">
        <v>1</v>
      </c>
      <c r="FQ129" s="729">
        <v>3</v>
      </c>
      <c r="FR129" s="729">
        <v>1</v>
      </c>
      <c r="FS129" s="729">
        <v>3</v>
      </c>
      <c r="FT129" s="729">
        <v>1</v>
      </c>
      <c r="FU129" s="729">
        <v>1</v>
      </c>
      <c r="FV129" s="681">
        <v>1</v>
      </c>
      <c r="FW129" s="729"/>
      <c r="FX129" s="729"/>
      <c r="FY129" s="729"/>
      <c r="FZ129" s="746">
        <v>625</v>
      </c>
      <c r="GA129" s="746">
        <v>653</v>
      </c>
      <c r="GB129" s="681">
        <v>557</v>
      </c>
      <c r="GC129" s="681">
        <v>591</v>
      </c>
      <c r="GD129" s="747">
        <v>0.98</v>
      </c>
      <c r="GE129" s="729"/>
      <c r="GF129" s="681">
        <v>60</v>
      </c>
      <c r="GG129" s="681">
        <v>75</v>
      </c>
      <c r="GH129" s="681">
        <v>53</v>
      </c>
      <c r="GI129" s="681">
        <v>56</v>
      </c>
      <c r="GJ129" s="681">
        <v>57</v>
      </c>
      <c r="GK129" s="681">
        <v>58</v>
      </c>
      <c r="GL129" s="681">
        <v>59</v>
      </c>
      <c r="GM129" s="681">
        <v>60</v>
      </c>
      <c r="GN129" s="681">
        <v>61</v>
      </c>
      <c r="GO129" s="681">
        <v>61</v>
      </c>
      <c r="GP129" s="681">
        <v>62</v>
      </c>
      <c r="GQ129" s="681">
        <v>62</v>
      </c>
      <c r="GR129" s="681">
        <v>63</v>
      </c>
      <c r="GS129" s="681">
        <v>63</v>
      </c>
      <c r="GT129" s="681">
        <v>64</v>
      </c>
      <c r="GU129" s="681">
        <v>65</v>
      </c>
      <c r="GV129" s="681">
        <v>66</v>
      </c>
      <c r="GW129" s="681">
        <v>67</v>
      </c>
      <c r="GX129" s="681">
        <v>68</v>
      </c>
      <c r="GY129" s="681">
        <v>69</v>
      </c>
      <c r="GZ129" s="681">
        <v>70</v>
      </c>
      <c r="HA129" s="681">
        <v>71</v>
      </c>
      <c r="HB129" s="681">
        <v>72</v>
      </c>
      <c r="HC129" s="681"/>
      <c r="HD129" s="750">
        <v>165</v>
      </c>
      <c r="HE129" s="681"/>
      <c r="HF129" s="681">
        <v>622</v>
      </c>
      <c r="HG129" s="681">
        <v>77</v>
      </c>
      <c r="HH129" s="714">
        <v>114.3</v>
      </c>
      <c r="HI129" s="714">
        <v>43.7</v>
      </c>
      <c r="HJ129" s="753">
        <v>0.308</v>
      </c>
      <c r="HK129" s="681">
        <v>58</v>
      </c>
      <c r="HL129" s="685">
        <v>1.9</v>
      </c>
      <c r="HM129" s="747">
        <v>4.59</v>
      </c>
      <c r="HN129" s="729" t="s">
        <v>1109</v>
      </c>
      <c r="HO129" s="729" t="s">
        <v>1110</v>
      </c>
      <c r="HP129" s="714">
        <v>-0.4</v>
      </c>
      <c r="HQ129" s="753">
        <v>0.885</v>
      </c>
      <c r="HR129" s="753">
        <v>0.97</v>
      </c>
      <c r="HS129" s="753">
        <v>0.991</v>
      </c>
      <c r="HT129" s="753">
        <v>0.998</v>
      </c>
      <c r="HU129" s="753">
        <v>0.998</v>
      </c>
      <c r="HV129" s="753">
        <v>0.998</v>
      </c>
      <c r="HW129" s="753">
        <v>0.998</v>
      </c>
      <c r="HX129" s="753">
        <v>0.998</v>
      </c>
      <c r="HY129" s="753">
        <v>0.998</v>
      </c>
      <c r="HZ129" s="753">
        <v>0.998</v>
      </c>
      <c r="IA129" s="753">
        <v>0.998</v>
      </c>
      <c r="IB129" s="753">
        <v>0.998</v>
      </c>
      <c r="IC129" s="753">
        <v>0.998</v>
      </c>
      <c r="ID129" s="753">
        <v>0.998</v>
      </c>
      <c r="IE129" s="753">
        <v>0.998</v>
      </c>
      <c r="IF129" s="753">
        <v>0.998</v>
      </c>
      <c r="IG129" s="753">
        <v>0.998</v>
      </c>
      <c r="IH129" s="753">
        <v>0.998</v>
      </c>
      <c r="II129" s="753">
        <v>0.998</v>
      </c>
      <c r="IJ129" s="753">
        <v>0.994</v>
      </c>
      <c r="IK129" s="753">
        <v>0.988</v>
      </c>
      <c r="IL129" s="753">
        <v>0.982</v>
      </c>
      <c r="IM129" s="753">
        <v>0.975</v>
      </c>
      <c r="IN129" s="753">
        <v>0.959</v>
      </c>
      <c r="IO129" s="753">
        <v>0.94</v>
      </c>
      <c r="IP129" s="753">
        <v>0.904</v>
      </c>
      <c r="IQ129" s="753">
        <v>0.832</v>
      </c>
      <c r="IR129" s="753">
        <v>0.68</v>
      </c>
      <c r="IS129" s="753">
        <v>0.376</v>
      </c>
      <c r="IT129" s="753"/>
      <c r="IU129" s="753"/>
      <c r="IV129" s="753"/>
      <c r="IW129" s="753"/>
      <c r="IX129" s="753"/>
      <c r="IY129" s="753"/>
      <c r="IZ129" s="753"/>
      <c r="JA129" s="754">
        <v>0.782</v>
      </c>
      <c r="JB129" s="754">
        <v>0.94</v>
      </c>
      <c r="JC129" s="754">
        <v>0.981</v>
      </c>
      <c r="JD129" s="754">
        <v>0.996</v>
      </c>
      <c r="JE129" s="754">
        <v>0.996</v>
      </c>
      <c r="JF129" s="754">
        <v>0.996</v>
      </c>
      <c r="JG129" s="754">
        <v>0.996</v>
      </c>
      <c r="JH129" s="754">
        <v>0.996</v>
      </c>
      <c r="JI129" s="754">
        <v>0.996</v>
      </c>
      <c r="JJ129" s="754">
        <v>0.996</v>
      </c>
      <c r="JK129" s="754">
        <v>0.996</v>
      </c>
      <c r="JL129" s="754">
        <v>0.996</v>
      </c>
      <c r="JM129" s="754">
        <v>0.996</v>
      </c>
      <c r="JN129" s="754">
        <v>0.996</v>
      </c>
      <c r="JO129" s="754">
        <v>0.996</v>
      </c>
      <c r="JP129" s="754">
        <v>0.996</v>
      </c>
      <c r="JQ129" s="754">
        <v>0.996</v>
      </c>
      <c r="JR129" s="754">
        <v>0.996</v>
      </c>
      <c r="JS129" s="754">
        <v>0.996</v>
      </c>
      <c r="JT129" s="754">
        <v>0.989</v>
      </c>
      <c r="JU129" s="754">
        <v>0.976</v>
      </c>
      <c r="JV129" s="754">
        <v>0.964</v>
      </c>
      <c r="JW129" s="754">
        <v>0.948</v>
      </c>
      <c r="JX129" s="754">
        <v>0.911</v>
      </c>
      <c r="JY129" s="754">
        <v>0.871</v>
      </c>
      <c r="JZ129" s="754">
        <v>0.803</v>
      </c>
      <c r="KA129" s="754">
        <v>0.68</v>
      </c>
      <c r="KB129" s="754">
        <v>0.449</v>
      </c>
      <c r="KC129" s="754">
        <v>0.136</v>
      </c>
      <c r="KD129" s="754"/>
      <c r="KE129" s="754"/>
      <c r="KF129" s="754"/>
      <c r="KG129" s="754"/>
      <c r="KH129" s="754"/>
      <c r="KI129" s="754"/>
      <c r="KJ129" s="754"/>
      <c r="KK129" s="765" t="s">
        <v>281</v>
      </c>
      <c r="KL129" s="738">
        <v>105</v>
      </c>
      <c r="KM129" s="738">
        <v>482</v>
      </c>
      <c r="KN129" s="646" t="s">
        <v>617</v>
      </c>
      <c r="KO129" s="646" t="s">
        <v>1108</v>
      </c>
      <c r="KP129" s="680">
        <v>855366</v>
      </c>
      <c r="KQ129" s="766"/>
      <c r="KR129" s="750"/>
      <c r="KS129" s="769" t="s">
        <v>1108</v>
      </c>
      <c r="KT129" s="770" t="s">
        <v>1111</v>
      </c>
      <c r="KU129" s="766"/>
      <c r="KV129" s="750"/>
      <c r="KW129" s="771"/>
      <c r="KX129" s="750"/>
      <c r="KY129" s="769"/>
      <c r="KZ129" s="770"/>
    </row>
    <row r="130" s="628" customFormat="1" customHeight="1" spans="1:312">
      <c r="A130" s="682" t="s">
        <v>374</v>
      </c>
      <c r="B130" s="683">
        <v>126</v>
      </c>
      <c r="C130" s="689" t="s">
        <v>1112</v>
      </c>
      <c r="D130" s="680">
        <v>804466</v>
      </c>
      <c r="E130" s="685">
        <v>46.58</v>
      </c>
      <c r="F130" s="685">
        <v>46.33</v>
      </c>
      <c r="G130" s="688">
        <v>0.017262</v>
      </c>
      <c r="H130" s="686">
        <v>0.017443</v>
      </c>
      <c r="I130" s="696">
        <v>1.76102</v>
      </c>
      <c r="J130" s="696">
        <v>1.76802</v>
      </c>
      <c r="K130" s="696">
        <v>1.77579</v>
      </c>
      <c r="L130" s="696">
        <v>1.78299</v>
      </c>
      <c r="M130" s="696">
        <v>1.78434</v>
      </c>
      <c r="N130" s="696">
        <v>1.78546</v>
      </c>
      <c r="O130" s="696">
        <v>1.7899</v>
      </c>
      <c r="P130" s="696">
        <v>1.79302</v>
      </c>
      <c r="Q130" s="697">
        <v>1.7959</v>
      </c>
      <c r="R130" s="697">
        <v>1.79882</v>
      </c>
      <c r="S130" s="697">
        <v>1.79964</v>
      </c>
      <c r="T130" s="701">
        <v>1.80041</v>
      </c>
      <c r="U130" s="697">
        <v>1.80385</v>
      </c>
      <c r="V130" s="697">
        <v>1.804</v>
      </c>
      <c r="W130" s="697">
        <v>1.80811</v>
      </c>
      <c r="X130" s="697">
        <v>1.81608</v>
      </c>
      <c r="Y130" s="697">
        <v>1.81708</v>
      </c>
      <c r="Z130" s="697">
        <v>1.82569</v>
      </c>
      <c r="AA130" s="697">
        <v>1.83377</v>
      </c>
      <c r="AB130" s="697">
        <v>1.84783</v>
      </c>
      <c r="AC130" s="704">
        <v>3.177046</v>
      </c>
      <c r="AD130" s="705">
        <v>-0.0149215351</v>
      </c>
      <c r="AE130" s="705">
        <v>0.025981669</v>
      </c>
      <c r="AF130" s="705">
        <v>0.00102205007</v>
      </c>
      <c r="AG130" s="705">
        <v>-6.86208852e-5</v>
      </c>
      <c r="AH130" s="705">
        <v>4.99362397e-6</v>
      </c>
      <c r="AI130" s="709">
        <v>0.3001</v>
      </c>
      <c r="AJ130" s="709">
        <v>0.2381</v>
      </c>
      <c r="AK130" s="709">
        <v>0.5567</v>
      </c>
      <c r="AL130" s="709">
        <v>0.25</v>
      </c>
      <c r="AM130" s="709">
        <v>0.2356</v>
      </c>
      <c r="AN130" s="709">
        <v>0.4936</v>
      </c>
      <c r="AO130" s="709">
        <v>-0.0028</v>
      </c>
      <c r="AP130" s="709">
        <v>-0.0095</v>
      </c>
      <c r="AQ130" s="709">
        <v>0.0081</v>
      </c>
      <c r="AR130" s="709">
        <v>0.0045</v>
      </c>
      <c r="AS130" s="714">
        <v>3.7</v>
      </c>
      <c r="AT130" s="714">
        <v>3.7</v>
      </c>
      <c r="AU130" s="714">
        <v>3.8</v>
      </c>
      <c r="AV130" s="714">
        <v>3.8</v>
      </c>
      <c r="AW130" s="714">
        <v>3.8</v>
      </c>
      <c r="AX130" s="714">
        <v>3.8</v>
      </c>
      <c r="AY130" s="714">
        <v>3.9</v>
      </c>
      <c r="AZ130" s="714">
        <v>3.9</v>
      </c>
      <c r="BA130" s="714">
        <v>3.9</v>
      </c>
      <c r="BB130" s="714">
        <v>4</v>
      </c>
      <c r="BC130" s="714">
        <v>4.1</v>
      </c>
      <c r="BD130" s="714">
        <v>4.1</v>
      </c>
      <c r="BE130" s="714">
        <v>4.1</v>
      </c>
      <c r="BF130" s="714">
        <v>4.1</v>
      </c>
      <c r="BG130" s="714">
        <v>4.1</v>
      </c>
      <c r="BH130" s="714">
        <v>4.1</v>
      </c>
      <c r="BI130" s="714">
        <v>4.2</v>
      </c>
      <c r="BJ130" s="714">
        <v>4.3</v>
      </c>
      <c r="BK130" s="714">
        <v>4.4</v>
      </c>
      <c r="BL130" s="714">
        <v>4.5</v>
      </c>
      <c r="BM130" s="714">
        <v>4.7</v>
      </c>
      <c r="BN130" s="714">
        <v>4.7</v>
      </c>
      <c r="BO130" s="714">
        <v>4.3</v>
      </c>
      <c r="BP130" s="714">
        <v>4.3</v>
      </c>
      <c r="BQ130" s="714">
        <v>4.3</v>
      </c>
      <c r="BR130" s="714">
        <v>4.3</v>
      </c>
      <c r="BS130" s="714">
        <v>4.4</v>
      </c>
      <c r="BT130" s="714">
        <v>4.5</v>
      </c>
      <c r="BU130" s="714">
        <v>4.6</v>
      </c>
      <c r="BV130" s="714">
        <v>4.7</v>
      </c>
      <c r="BW130" s="714">
        <v>4.8</v>
      </c>
      <c r="BX130" s="714">
        <v>4.8</v>
      </c>
      <c r="BY130" s="714">
        <v>4.9</v>
      </c>
      <c r="BZ130" s="714">
        <v>4.3</v>
      </c>
      <c r="CA130" s="714">
        <v>4.4</v>
      </c>
      <c r="CB130" s="714">
        <v>4.4</v>
      </c>
      <c r="CC130" s="714">
        <v>4.4</v>
      </c>
      <c r="CD130" s="714">
        <v>4.4</v>
      </c>
      <c r="CE130" s="714">
        <v>4.5</v>
      </c>
      <c r="CF130" s="714">
        <v>4.7</v>
      </c>
      <c r="CG130" s="714">
        <v>4.7</v>
      </c>
      <c r="CH130" s="714">
        <v>4.8</v>
      </c>
      <c r="CI130" s="714">
        <v>4.9</v>
      </c>
      <c r="CJ130" s="714">
        <v>4.9</v>
      </c>
      <c r="CK130" s="714">
        <v>4.4</v>
      </c>
      <c r="CL130" s="715">
        <v>4.5</v>
      </c>
      <c r="CM130" s="715">
        <v>4.5</v>
      </c>
      <c r="CN130" s="715">
        <v>4.5</v>
      </c>
      <c r="CO130" s="715">
        <v>4.6</v>
      </c>
      <c r="CP130" s="715">
        <v>4.7</v>
      </c>
      <c r="CQ130" s="715">
        <v>4.8</v>
      </c>
      <c r="CR130" s="714">
        <v>4.9</v>
      </c>
      <c r="CS130" s="714">
        <v>4.9</v>
      </c>
      <c r="CT130" s="714">
        <v>5</v>
      </c>
      <c r="CU130" s="714">
        <v>5</v>
      </c>
      <c r="CV130" s="714">
        <v>4.6</v>
      </c>
      <c r="CW130" s="715">
        <v>4.6</v>
      </c>
      <c r="CX130" s="715">
        <v>4.6</v>
      </c>
      <c r="CY130" s="715">
        <v>4.6</v>
      </c>
      <c r="CZ130" s="715">
        <v>4.7</v>
      </c>
      <c r="DA130" s="715">
        <v>4.7</v>
      </c>
      <c r="DB130" s="715">
        <v>4.9</v>
      </c>
      <c r="DC130" s="714">
        <v>5</v>
      </c>
      <c r="DD130" s="714">
        <v>5.1</v>
      </c>
      <c r="DE130" s="714">
        <v>5.2</v>
      </c>
      <c r="DF130" s="714">
        <v>5.3</v>
      </c>
      <c r="DG130" s="714">
        <v>4.9</v>
      </c>
      <c r="DH130" s="715">
        <v>4.9</v>
      </c>
      <c r="DI130" s="715">
        <v>4.9</v>
      </c>
      <c r="DJ130" s="715">
        <v>4.9</v>
      </c>
      <c r="DK130" s="715">
        <v>4.9</v>
      </c>
      <c r="DL130" s="715">
        <v>5</v>
      </c>
      <c r="DM130" s="715">
        <v>5.2</v>
      </c>
      <c r="DN130" s="714">
        <v>5.3</v>
      </c>
      <c r="DO130" s="714">
        <v>5.5</v>
      </c>
      <c r="DP130" s="714">
        <v>5.6</v>
      </c>
      <c r="DQ130" s="714">
        <v>5.7</v>
      </c>
      <c r="DR130" s="714">
        <v>5.5</v>
      </c>
      <c r="DS130" s="715">
        <v>5.5</v>
      </c>
      <c r="DT130" s="715">
        <v>5.6</v>
      </c>
      <c r="DU130" s="715">
        <v>5.6</v>
      </c>
      <c r="DV130" s="715">
        <v>5.6</v>
      </c>
      <c r="DW130" s="715">
        <v>5.7</v>
      </c>
      <c r="DX130" s="715">
        <v>5.7</v>
      </c>
      <c r="DY130" s="714">
        <v>5.8</v>
      </c>
      <c r="DZ130" s="714">
        <v>6</v>
      </c>
      <c r="EA130" s="714">
        <v>6.1</v>
      </c>
      <c r="EB130" s="714">
        <v>6.2</v>
      </c>
      <c r="EC130" s="714">
        <v>5.5</v>
      </c>
      <c r="ED130" s="715">
        <v>5.6</v>
      </c>
      <c r="EE130" s="715">
        <v>5.6</v>
      </c>
      <c r="EF130" s="715">
        <v>5.6</v>
      </c>
      <c r="EG130" s="715">
        <v>5.7</v>
      </c>
      <c r="EH130" s="715">
        <v>5.7</v>
      </c>
      <c r="EI130" s="715">
        <v>5.8</v>
      </c>
      <c r="EJ130" s="714">
        <v>6</v>
      </c>
      <c r="EK130" s="714">
        <v>6.2</v>
      </c>
      <c r="EL130" s="714">
        <v>6.2</v>
      </c>
      <c r="EM130" s="714">
        <v>6.3</v>
      </c>
      <c r="EN130" s="714">
        <v>6</v>
      </c>
      <c r="EO130" s="715">
        <v>6</v>
      </c>
      <c r="EP130" s="715">
        <v>6.1</v>
      </c>
      <c r="EQ130" s="715">
        <v>6.1</v>
      </c>
      <c r="ER130" s="715">
        <v>6.1</v>
      </c>
      <c r="ES130" s="715">
        <v>6.3</v>
      </c>
      <c r="ET130" s="715">
        <v>6.5</v>
      </c>
      <c r="EU130" s="714">
        <v>6.7</v>
      </c>
      <c r="EV130" s="714">
        <v>6.8</v>
      </c>
      <c r="EW130" s="714">
        <v>6.8</v>
      </c>
      <c r="EX130" s="714">
        <v>7</v>
      </c>
      <c r="EY130" s="714">
        <v>1.5</v>
      </c>
      <c r="EZ130" s="715">
        <v>2.1</v>
      </c>
      <c r="FA130" s="715">
        <v>2.4</v>
      </c>
      <c r="FB130" s="715">
        <v>2.7</v>
      </c>
      <c r="FC130" s="715">
        <v>3</v>
      </c>
      <c r="FD130" s="715">
        <v>3.3</v>
      </c>
      <c r="FE130" s="715">
        <v>3.6</v>
      </c>
      <c r="FF130" s="714">
        <v>3.8</v>
      </c>
      <c r="FG130" s="714">
        <v>3.9</v>
      </c>
      <c r="FH130" s="714">
        <v>4.1</v>
      </c>
      <c r="FI130" s="714">
        <v>4.2</v>
      </c>
      <c r="FJ130" s="723">
        <v>2.88e-6</v>
      </c>
      <c r="FK130" s="723">
        <v>1.1e-8</v>
      </c>
      <c r="FL130" s="723">
        <v>-1.72e-11</v>
      </c>
      <c r="FM130" s="723">
        <v>5.9e-7</v>
      </c>
      <c r="FN130" s="723">
        <v>3.72e-10</v>
      </c>
      <c r="FO130" s="723">
        <v>0.217</v>
      </c>
      <c r="FP130" s="729">
        <v>1</v>
      </c>
      <c r="FQ130" s="729">
        <v>2</v>
      </c>
      <c r="FR130" s="729">
        <v>1</v>
      </c>
      <c r="FS130" s="729">
        <v>3</v>
      </c>
      <c r="FT130" s="729">
        <v>1</v>
      </c>
      <c r="FU130" s="729">
        <v>1</v>
      </c>
      <c r="FV130" s="681">
        <v>1</v>
      </c>
      <c r="FW130" s="729"/>
      <c r="FX130" s="729"/>
      <c r="FY130" s="729"/>
      <c r="FZ130" s="746">
        <v>688</v>
      </c>
      <c r="GA130" s="746">
        <v>713</v>
      </c>
      <c r="GB130" s="681">
        <v>619</v>
      </c>
      <c r="GC130" s="681">
        <v>663</v>
      </c>
      <c r="GD130" s="747">
        <v>1</v>
      </c>
      <c r="GE130" s="729"/>
      <c r="GF130" s="681">
        <v>61</v>
      </c>
      <c r="GG130" s="681">
        <v>76</v>
      </c>
      <c r="GH130" s="681">
        <v>54</v>
      </c>
      <c r="GI130" s="681">
        <v>57</v>
      </c>
      <c r="GJ130" s="681">
        <v>58</v>
      </c>
      <c r="GK130" s="681">
        <v>59</v>
      </c>
      <c r="GL130" s="681">
        <v>60</v>
      </c>
      <c r="GM130" s="681">
        <v>61</v>
      </c>
      <c r="GN130" s="681">
        <v>62</v>
      </c>
      <c r="GO130" s="681">
        <v>63</v>
      </c>
      <c r="GP130" s="681">
        <v>63</v>
      </c>
      <c r="GQ130" s="681">
        <v>64</v>
      </c>
      <c r="GR130" s="681">
        <v>64</v>
      </c>
      <c r="GS130" s="681">
        <v>64</v>
      </c>
      <c r="GT130" s="681">
        <v>65</v>
      </c>
      <c r="GU130" s="681">
        <v>66</v>
      </c>
      <c r="GV130" s="681">
        <v>67</v>
      </c>
      <c r="GW130" s="681">
        <v>68</v>
      </c>
      <c r="GX130" s="681">
        <v>69</v>
      </c>
      <c r="GY130" s="681">
        <v>70</v>
      </c>
      <c r="GZ130" s="681">
        <v>71</v>
      </c>
      <c r="HA130" s="681">
        <v>72</v>
      </c>
      <c r="HB130" s="681">
        <v>73</v>
      </c>
      <c r="HC130" s="681"/>
      <c r="HD130" s="750">
        <v>150</v>
      </c>
      <c r="HE130" s="681"/>
      <c r="HF130" s="681">
        <v>712</v>
      </c>
      <c r="HG130" s="681">
        <v>65</v>
      </c>
      <c r="HH130" s="714">
        <v>123.2</v>
      </c>
      <c r="HI130" s="714">
        <v>46.2</v>
      </c>
      <c r="HJ130" s="753">
        <v>0.334</v>
      </c>
      <c r="HK130" s="681">
        <v>110</v>
      </c>
      <c r="HL130" s="685">
        <v>1.27</v>
      </c>
      <c r="HM130" s="747">
        <v>4.47</v>
      </c>
      <c r="HN130" s="729" t="s">
        <v>1022</v>
      </c>
      <c r="HO130" s="729" t="s">
        <v>1113</v>
      </c>
      <c r="HP130" s="714">
        <v>-0.6</v>
      </c>
      <c r="HQ130" s="753">
        <v>0.834</v>
      </c>
      <c r="HR130" s="753">
        <v>0.956</v>
      </c>
      <c r="HS130" s="753">
        <v>0.99</v>
      </c>
      <c r="HT130" s="753">
        <v>0.995</v>
      </c>
      <c r="HU130" s="753">
        <v>0.999</v>
      </c>
      <c r="HV130" s="753">
        <v>0.999</v>
      </c>
      <c r="HW130" s="753">
        <v>0.999</v>
      </c>
      <c r="HX130" s="753">
        <v>0.999</v>
      </c>
      <c r="HY130" s="753">
        <v>0.999</v>
      </c>
      <c r="HZ130" s="753">
        <v>0.999</v>
      </c>
      <c r="IA130" s="753">
        <v>0.999</v>
      </c>
      <c r="IB130" s="753">
        <v>0.999</v>
      </c>
      <c r="IC130" s="753">
        <v>0.999</v>
      </c>
      <c r="ID130" s="753">
        <v>0.999</v>
      </c>
      <c r="IE130" s="753">
        <v>0.999</v>
      </c>
      <c r="IF130" s="753">
        <v>0.999</v>
      </c>
      <c r="IG130" s="753">
        <v>0.999</v>
      </c>
      <c r="IH130" s="753">
        <v>0.999</v>
      </c>
      <c r="II130" s="753">
        <v>0.998</v>
      </c>
      <c r="IJ130" s="753">
        <v>0.996</v>
      </c>
      <c r="IK130" s="753">
        <v>0.995</v>
      </c>
      <c r="IL130" s="753">
        <v>0.993</v>
      </c>
      <c r="IM130" s="753">
        <v>0.99</v>
      </c>
      <c r="IN130" s="753">
        <v>0.987</v>
      </c>
      <c r="IO130" s="753">
        <v>0.983</v>
      </c>
      <c r="IP130" s="753">
        <v>0.974</v>
      </c>
      <c r="IQ130" s="753">
        <v>0.961</v>
      </c>
      <c r="IR130" s="753">
        <v>0.931</v>
      </c>
      <c r="IS130" s="753">
        <v>0.891</v>
      </c>
      <c r="IT130" s="753">
        <v>0.818</v>
      </c>
      <c r="IU130" s="753">
        <v>0.69</v>
      </c>
      <c r="IV130" s="753">
        <v>0.46</v>
      </c>
      <c r="IW130" s="753">
        <v>0.136</v>
      </c>
      <c r="IX130" s="753"/>
      <c r="IY130" s="753"/>
      <c r="IZ130" s="753"/>
      <c r="JA130" s="754">
        <v>0.705</v>
      </c>
      <c r="JB130" s="754">
        <v>0.916</v>
      </c>
      <c r="JC130" s="754">
        <v>0.978</v>
      </c>
      <c r="JD130" s="754">
        <v>0.99</v>
      </c>
      <c r="JE130" s="754">
        <v>0.998</v>
      </c>
      <c r="JF130" s="754">
        <v>0.998</v>
      </c>
      <c r="JG130" s="754">
        <v>0.998</v>
      </c>
      <c r="JH130" s="754">
        <v>0.998</v>
      </c>
      <c r="JI130" s="754">
        <v>0.998</v>
      </c>
      <c r="JJ130" s="754">
        <v>0.998</v>
      </c>
      <c r="JK130" s="754">
        <v>0.998</v>
      </c>
      <c r="JL130" s="754">
        <v>0.998</v>
      </c>
      <c r="JM130" s="754">
        <v>0.998</v>
      </c>
      <c r="JN130" s="754">
        <v>0.998</v>
      </c>
      <c r="JO130" s="754">
        <v>0.998</v>
      </c>
      <c r="JP130" s="754">
        <v>0.998</v>
      </c>
      <c r="JQ130" s="754">
        <v>0.998</v>
      </c>
      <c r="JR130" s="754">
        <v>0.998</v>
      </c>
      <c r="JS130" s="754">
        <v>0.995</v>
      </c>
      <c r="JT130" s="754">
        <v>0.993</v>
      </c>
      <c r="JU130" s="754">
        <v>0.991</v>
      </c>
      <c r="JV130" s="754">
        <v>0.986</v>
      </c>
      <c r="JW130" s="754">
        <v>0.981</v>
      </c>
      <c r="JX130" s="754">
        <v>0.973</v>
      </c>
      <c r="JY130" s="754">
        <v>0.963</v>
      </c>
      <c r="JZ130" s="754">
        <v>0.948</v>
      </c>
      <c r="KA130" s="754">
        <v>0.918</v>
      </c>
      <c r="KB130" s="754">
        <v>0.869</v>
      </c>
      <c r="KC130" s="754">
        <v>0.795</v>
      </c>
      <c r="KD130" s="754">
        <v>0.676</v>
      </c>
      <c r="KE130" s="754">
        <v>0.489</v>
      </c>
      <c r="KF130" s="754">
        <v>0.223</v>
      </c>
      <c r="KG130" s="754">
        <v>0.022</v>
      </c>
      <c r="KH130" s="754"/>
      <c r="KI130" s="754"/>
      <c r="KJ130" s="754"/>
      <c r="KK130" s="765" t="s">
        <v>281</v>
      </c>
      <c r="KL130" s="738">
        <v>50</v>
      </c>
      <c r="KM130" s="738">
        <v>224</v>
      </c>
      <c r="KN130" s="646" t="s">
        <v>339</v>
      </c>
      <c r="KO130" s="646" t="s">
        <v>1112</v>
      </c>
      <c r="KP130" s="680">
        <v>804466</v>
      </c>
      <c r="KQ130" s="766" t="s">
        <v>1114</v>
      </c>
      <c r="KR130" s="750" t="s">
        <v>1101</v>
      </c>
      <c r="KS130" s="769" t="s">
        <v>1115</v>
      </c>
      <c r="KT130" s="770" t="s">
        <v>1101</v>
      </c>
      <c r="KU130" s="766" t="s">
        <v>1116</v>
      </c>
      <c r="KV130" s="750">
        <v>804465</v>
      </c>
      <c r="KW130" s="771" t="s">
        <v>1117</v>
      </c>
      <c r="KX130" s="750" t="s">
        <v>1101</v>
      </c>
      <c r="KY130" s="769" t="s">
        <v>1118</v>
      </c>
      <c r="KZ130" s="770" t="s">
        <v>1107</v>
      </c>
    </row>
    <row r="131" s="628" customFormat="1" customHeight="1" spans="1:312">
      <c r="A131" s="682" t="s">
        <v>277</v>
      </c>
      <c r="B131" s="683">
        <v>127</v>
      </c>
      <c r="C131" s="689" t="s">
        <v>1119</v>
      </c>
      <c r="D131" s="680">
        <v>804466</v>
      </c>
      <c r="E131" s="685">
        <v>46.58</v>
      </c>
      <c r="F131" s="685">
        <v>46.33</v>
      </c>
      <c r="G131" s="688">
        <v>0.017262</v>
      </c>
      <c r="H131" s="686">
        <v>0.017443</v>
      </c>
      <c r="I131" s="696"/>
      <c r="J131" s="696"/>
      <c r="K131" s="696"/>
      <c r="L131" s="696">
        <v>1.78309</v>
      </c>
      <c r="M131" s="696">
        <v>1.78441</v>
      </c>
      <c r="N131" s="696">
        <v>1.78552</v>
      </c>
      <c r="O131" s="696">
        <v>1.78993</v>
      </c>
      <c r="P131" s="696">
        <v>1.79303</v>
      </c>
      <c r="Q131" s="697">
        <v>1.7959</v>
      </c>
      <c r="R131" s="697">
        <v>1.79882</v>
      </c>
      <c r="S131" s="697">
        <v>1.79964</v>
      </c>
      <c r="T131" s="701">
        <v>1.8004</v>
      </c>
      <c r="U131" s="697">
        <v>1.80386</v>
      </c>
      <c r="V131" s="697">
        <v>1.804</v>
      </c>
      <c r="W131" s="697">
        <v>1.80811</v>
      </c>
      <c r="X131" s="697">
        <v>1.81608</v>
      </c>
      <c r="Y131" s="697">
        <v>1.81707</v>
      </c>
      <c r="Z131" s="697">
        <v>1.82573</v>
      </c>
      <c r="AA131" s="697">
        <v>1.83385</v>
      </c>
      <c r="AB131" s="697">
        <v>1.84795</v>
      </c>
      <c r="AC131" s="704">
        <v>3.17409614</v>
      </c>
      <c r="AD131" s="705">
        <v>-0.0133203094</v>
      </c>
      <c r="AE131" s="705">
        <v>0.0281374701</v>
      </c>
      <c r="AF131" s="705">
        <v>0.000283359178</v>
      </c>
      <c r="AG131" s="705">
        <v>4.544114e-5</v>
      </c>
      <c r="AH131" s="705">
        <v>-1.18800392e-6</v>
      </c>
      <c r="AI131" s="709">
        <v>0.3001</v>
      </c>
      <c r="AJ131" s="709">
        <v>0.2381</v>
      </c>
      <c r="AK131" s="709">
        <v>0.559</v>
      </c>
      <c r="AL131" s="709">
        <v>0.25</v>
      </c>
      <c r="AM131" s="709">
        <v>0.2356</v>
      </c>
      <c r="AN131" s="709">
        <v>0.4965</v>
      </c>
      <c r="AO131" s="709">
        <v>-0.0028</v>
      </c>
      <c r="AP131" s="709">
        <v>-0.0072</v>
      </c>
      <c r="AQ131" s="709">
        <v>0.0047</v>
      </c>
      <c r="AR131" s="709">
        <v>0.0028</v>
      </c>
      <c r="AS131" s="714">
        <v>3.3</v>
      </c>
      <c r="AT131" s="714">
        <v>3.3</v>
      </c>
      <c r="AU131" s="714">
        <v>3.3</v>
      </c>
      <c r="AV131" s="714">
        <v>3.4</v>
      </c>
      <c r="AW131" s="714">
        <v>3.3</v>
      </c>
      <c r="AX131" s="714">
        <v>3.4</v>
      </c>
      <c r="AY131" s="714">
        <v>3.4</v>
      </c>
      <c r="AZ131" s="714">
        <v>3.5</v>
      </c>
      <c r="BA131" s="714">
        <v>3.6</v>
      </c>
      <c r="BB131" s="714">
        <v>3.7</v>
      </c>
      <c r="BC131" s="714">
        <v>3.8</v>
      </c>
      <c r="BD131" s="714">
        <v>3.6</v>
      </c>
      <c r="BE131" s="714">
        <v>3.6</v>
      </c>
      <c r="BF131" s="714">
        <v>3.7</v>
      </c>
      <c r="BG131" s="714">
        <v>3.6</v>
      </c>
      <c r="BH131" s="714">
        <v>3.6</v>
      </c>
      <c r="BI131" s="714">
        <v>3.7</v>
      </c>
      <c r="BJ131" s="714">
        <v>3.8</v>
      </c>
      <c r="BK131" s="714">
        <v>3.9</v>
      </c>
      <c r="BL131" s="714">
        <v>4.1</v>
      </c>
      <c r="BM131" s="714">
        <v>4.2</v>
      </c>
      <c r="BN131" s="714">
        <v>4.3</v>
      </c>
      <c r="BO131" s="714">
        <v>3.9</v>
      </c>
      <c r="BP131" s="714">
        <v>3.9</v>
      </c>
      <c r="BQ131" s="714">
        <v>4</v>
      </c>
      <c r="BR131" s="714">
        <v>4</v>
      </c>
      <c r="BS131" s="714">
        <v>4.1</v>
      </c>
      <c r="BT131" s="714">
        <v>4.2</v>
      </c>
      <c r="BU131" s="714">
        <v>4.3</v>
      </c>
      <c r="BV131" s="714">
        <v>4.4</v>
      </c>
      <c r="BW131" s="714">
        <v>4.5</v>
      </c>
      <c r="BX131" s="714">
        <v>4.6</v>
      </c>
      <c r="BY131" s="714">
        <v>4.6</v>
      </c>
      <c r="BZ131" s="714">
        <v>4</v>
      </c>
      <c r="CA131" s="714">
        <v>4</v>
      </c>
      <c r="CB131" s="714">
        <v>4</v>
      </c>
      <c r="CC131" s="714">
        <v>4.1</v>
      </c>
      <c r="CD131" s="714">
        <v>4.2</v>
      </c>
      <c r="CE131" s="714">
        <v>4.2</v>
      </c>
      <c r="CF131" s="714">
        <v>4.3</v>
      </c>
      <c r="CG131" s="714">
        <v>4.5</v>
      </c>
      <c r="CH131" s="714">
        <v>4.6</v>
      </c>
      <c r="CI131" s="714">
        <v>4.7</v>
      </c>
      <c r="CJ131" s="714">
        <v>4.7</v>
      </c>
      <c r="CK131" s="714">
        <v>4.1</v>
      </c>
      <c r="CL131" s="715">
        <v>4.1</v>
      </c>
      <c r="CM131" s="715">
        <v>4.1</v>
      </c>
      <c r="CN131" s="715">
        <v>4.2</v>
      </c>
      <c r="CO131" s="715">
        <v>4.3</v>
      </c>
      <c r="CP131" s="715">
        <v>4.3</v>
      </c>
      <c r="CQ131" s="715">
        <v>4.4</v>
      </c>
      <c r="CR131" s="714">
        <v>4.6</v>
      </c>
      <c r="CS131" s="714">
        <v>4.7</v>
      </c>
      <c r="CT131" s="714">
        <v>4.8</v>
      </c>
      <c r="CU131" s="714">
        <v>4.8</v>
      </c>
      <c r="CV131" s="714">
        <v>4.4</v>
      </c>
      <c r="CW131" s="715">
        <v>4.4</v>
      </c>
      <c r="CX131" s="715">
        <v>4.3</v>
      </c>
      <c r="CY131" s="715">
        <v>4.4</v>
      </c>
      <c r="CZ131" s="715">
        <v>4.4</v>
      </c>
      <c r="DA131" s="715">
        <v>4.5</v>
      </c>
      <c r="DB131" s="715">
        <v>4.6</v>
      </c>
      <c r="DC131" s="714">
        <v>4.7</v>
      </c>
      <c r="DD131" s="714">
        <v>4.7</v>
      </c>
      <c r="DE131" s="714">
        <v>4.8</v>
      </c>
      <c r="DF131" s="714">
        <v>4.9</v>
      </c>
      <c r="DG131" s="714">
        <v>4.6</v>
      </c>
      <c r="DH131" s="715">
        <v>4.5</v>
      </c>
      <c r="DI131" s="715">
        <v>4.5</v>
      </c>
      <c r="DJ131" s="715">
        <v>4.6</v>
      </c>
      <c r="DK131" s="715">
        <v>4.7</v>
      </c>
      <c r="DL131" s="715">
        <v>4.8</v>
      </c>
      <c r="DM131" s="715">
        <v>4.9</v>
      </c>
      <c r="DN131" s="714">
        <v>4.9</v>
      </c>
      <c r="DO131" s="714">
        <v>5.1</v>
      </c>
      <c r="DP131" s="714">
        <v>5.2</v>
      </c>
      <c r="DQ131" s="714">
        <v>5.3</v>
      </c>
      <c r="DR131" s="714">
        <v>5.1</v>
      </c>
      <c r="DS131" s="715">
        <v>5.2</v>
      </c>
      <c r="DT131" s="715">
        <v>5.3</v>
      </c>
      <c r="DU131" s="715">
        <v>5.3</v>
      </c>
      <c r="DV131" s="715">
        <v>5.3</v>
      </c>
      <c r="DW131" s="715">
        <v>5.3</v>
      </c>
      <c r="DX131" s="715">
        <v>5.5</v>
      </c>
      <c r="DY131" s="714">
        <v>5.6</v>
      </c>
      <c r="DZ131" s="714">
        <v>5.7</v>
      </c>
      <c r="EA131" s="714">
        <v>5.7</v>
      </c>
      <c r="EB131" s="714">
        <v>5.9</v>
      </c>
      <c r="EC131" s="714">
        <v>5.3</v>
      </c>
      <c r="ED131" s="715">
        <v>5.4</v>
      </c>
      <c r="EE131" s="715">
        <v>5.4</v>
      </c>
      <c r="EF131" s="715">
        <v>5.5</v>
      </c>
      <c r="EG131" s="715">
        <v>5.4</v>
      </c>
      <c r="EH131" s="715">
        <v>5.5</v>
      </c>
      <c r="EI131" s="715">
        <v>5.7</v>
      </c>
      <c r="EJ131" s="714">
        <v>5.7</v>
      </c>
      <c r="EK131" s="714">
        <v>5.8</v>
      </c>
      <c r="EL131" s="714">
        <v>5.9</v>
      </c>
      <c r="EM131" s="714">
        <v>6.1</v>
      </c>
      <c r="EN131" s="714">
        <v>5.6</v>
      </c>
      <c r="EO131" s="715">
        <v>5.6</v>
      </c>
      <c r="EP131" s="715">
        <v>5.6</v>
      </c>
      <c r="EQ131" s="715">
        <v>5.6</v>
      </c>
      <c r="ER131" s="715">
        <v>5.7</v>
      </c>
      <c r="ES131" s="715">
        <v>5.9</v>
      </c>
      <c r="ET131" s="715">
        <v>6</v>
      </c>
      <c r="EU131" s="714">
        <v>6.2</v>
      </c>
      <c r="EV131" s="714">
        <v>6.3</v>
      </c>
      <c r="EW131" s="714">
        <v>6.5</v>
      </c>
      <c r="EX131" s="714">
        <v>6.7</v>
      </c>
      <c r="EY131" s="714">
        <v>1.2</v>
      </c>
      <c r="EZ131" s="715">
        <v>1.7</v>
      </c>
      <c r="FA131" s="715">
        <v>2</v>
      </c>
      <c r="FB131" s="715">
        <v>2.4</v>
      </c>
      <c r="FC131" s="715">
        <v>2.7</v>
      </c>
      <c r="FD131" s="715">
        <v>2.9</v>
      </c>
      <c r="FE131" s="715">
        <v>3.2</v>
      </c>
      <c r="FF131" s="714">
        <v>3.5</v>
      </c>
      <c r="FG131" s="714">
        <v>3.7</v>
      </c>
      <c r="FH131" s="714">
        <v>3.9</v>
      </c>
      <c r="FI131" s="714">
        <v>4</v>
      </c>
      <c r="FJ131" s="723">
        <v>1.9e-6</v>
      </c>
      <c r="FK131" s="723">
        <v>1.15e-8</v>
      </c>
      <c r="FL131" s="723">
        <v>-1.71e-11</v>
      </c>
      <c r="FM131" s="723">
        <v>8.52e-7</v>
      </c>
      <c r="FN131" s="723">
        <v>3.28e-10</v>
      </c>
      <c r="FO131" s="723">
        <v>0.0215</v>
      </c>
      <c r="FP131" s="729">
        <v>1</v>
      </c>
      <c r="FQ131" s="729">
        <v>1</v>
      </c>
      <c r="FR131" s="729">
        <v>1</v>
      </c>
      <c r="FS131" s="729">
        <v>3</v>
      </c>
      <c r="FT131" s="729">
        <v>1</v>
      </c>
      <c r="FU131" s="729">
        <v>1</v>
      </c>
      <c r="FV131" s="681">
        <v>1</v>
      </c>
      <c r="FW131" s="729"/>
      <c r="FX131" s="729"/>
      <c r="FY131" s="729"/>
      <c r="FZ131" s="746">
        <v>694</v>
      </c>
      <c r="GA131" s="746">
        <v>721</v>
      </c>
      <c r="GB131" s="681">
        <v>625</v>
      </c>
      <c r="GC131" s="681">
        <v>669</v>
      </c>
      <c r="GD131" s="747">
        <v>0.848</v>
      </c>
      <c r="GE131" s="729"/>
      <c r="GF131" s="681">
        <v>64</v>
      </c>
      <c r="GG131" s="681">
        <v>79</v>
      </c>
      <c r="GH131" s="681">
        <v>58</v>
      </c>
      <c r="GI131" s="681">
        <v>59</v>
      </c>
      <c r="GJ131" s="681">
        <v>60</v>
      </c>
      <c r="GK131" s="681">
        <v>60</v>
      </c>
      <c r="GL131" s="681">
        <v>64</v>
      </c>
      <c r="GM131" s="681">
        <v>65</v>
      </c>
      <c r="GN131" s="681">
        <v>65</v>
      </c>
      <c r="GO131" s="681">
        <v>66</v>
      </c>
      <c r="GP131" s="681">
        <v>66</v>
      </c>
      <c r="GQ131" s="681">
        <v>66</v>
      </c>
      <c r="GR131" s="681">
        <v>69</v>
      </c>
      <c r="GS131" s="681">
        <v>70</v>
      </c>
      <c r="GT131" s="681">
        <v>70</v>
      </c>
      <c r="GU131" s="681">
        <v>70</v>
      </c>
      <c r="GV131" s="681">
        <v>72</v>
      </c>
      <c r="GW131" s="681">
        <v>73</v>
      </c>
      <c r="GX131" s="681">
        <v>74</v>
      </c>
      <c r="GY131" s="681">
        <v>76</v>
      </c>
      <c r="GZ131" s="681">
        <v>77</v>
      </c>
      <c r="HA131" s="681">
        <v>77</v>
      </c>
      <c r="HB131" s="681">
        <v>78</v>
      </c>
      <c r="HC131" s="681"/>
      <c r="HD131" s="750">
        <v>143</v>
      </c>
      <c r="HE131" s="681"/>
      <c r="HF131" s="681">
        <v>712</v>
      </c>
      <c r="HG131" s="681">
        <v>116</v>
      </c>
      <c r="HH131" s="714">
        <v>122</v>
      </c>
      <c r="HI131" s="714">
        <v>47</v>
      </c>
      <c r="HJ131" s="753">
        <v>0.299</v>
      </c>
      <c r="HK131" s="681">
        <v>119</v>
      </c>
      <c r="HL131" s="685"/>
      <c r="HM131" s="747">
        <v>4.49</v>
      </c>
      <c r="HN131" s="729" t="s">
        <v>958</v>
      </c>
      <c r="HO131" s="729" t="s">
        <v>1120</v>
      </c>
      <c r="HP131" s="714">
        <v>-0.7</v>
      </c>
      <c r="HQ131" s="753">
        <v>0.869</v>
      </c>
      <c r="HR131" s="753">
        <v>0.966</v>
      </c>
      <c r="HS131" s="753">
        <v>0.988</v>
      </c>
      <c r="HT131" s="753">
        <v>0.996</v>
      </c>
      <c r="HU131" s="753">
        <v>0.999</v>
      </c>
      <c r="HV131" s="753">
        <v>0.999</v>
      </c>
      <c r="HW131" s="753">
        <v>0.999</v>
      </c>
      <c r="HX131" s="753">
        <v>0.999</v>
      </c>
      <c r="HY131" s="753">
        <v>0.999</v>
      </c>
      <c r="HZ131" s="753">
        <v>0.999</v>
      </c>
      <c r="IA131" s="753">
        <v>0.999</v>
      </c>
      <c r="IB131" s="753">
        <v>0.999</v>
      </c>
      <c r="IC131" s="753">
        <v>0.998999499499374</v>
      </c>
      <c r="ID131" s="753">
        <v>0.998999499499374</v>
      </c>
      <c r="IE131" s="753">
        <v>0.998999499499374</v>
      </c>
      <c r="IF131" s="753">
        <v>0.998999499499374</v>
      </c>
      <c r="IG131" s="753">
        <v>0.998999499499374</v>
      </c>
      <c r="IH131" s="753">
        <v>0.998999499499374</v>
      </c>
      <c r="II131" s="753">
        <v>0.998498873309329</v>
      </c>
      <c r="IJ131" s="753">
        <v>0.997997995989972</v>
      </c>
      <c r="IK131" s="753">
        <v>0.996995486449161</v>
      </c>
      <c r="IL131" s="753">
        <v>0.99498743710662</v>
      </c>
      <c r="IM131" s="753">
        <v>0.992975326984513</v>
      </c>
      <c r="IN131" s="753">
        <v>0.987420882906575</v>
      </c>
      <c r="IO131" s="753">
        <v>0.981325634027768</v>
      </c>
      <c r="IP131" s="753">
        <v>0.970566844684074</v>
      </c>
      <c r="IQ131" s="753">
        <v>0.948683298050514</v>
      </c>
      <c r="IR131" s="753">
        <v>0.898888202169769</v>
      </c>
      <c r="IS131" s="753">
        <v>0.778460018241143</v>
      </c>
      <c r="IT131" s="753">
        <v>0.532916503778969</v>
      </c>
      <c r="IU131" s="753">
        <v>0.194935886896179</v>
      </c>
      <c r="IV131" s="753"/>
      <c r="IW131" s="753"/>
      <c r="IX131" s="753"/>
      <c r="IY131" s="753"/>
      <c r="IZ131" s="753"/>
      <c r="JA131" s="754">
        <v>0.755</v>
      </c>
      <c r="JB131" s="754">
        <v>0.932</v>
      </c>
      <c r="JC131" s="754">
        <v>0.975</v>
      </c>
      <c r="JD131" s="754">
        <v>0.993</v>
      </c>
      <c r="JE131" s="754">
        <v>0.998</v>
      </c>
      <c r="JF131" s="754">
        <v>0.998</v>
      </c>
      <c r="JG131" s="754">
        <v>0.998</v>
      </c>
      <c r="JH131" s="754">
        <v>0.998</v>
      </c>
      <c r="JI131" s="754">
        <v>0.998</v>
      </c>
      <c r="JJ131" s="754">
        <v>0.998</v>
      </c>
      <c r="JK131" s="754">
        <v>0.998</v>
      </c>
      <c r="JL131" s="754">
        <v>0.998</v>
      </c>
      <c r="JM131" s="754">
        <v>0.998</v>
      </c>
      <c r="JN131" s="754">
        <v>0.998</v>
      </c>
      <c r="JO131" s="754">
        <v>0.998</v>
      </c>
      <c r="JP131" s="754">
        <v>0.998</v>
      </c>
      <c r="JQ131" s="754">
        <v>0.998</v>
      </c>
      <c r="JR131" s="754">
        <v>0.998</v>
      </c>
      <c r="JS131" s="754">
        <v>0.997</v>
      </c>
      <c r="JT131" s="754">
        <v>0.996</v>
      </c>
      <c r="JU131" s="754">
        <v>0.994</v>
      </c>
      <c r="JV131" s="754">
        <v>0.99</v>
      </c>
      <c r="JW131" s="754">
        <v>0.986</v>
      </c>
      <c r="JX131" s="754">
        <v>0.975</v>
      </c>
      <c r="JY131" s="754">
        <v>0.963</v>
      </c>
      <c r="JZ131" s="754">
        <v>0.942</v>
      </c>
      <c r="KA131" s="754">
        <v>0.9</v>
      </c>
      <c r="KB131" s="754">
        <v>0.808</v>
      </c>
      <c r="KC131" s="754">
        <v>0.606</v>
      </c>
      <c r="KD131" s="754">
        <v>0.284</v>
      </c>
      <c r="KE131" s="754">
        <v>0.038</v>
      </c>
      <c r="KF131" s="754"/>
      <c r="KG131" s="754"/>
      <c r="KH131" s="754"/>
      <c r="KI131" s="754"/>
      <c r="KJ131" s="754"/>
      <c r="KK131" s="765" t="s">
        <v>281</v>
      </c>
      <c r="KL131" s="738">
        <v>36</v>
      </c>
      <c r="KM131" s="738">
        <v>162</v>
      </c>
      <c r="KN131" s="646" t="s">
        <v>282</v>
      </c>
      <c r="KO131" s="646" t="s">
        <v>1119</v>
      </c>
      <c r="KP131" s="680">
        <v>804466</v>
      </c>
      <c r="KQ131" s="766" t="s">
        <v>1114</v>
      </c>
      <c r="KR131" s="750" t="s">
        <v>1101</v>
      </c>
      <c r="KS131" s="769" t="s">
        <v>1115</v>
      </c>
      <c r="KT131" s="770" t="s">
        <v>1101</v>
      </c>
      <c r="KU131" s="766" t="s">
        <v>1116</v>
      </c>
      <c r="KV131" s="750">
        <v>804465</v>
      </c>
      <c r="KW131" s="771" t="s">
        <v>1117</v>
      </c>
      <c r="KX131" s="750" t="s">
        <v>1101</v>
      </c>
      <c r="KY131" s="769" t="s">
        <v>1118</v>
      </c>
      <c r="KZ131" s="770" t="s">
        <v>1107</v>
      </c>
    </row>
    <row r="132" s="628" customFormat="1" customHeight="1" spans="1:312">
      <c r="A132" s="682" t="s">
        <v>374</v>
      </c>
      <c r="B132" s="683">
        <v>128</v>
      </c>
      <c r="C132" s="689" t="s">
        <v>1121</v>
      </c>
      <c r="D132" s="680">
        <v>805396</v>
      </c>
      <c r="E132" s="685">
        <v>39.64</v>
      </c>
      <c r="F132" s="685">
        <v>39.39</v>
      </c>
      <c r="G132" s="688">
        <v>0.020298</v>
      </c>
      <c r="H132" s="686">
        <v>0.020549</v>
      </c>
      <c r="I132" s="696">
        <v>1.75651</v>
      </c>
      <c r="J132" s="696">
        <v>1.76414</v>
      </c>
      <c r="K132" s="696">
        <v>1.77262</v>
      </c>
      <c r="L132" s="696">
        <v>1.78054</v>
      </c>
      <c r="M132" s="696">
        <v>1.78205</v>
      </c>
      <c r="N132" s="696">
        <v>1.7833</v>
      </c>
      <c r="O132" s="696">
        <v>1.7883</v>
      </c>
      <c r="P132" s="696">
        <v>1.79183</v>
      </c>
      <c r="Q132" s="697">
        <v>1.79513</v>
      </c>
      <c r="R132" s="697">
        <v>1.79849</v>
      </c>
      <c r="S132" s="697">
        <v>1.79943</v>
      </c>
      <c r="T132" s="701">
        <v>1.80032</v>
      </c>
      <c r="U132" s="697">
        <v>1.80432</v>
      </c>
      <c r="V132" s="697">
        <v>1.8045</v>
      </c>
      <c r="W132" s="697">
        <v>1.80932</v>
      </c>
      <c r="X132" s="697">
        <v>1.81879</v>
      </c>
      <c r="Y132" s="697">
        <v>1.81998</v>
      </c>
      <c r="Z132" s="697">
        <v>1.83042</v>
      </c>
      <c r="AA132" s="697">
        <v>1.84042</v>
      </c>
      <c r="AB132" s="697">
        <v>1.85838</v>
      </c>
      <c r="AC132" s="704">
        <v>3.16743537</v>
      </c>
      <c r="AD132" s="705">
        <v>-0.0161763813</v>
      </c>
      <c r="AE132" s="705">
        <v>0.0288108896</v>
      </c>
      <c r="AF132" s="705">
        <v>0.00151509661</v>
      </c>
      <c r="AG132" s="705">
        <v>-0.000100494023</v>
      </c>
      <c r="AH132" s="705">
        <v>9.19692892e-6</v>
      </c>
      <c r="AI132" s="709">
        <v>0.2961</v>
      </c>
      <c r="AJ132" s="709">
        <v>0.2375</v>
      </c>
      <c r="AK132" s="709">
        <v>0.573</v>
      </c>
      <c r="AL132" s="709">
        <v>0.2467</v>
      </c>
      <c r="AM132" s="709">
        <v>0.2346</v>
      </c>
      <c r="AN132" s="709">
        <v>0.5081</v>
      </c>
      <c r="AO132" s="709">
        <v>-0.0018</v>
      </c>
      <c r="AP132" s="709">
        <v>-0.0048</v>
      </c>
      <c r="AQ132" s="709">
        <v>0.0162</v>
      </c>
      <c r="AR132" s="709">
        <v>0.0065</v>
      </c>
      <c r="AS132" s="714">
        <v>5.7</v>
      </c>
      <c r="AT132" s="714">
        <v>6.1</v>
      </c>
      <c r="AU132" s="714">
        <v>6.5</v>
      </c>
      <c r="AV132" s="714">
        <v>6.9</v>
      </c>
      <c r="AW132" s="714">
        <v>7</v>
      </c>
      <c r="AX132" s="714">
        <v>7.2</v>
      </c>
      <c r="AY132" s="714">
        <v>7.5</v>
      </c>
      <c r="AZ132" s="714">
        <v>7.7</v>
      </c>
      <c r="BA132" s="714">
        <v>7.9</v>
      </c>
      <c r="BB132" s="714">
        <v>8.2</v>
      </c>
      <c r="BC132" s="714">
        <v>8.4</v>
      </c>
      <c r="BD132" s="714">
        <v>6.2</v>
      </c>
      <c r="BE132" s="714">
        <v>6.5</v>
      </c>
      <c r="BF132" s="714">
        <v>6.9</v>
      </c>
      <c r="BG132" s="714">
        <v>7.3</v>
      </c>
      <c r="BH132" s="714">
        <v>7.5</v>
      </c>
      <c r="BI132" s="714">
        <v>7.9</v>
      </c>
      <c r="BJ132" s="714">
        <v>8.2</v>
      </c>
      <c r="BK132" s="714">
        <v>8.5</v>
      </c>
      <c r="BL132" s="714">
        <v>8.7</v>
      </c>
      <c r="BM132" s="714">
        <v>8.9</v>
      </c>
      <c r="BN132" s="714">
        <v>9.1</v>
      </c>
      <c r="BO132" s="714">
        <v>6.5</v>
      </c>
      <c r="BP132" s="714">
        <v>6.8</v>
      </c>
      <c r="BQ132" s="714">
        <v>7.1</v>
      </c>
      <c r="BR132" s="714">
        <v>7.5</v>
      </c>
      <c r="BS132" s="714">
        <v>7.9</v>
      </c>
      <c r="BT132" s="714">
        <v>8.2</v>
      </c>
      <c r="BU132" s="714">
        <v>8.5</v>
      </c>
      <c r="BV132" s="714">
        <v>8.8</v>
      </c>
      <c r="BW132" s="714">
        <v>9</v>
      </c>
      <c r="BX132" s="714">
        <v>9.3</v>
      </c>
      <c r="BY132" s="714">
        <v>9.6</v>
      </c>
      <c r="BZ132" s="714">
        <v>6.6</v>
      </c>
      <c r="CA132" s="714">
        <v>6.9</v>
      </c>
      <c r="CB132" s="714">
        <v>7.2</v>
      </c>
      <c r="CC132" s="714">
        <v>7.5</v>
      </c>
      <c r="CD132" s="714">
        <v>7.9</v>
      </c>
      <c r="CE132" s="714">
        <v>8.2</v>
      </c>
      <c r="CF132" s="714">
        <v>8.5</v>
      </c>
      <c r="CG132" s="714">
        <v>8.8</v>
      </c>
      <c r="CH132" s="714">
        <v>9</v>
      </c>
      <c r="CI132" s="714">
        <v>9.3</v>
      </c>
      <c r="CJ132" s="714">
        <v>9.6</v>
      </c>
      <c r="CK132" s="714">
        <v>6.6</v>
      </c>
      <c r="CL132" s="715">
        <v>6.9</v>
      </c>
      <c r="CM132" s="715">
        <v>7.2</v>
      </c>
      <c r="CN132" s="715">
        <v>7.6</v>
      </c>
      <c r="CO132" s="715">
        <v>7.9</v>
      </c>
      <c r="CP132" s="715">
        <v>8.2</v>
      </c>
      <c r="CQ132" s="715">
        <v>8.5</v>
      </c>
      <c r="CR132" s="714">
        <v>8.8</v>
      </c>
      <c r="CS132" s="714">
        <v>9.1</v>
      </c>
      <c r="CT132" s="714">
        <v>9.4</v>
      </c>
      <c r="CU132" s="714">
        <v>9.7</v>
      </c>
      <c r="CV132" s="714">
        <v>6.8</v>
      </c>
      <c r="CW132" s="715">
        <v>7.1</v>
      </c>
      <c r="CX132" s="715">
        <v>7.5</v>
      </c>
      <c r="CY132" s="715">
        <v>8</v>
      </c>
      <c r="CZ132" s="715">
        <v>8.3</v>
      </c>
      <c r="DA132" s="715">
        <v>8.6</v>
      </c>
      <c r="DB132" s="715">
        <v>9</v>
      </c>
      <c r="DC132" s="714">
        <v>9.2</v>
      </c>
      <c r="DD132" s="714">
        <v>9.4</v>
      </c>
      <c r="DE132" s="714">
        <v>9.7</v>
      </c>
      <c r="DF132" s="714">
        <v>10</v>
      </c>
      <c r="DG132" s="714">
        <v>7</v>
      </c>
      <c r="DH132" s="715">
        <v>7.5</v>
      </c>
      <c r="DI132" s="715">
        <v>7.9</v>
      </c>
      <c r="DJ132" s="715">
        <v>8.3</v>
      </c>
      <c r="DK132" s="715">
        <v>8.7</v>
      </c>
      <c r="DL132" s="715">
        <v>9.1</v>
      </c>
      <c r="DM132" s="715">
        <v>9.4</v>
      </c>
      <c r="DN132" s="714">
        <v>9.8</v>
      </c>
      <c r="DO132" s="714">
        <v>10</v>
      </c>
      <c r="DP132" s="714">
        <v>10.3</v>
      </c>
      <c r="DQ132" s="714">
        <v>10.6</v>
      </c>
      <c r="DR132" s="714">
        <v>7.7</v>
      </c>
      <c r="DS132" s="715">
        <v>8.3</v>
      </c>
      <c r="DT132" s="715">
        <v>8.9</v>
      </c>
      <c r="DU132" s="715">
        <v>9.4</v>
      </c>
      <c r="DV132" s="715">
        <v>9.6</v>
      </c>
      <c r="DW132" s="715">
        <v>9.9</v>
      </c>
      <c r="DX132" s="715">
        <v>10.2</v>
      </c>
      <c r="DY132" s="714">
        <v>10.6</v>
      </c>
      <c r="DZ132" s="714">
        <v>10.9</v>
      </c>
      <c r="EA132" s="714">
        <v>11.2</v>
      </c>
      <c r="EB132" s="714">
        <v>11.6</v>
      </c>
      <c r="EC132" s="714">
        <v>7.8</v>
      </c>
      <c r="ED132" s="715">
        <v>8.4</v>
      </c>
      <c r="EE132" s="715">
        <v>9</v>
      </c>
      <c r="EF132" s="715">
        <v>9.5</v>
      </c>
      <c r="EG132" s="715">
        <v>9.7</v>
      </c>
      <c r="EH132" s="715">
        <v>10</v>
      </c>
      <c r="EI132" s="715">
        <v>10.3</v>
      </c>
      <c r="EJ132" s="714">
        <v>10.7</v>
      </c>
      <c r="EK132" s="714">
        <v>11</v>
      </c>
      <c r="EL132" s="714">
        <v>11.3</v>
      </c>
      <c r="EM132" s="714">
        <v>11.7</v>
      </c>
      <c r="EN132" s="714">
        <v>8.5</v>
      </c>
      <c r="EO132" s="715">
        <v>9.1</v>
      </c>
      <c r="EP132" s="715">
        <v>10</v>
      </c>
      <c r="EQ132" s="715">
        <v>10.5</v>
      </c>
      <c r="ER132" s="715">
        <v>10.6</v>
      </c>
      <c r="ES132" s="715">
        <v>11</v>
      </c>
      <c r="ET132" s="715">
        <v>11.5</v>
      </c>
      <c r="EU132" s="714">
        <v>11.7</v>
      </c>
      <c r="EV132" s="714">
        <v>12</v>
      </c>
      <c r="EW132" s="714">
        <v>12.4</v>
      </c>
      <c r="EX132" s="714">
        <v>12.7</v>
      </c>
      <c r="EY132" s="714">
        <v>3.7</v>
      </c>
      <c r="EZ132" s="715">
        <v>4.5</v>
      </c>
      <c r="FA132" s="715">
        <v>5.1</v>
      </c>
      <c r="FB132" s="715">
        <v>5.8</v>
      </c>
      <c r="FC132" s="715">
        <v>6.3</v>
      </c>
      <c r="FD132" s="715">
        <v>6.8</v>
      </c>
      <c r="FE132" s="715">
        <v>7.3</v>
      </c>
      <c r="FF132" s="714">
        <v>7.7</v>
      </c>
      <c r="FG132" s="714">
        <v>8.1</v>
      </c>
      <c r="FH132" s="714">
        <v>8.5</v>
      </c>
      <c r="FI132" s="714">
        <v>8.9</v>
      </c>
      <c r="FJ132" s="723">
        <v>7.94e-6</v>
      </c>
      <c r="FK132" s="723">
        <v>2.19e-8</v>
      </c>
      <c r="FL132" s="723">
        <v>-3.8e-11</v>
      </c>
      <c r="FM132" s="723">
        <v>6.45e-7</v>
      </c>
      <c r="FN132" s="723">
        <v>6.29e-10</v>
      </c>
      <c r="FO132" s="723">
        <v>0.272</v>
      </c>
      <c r="FP132" s="729">
        <v>1</v>
      </c>
      <c r="FQ132" s="729">
        <v>3</v>
      </c>
      <c r="FR132" s="729">
        <v>1</v>
      </c>
      <c r="FS132" s="729">
        <v>3</v>
      </c>
      <c r="FT132" s="729">
        <v>1</v>
      </c>
      <c r="FU132" s="729">
        <v>1</v>
      </c>
      <c r="FV132" s="681">
        <v>1</v>
      </c>
      <c r="FW132" s="729"/>
      <c r="FX132" s="729"/>
      <c r="FY132" s="729"/>
      <c r="FZ132" s="746">
        <v>597</v>
      </c>
      <c r="GA132" s="746">
        <v>630</v>
      </c>
      <c r="GB132" s="681">
        <v>533</v>
      </c>
      <c r="GC132" s="681">
        <v>568</v>
      </c>
      <c r="GD132" s="747">
        <v>0.92</v>
      </c>
      <c r="GE132" s="729"/>
      <c r="GF132" s="681">
        <v>55</v>
      </c>
      <c r="GG132" s="681">
        <v>70</v>
      </c>
      <c r="GH132" s="681">
        <v>48</v>
      </c>
      <c r="GI132" s="681">
        <v>51</v>
      </c>
      <c r="GJ132" s="681">
        <v>52</v>
      </c>
      <c r="GK132" s="681">
        <v>54</v>
      </c>
      <c r="GL132" s="681">
        <v>54</v>
      </c>
      <c r="GM132" s="681">
        <v>55</v>
      </c>
      <c r="GN132" s="681">
        <v>56</v>
      </c>
      <c r="GO132" s="681">
        <v>57</v>
      </c>
      <c r="GP132" s="681">
        <v>57</v>
      </c>
      <c r="GQ132" s="681">
        <v>58</v>
      </c>
      <c r="GR132" s="681">
        <v>58</v>
      </c>
      <c r="GS132" s="681">
        <v>58</v>
      </c>
      <c r="GT132" s="681">
        <v>59</v>
      </c>
      <c r="GU132" s="681">
        <v>59</v>
      </c>
      <c r="GV132" s="681">
        <v>60</v>
      </c>
      <c r="GW132" s="681">
        <v>61</v>
      </c>
      <c r="GX132" s="681">
        <v>62</v>
      </c>
      <c r="GY132" s="681">
        <v>63</v>
      </c>
      <c r="GZ132" s="681">
        <v>64</v>
      </c>
      <c r="HA132" s="681">
        <v>66</v>
      </c>
      <c r="HB132" s="681">
        <v>67</v>
      </c>
      <c r="HC132" s="681"/>
      <c r="HD132" s="750">
        <v>180</v>
      </c>
      <c r="HE132" s="681"/>
      <c r="HF132" s="681">
        <v>664</v>
      </c>
      <c r="HG132" s="681">
        <v>76</v>
      </c>
      <c r="HH132" s="714">
        <v>121.8</v>
      </c>
      <c r="HI132" s="714">
        <v>45.7</v>
      </c>
      <c r="HJ132" s="753">
        <v>0.332</v>
      </c>
      <c r="HK132" s="681">
        <v>69</v>
      </c>
      <c r="HL132" s="685">
        <v>1.99</v>
      </c>
      <c r="HM132" s="747">
        <v>4.26</v>
      </c>
      <c r="HN132" s="729" t="s">
        <v>1122</v>
      </c>
      <c r="HO132" s="729" t="s">
        <v>1123</v>
      </c>
      <c r="HP132" s="714">
        <v>-0.6</v>
      </c>
      <c r="HQ132" s="753">
        <v>0.825</v>
      </c>
      <c r="HR132" s="753">
        <v>0.95</v>
      </c>
      <c r="HS132" s="753">
        <v>0.99</v>
      </c>
      <c r="HT132" s="753">
        <v>0.999</v>
      </c>
      <c r="HU132" s="753">
        <v>0.999</v>
      </c>
      <c r="HV132" s="753">
        <v>0.999</v>
      </c>
      <c r="HW132" s="753">
        <v>0.999</v>
      </c>
      <c r="HX132" s="753">
        <v>0.999</v>
      </c>
      <c r="HY132" s="753">
        <v>0.999</v>
      </c>
      <c r="HZ132" s="753">
        <v>0.999</v>
      </c>
      <c r="IA132" s="753">
        <v>0.999</v>
      </c>
      <c r="IB132" s="753">
        <v>0.999</v>
      </c>
      <c r="IC132" s="753">
        <v>0.999</v>
      </c>
      <c r="ID132" s="753">
        <v>0.999</v>
      </c>
      <c r="IE132" s="753">
        <v>0.999</v>
      </c>
      <c r="IF132" s="753">
        <v>0.999</v>
      </c>
      <c r="IG132" s="753">
        <v>0.999</v>
      </c>
      <c r="IH132" s="753">
        <v>0.999</v>
      </c>
      <c r="II132" s="753">
        <v>0.997</v>
      </c>
      <c r="IJ132" s="753">
        <v>0.995</v>
      </c>
      <c r="IK132" s="753">
        <v>0.992</v>
      </c>
      <c r="IL132" s="753">
        <v>0.988</v>
      </c>
      <c r="IM132" s="753">
        <v>0.981</v>
      </c>
      <c r="IN132" s="753">
        <v>0.966</v>
      </c>
      <c r="IO132" s="753">
        <v>0.948</v>
      </c>
      <c r="IP132" s="753">
        <v>0.913</v>
      </c>
      <c r="IQ132" s="753">
        <v>0.838</v>
      </c>
      <c r="IR132" s="753">
        <v>0.668</v>
      </c>
      <c r="IS132" s="753">
        <v>0.358</v>
      </c>
      <c r="IT132" s="753"/>
      <c r="IU132" s="753"/>
      <c r="IV132" s="753"/>
      <c r="IW132" s="753"/>
      <c r="IX132" s="753"/>
      <c r="IY132" s="753"/>
      <c r="IZ132" s="753"/>
      <c r="JA132" s="754">
        <v>0.681</v>
      </c>
      <c r="JB132" s="754">
        <v>0.903</v>
      </c>
      <c r="JC132" s="754">
        <v>0.98</v>
      </c>
      <c r="JD132" s="754">
        <v>0.998</v>
      </c>
      <c r="JE132" s="754">
        <v>0.998</v>
      </c>
      <c r="JF132" s="754">
        <v>0.998</v>
      </c>
      <c r="JG132" s="754">
        <v>0.998</v>
      </c>
      <c r="JH132" s="754">
        <v>0.998</v>
      </c>
      <c r="JI132" s="754">
        <v>0.998</v>
      </c>
      <c r="JJ132" s="754">
        <v>0.998</v>
      </c>
      <c r="JK132" s="754">
        <v>0.998</v>
      </c>
      <c r="JL132" s="754">
        <v>0.998</v>
      </c>
      <c r="JM132" s="754">
        <v>0.998</v>
      </c>
      <c r="JN132" s="754">
        <v>0.998</v>
      </c>
      <c r="JO132" s="754">
        <v>0.998</v>
      </c>
      <c r="JP132" s="754">
        <v>0.998</v>
      </c>
      <c r="JQ132" s="754">
        <v>0.998</v>
      </c>
      <c r="JR132" s="754">
        <v>0.998</v>
      </c>
      <c r="JS132" s="754">
        <v>0.993</v>
      </c>
      <c r="JT132" s="754">
        <v>0.989</v>
      </c>
      <c r="JU132" s="754">
        <v>0.984</v>
      </c>
      <c r="JV132" s="754">
        <v>0.977</v>
      </c>
      <c r="JW132" s="754">
        <v>0.963</v>
      </c>
      <c r="JX132" s="754">
        <v>0.933</v>
      </c>
      <c r="JY132" s="754">
        <v>0.899</v>
      </c>
      <c r="JZ132" s="754">
        <v>0.833</v>
      </c>
      <c r="KA132" s="754">
        <v>0.702</v>
      </c>
      <c r="KB132" s="754">
        <v>0.446</v>
      </c>
      <c r="KC132" s="754">
        <v>0.128</v>
      </c>
      <c r="KD132" s="754"/>
      <c r="KE132" s="754"/>
      <c r="KF132" s="754"/>
      <c r="KG132" s="754"/>
      <c r="KH132" s="754"/>
      <c r="KI132" s="754"/>
      <c r="KJ132" s="754"/>
      <c r="KK132" s="765" t="s">
        <v>281</v>
      </c>
      <c r="KL132" s="738">
        <v>107</v>
      </c>
      <c r="KM132" s="738">
        <v>456</v>
      </c>
      <c r="KN132" s="646" t="s">
        <v>339</v>
      </c>
      <c r="KO132" s="646" t="s">
        <v>1121</v>
      </c>
      <c r="KP132" s="680">
        <v>805396</v>
      </c>
      <c r="KQ132" s="766" t="s">
        <v>1124</v>
      </c>
      <c r="KR132" s="750" t="s">
        <v>1125</v>
      </c>
      <c r="KS132" s="769" t="s">
        <v>1121</v>
      </c>
      <c r="KT132" s="770" t="s">
        <v>1126</v>
      </c>
      <c r="KU132" s="766" t="s">
        <v>1127</v>
      </c>
      <c r="KV132" s="750">
        <v>805396</v>
      </c>
      <c r="KW132" s="771" t="s">
        <v>1128</v>
      </c>
      <c r="KX132" s="750" t="s">
        <v>1126</v>
      </c>
      <c r="KY132" s="769" t="s">
        <v>1129</v>
      </c>
      <c r="KZ132" s="770" t="s">
        <v>1130</v>
      </c>
    </row>
    <row r="133" s="628" customFormat="1" customHeight="1" spans="1:312">
      <c r="A133" s="682" t="s">
        <v>345</v>
      </c>
      <c r="B133" s="683">
        <v>129</v>
      </c>
      <c r="C133" s="684" t="s">
        <v>1131</v>
      </c>
      <c r="D133" s="679">
        <v>805396</v>
      </c>
      <c r="E133" s="685">
        <v>39.62</v>
      </c>
      <c r="F133" s="685">
        <v>39.37</v>
      </c>
      <c r="G133" s="688">
        <v>0.0203042894404566</v>
      </c>
      <c r="H133" s="686">
        <v>0.0205554541228574</v>
      </c>
      <c r="I133" s="696"/>
      <c r="J133" s="696"/>
      <c r="K133" s="696"/>
      <c r="L133" s="696">
        <v>1.78059</v>
      </c>
      <c r="M133" s="696">
        <v>1.78207</v>
      </c>
      <c r="N133" s="696">
        <v>1.78331</v>
      </c>
      <c r="O133" s="696">
        <v>1.78828</v>
      </c>
      <c r="P133" s="696">
        <v>1.79181</v>
      </c>
      <c r="Q133" s="696">
        <v>1.79512</v>
      </c>
      <c r="R133" s="696">
        <v>1.79848</v>
      </c>
      <c r="S133" s="696">
        <v>1.79943</v>
      </c>
      <c r="T133" s="696">
        <v>1.80032</v>
      </c>
      <c r="U133" s="696">
        <v>1.80432</v>
      </c>
      <c r="V133" s="696">
        <v>1.8045</v>
      </c>
      <c r="W133" s="696">
        <v>1.80932</v>
      </c>
      <c r="X133" s="696">
        <v>1.81878</v>
      </c>
      <c r="Y133" s="696">
        <v>1.81998</v>
      </c>
      <c r="Z133" s="697">
        <v>1.83042</v>
      </c>
      <c r="AA133" s="697">
        <v>1.84042</v>
      </c>
      <c r="AB133" s="697">
        <v>1.85828</v>
      </c>
      <c r="AC133" s="704">
        <v>3.16404838</v>
      </c>
      <c r="AD133" s="704">
        <v>-0.0145380356</v>
      </c>
      <c r="AE133" s="704">
        <v>0.0312370776</v>
      </c>
      <c r="AF133" s="704">
        <v>0.000728139985</v>
      </c>
      <c r="AG133" s="704">
        <v>1.72607758e-5</v>
      </c>
      <c r="AH133" s="704">
        <v>2.6207976e-6</v>
      </c>
      <c r="AI133" s="709">
        <v>0.2965</v>
      </c>
      <c r="AJ133" s="709">
        <v>0.2373</v>
      </c>
      <c r="AK133" s="709">
        <v>0.5731</v>
      </c>
      <c r="AL133" s="709">
        <v>0.2468</v>
      </c>
      <c r="AM133" s="709">
        <v>0.2344</v>
      </c>
      <c r="AN133" s="709">
        <v>0.5077</v>
      </c>
      <c r="AO133" s="709">
        <v>-0.0022</v>
      </c>
      <c r="AP133" s="709">
        <v>-0.0047</v>
      </c>
      <c r="AQ133" s="709">
        <v>0.0151</v>
      </c>
      <c r="AR133" s="709">
        <v>0.0069</v>
      </c>
      <c r="AS133" s="714">
        <v>3.5</v>
      </c>
      <c r="AT133" s="714">
        <v>3.6</v>
      </c>
      <c r="AU133" s="714">
        <v>3.8</v>
      </c>
      <c r="AV133" s="714">
        <v>4</v>
      </c>
      <c r="AW133" s="714">
        <v>4.3</v>
      </c>
      <c r="AX133" s="714">
        <v>4.5</v>
      </c>
      <c r="AY133" s="714">
        <v>4.7</v>
      </c>
      <c r="AZ133" s="714">
        <v>4.9</v>
      </c>
      <c r="BA133" s="714">
        <v>5.1</v>
      </c>
      <c r="BB133" s="714">
        <v>5.3</v>
      </c>
      <c r="BC133" s="714">
        <v>5.4</v>
      </c>
      <c r="BD133" s="714">
        <v>3.7</v>
      </c>
      <c r="BE133" s="714">
        <v>3.8</v>
      </c>
      <c r="BF133" s="714">
        <v>4</v>
      </c>
      <c r="BG133" s="714">
        <v>4.2</v>
      </c>
      <c r="BH133" s="714">
        <v>4.5</v>
      </c>
      <c r="BI133" s="714">
        <v>4.7</v>
      </c>
      <c r="BJ133" s="714">
        <v>4.9</v>
      </c>
      <c r="BK133" s="714">
        <v>5.2</v>
      </c>
      <c r="BL133" s="714">
        <v>5.3</v>
      </c>
      <c r="BM133" s="714">
        <v>5.5</v>
      </c>
      <c r="BN133" s="714">
        <v>5.6</v>
      </c>
      <c r="BO133" s="714">
        <v>4.2</v>
      </c>
      <c r="BP133" s="714">
        <v>4.3</v>
      </c>
      <c r="BQ133" s="714">
        <v>4.5</v>
      </c>
      <c r="BR133" s="714">
        <v>4.8</v>
      </c>
      <c r="BS133" s="714">
        <v>5</v>
      </c>
      <c r="BT133" s="714">
        <v>5.3</v>
      </c>
      <c r="BU133" s="714">
        <v>5.5</v>
      </c>
      <c r="BV133" s="714">
        <v>5.7</v>
      </c>
      <c r="BW133" s="714">
        <v>5.9</v>
      </c>
      <c r="BX133" s="714">
        <v>6.1</v>
      </c>
      <c r="BY133" s="714">
        <v>6.3</v>
      </c>
      <c r="BZ133" s="714">
        <v>4.2</v>
      </c>
      <c r="CA133" s="714">
        <v>4.4</v>
      </c>
      <c r="CB133" s="714">
        <v>4.6</v>
      </c>
      <c r="CC133" s="714">
        <v>4.8</v>
      </c>
      <c r="CD133" s="714">
        <v>5.1</v>
      </c>
      <c r="CE133" s="714">
        <v>5.3</v>
      </c>
      <c r="CF133" s="714">
        <v>5.6</v>
      </c>
      <c r="CG133" s="714">
        <v>5.8</v>
      </c>
      <c r="CH133" s="714">
        <v>6</v>
      </c>
      <c r="CI133" s="714">
        <v>6.2</v>
      </c>
      <c r="CJ133" s="714">
        <v>6.3</v>
      </c>
      <c r="CK133" s="714">
        <v>4.3</v>
      </c>
      <c r="CL133" s="714">
        <v>4.4</v>
      </c>
      <c r="CM133" s="714">
        <v>4.6</v>
      </c>
      <c r="CN133" s="714">
        <v>4.9</v>
      </c>
      <c r="CO133" s="714">
        <v>5.1</v>
      </c>
      <c r="CP133" s="714">
        <v>5.4</v>
      </c>
      <c r="CQ133" s="714">
        <v>5.6</v>
      </c>
      <c r="CR133" s="714">
        <v>5.9</v>
      </c>
      <c r="CS133" s="714">
        <v>6.1</v>
      </c>
      <c r="CT133" s="714">
        <v>6.2</v>
      </c>
      <c r="CU133" s="714">
        <v>6.4</v>
      </c>
      <c r="CV133" s="714">
        <v>4.5</v>
      </c>
      <c r="CW133" s="714">
        <v>4.7</v>
      </c>
      <c r="CX133" s="714">
        <v>4.9</v>
      </c>
      <c r="CY133" s="714">
        <v>5.1</v>
      </c>
      <c r="CZ133" s="714">
        <v>5.4</v>
      </c>
      <c r="DA133" s="714">
        <v>5.7</v>
      </c>
      <c r="DB133" s="714">
        <v>5.9</v>
      </c>
      <c r="DC133" s="714">
        <v>6.2</v>
      </c>
      <c r="DD133" s="714">
        <v>6.4</v>
      </c>
      <c r="DE133" s="714">
        <v>6.5</v>
      </c>
      <c r="DF133" s="714">
        <v>6.7</v>
      </c>
      <c r="DG133" s="714">
        <v>4.8</v>
      </c>
      <c r="DH133" s="714">
        <v>5</v>
      </c>
      <c r="DI133" s="714">
        <v>5.2</v>
      </c>
      <c r="DJ133" s="714">
        <v>5.5</v>
      </c>
      <c r="DK133" s="714">
        <v>5.7</v>
      </c>
      <c r="DL133" s="714">
        <v>6</v>
      </c>
      <c r="DM133" s="714">
        <v>6.3</v>
      </c>
      <c r="DN133" s="714">
        <v>6.5</v>
      </c>
      <c r="DO133" s="714">
        <v>6.7</v>
      </c>
      <c r="DP133" s="714">
        <v>6.9</v>
      </c>
      <c r="DQ133" s="714">
        <v>7.1</v>
      </c>
      <c r="DR133" s="714">
        <v>5.4</v>
      </c>
      <c r="DS133" s="714">
        <v>5.6</v>
      </c>
      <c r="DT133" s="714">
        <v>5.9</v>
      </c>
      <c r="DU133" s="714">
        <v>6.1</v>
      </c>
      <c r="DV133" s="714">
        <v>6.4</v>
      </c>
      <c r="DW133" s="714">
        <v>6.7</v>
      </c>
      <c r="DX133" s="714">
        <v>7</v>
      </c>
      <c r="DY133" s="714">
        <v>7.2</v>
      </c>
      <c r="DZ133" s="714">
        <v>7.5</v>
      </c>
      <c r="EA133" s="714">
        <v>7.7</v>
      </c>
      <c r="EB133" s="714">
        <v>7.9</v>
      </c>
      <c r="EC133" s="714">
        <v>5.5</v>
      </c>
      <c r="ED133" s="714">
        <v>5.7</v>
      </c>
      <c r="EE133" s="714">
        <v>6</v>
      </c>
      <c r="EF133" s="714">
        <v>6.2</v>
      </c>
      <c r="EG133" s="714">
        <v>6.5</v>
      </c>
      <c r="EH133" s="714">
        <v>6.8</v>
      </c>
      <c r="EI133" s="714">
        <v>7.1</v>
      </c>
      <c r="EJ133" s="714">
        <v>7.3</v>
      </c>
      <c r="EK133" s="714">
        <v>7.6</v>
      </c>
      <c r="EL133" s="714">
        <v>7.8</v>
      </c>
      <c r="EM133" s="714">
        <v>8</v>
      </c>
      <c r="EN133" s="714">
        <v>6.3</v>
      </c>
      <c r="EO133" s="714">
        <v>6.6</v>
      </c>
      <c r="EP133" s="714">
        <v>6.8</v>
      </c>
      <c r="EQ133" s="714">
        <v>7.1</v>
      </c>
      <c r="ER133" s="714">
        <v>7.4</v>
      </c>
      <c r="ES133" s="714">
        <v>7.7</v>
      </c>
      <c r="ET133" s="714">
        <v>8</v>
      </c>
      <c r="EU133" s="714">
        <v>8.3</v>
      </c>
      <c r="EV133" s="714">
        <v>8.6</v>
      </c>
      <c r="EW133" s="714">
        <v>8.8</v>
      </c>
      <c r="EX133" s="714">
        <v>9</v>
      </c>
      <c r="EY133" s="714">
        <v>1.4</v>
      </c>
      <c r="EZ133" s="714">
        <v>2</v>
      </c>
      <c r="FA133" s="714">
        <v>2.6</v>
      </c>
      <c r="FB133" s="714">
        <v>3.1</v>
      </c>
      <c r="FC133" s="714">
        <v>3.6</v>
      </c>
      <c r="FD133" s="714">
        <v>4</v>
      </c>
      <c r="FE133" s="714">
        <v>4.4</v>
      </c>
      <c r="FF133" s="714">
        <v>4.8</v>
      </c>
      <c r="FG133" s="714">
        <v>5.1</v>
      </c>
      <c r="FH133" s="714">
        <v>5.4</v>
      </c>
      <c r="FI133" s="714">
        <v>5.6</v>
      </c>
      <c r="FJ133" s="725">
        <v>3.46e-6</v>
      </c>
      <c r="FK133" s="725">
        <v>1.84e-8</v>
      </c>
      <c r="FL133" s="725">
        <v>-2.91e-11</v>
      </c>
      <c r="FM133" s="725">
        <v>6.36e-7</v>
      </c>
      <c r="FN133" s="725">
        <v>3.69e-10</v>
      </c>
      <c r="FO133" s="725">
        <v>0.259</v>
      </c>
      <c r="FP133" s="729">
        <v>1</v>
      </c>
      <c r="FQ133" s="729">
        <v>2</v>
      </c>
      <c r="FR133" s="729">
        <v>1</v>
      </c>
      <c r="FS133" s="729">
        <v>3</v>
      </c>
      <c r="FT133" s="729">
        <v>1</v>
      </c>
      <c r="FU133" s="729">
        <v>1</v>
      </c>
      <c r="FV133" s="681"/>
      <c r="FW133" s="729"/>
      <c r="FX133" s="729"/>
      <c r="FY133" s="729"/>
      <c r="FZ133" s="782">
        <v>598</v>
      </c>
      <c r="GA133" s="782">
        <v>639</v>
      </c>
      <c r="GB133" s="681">
        <v>537</v>
      </c>
      <c r="GC133" s="681">
        <v>572</v>
      </c>
      <c r="GD133" s="747">
        <v>0.95</v>
      </c>
      <c r="GE133" s="729"/>
      <c r="GF133" s="681">
        <v>59</v>
      </c>
      <c r="GG133" s="681">
        <v>75</v>
      </c>
      <c r="GH133" s="681">
        <v>54</v>
      </c>
      <c r="GI133" s="681">
        <v>55</v>
      </c>
      <c r="GJ133" s="681">
        <v>55</v>
      </c>
      <c r="GK133" s="681">
        <v>55</v>
      </c>
      <c r="GL133" s="681">
        <v>56</v>
      </c>
      <c r="GM133" s="681">
        <v>58</v>
      </c>
      <c r="GN133" s="681">
        <v>58</v>
      </c>
      <c r="GO133" s="681">
        <v>60</v>
      </c>
      <c r="GP133" s="681">
        <v>61</v>
      </c>
      <c r="GQ133" s="681">
        <v>62</v>
      </c>
      <c r="GR133" s="681">
        <v>63</v>
      </c>
      <c r="GS133" s="681">
        <v>64</v>
      </c>
      <c r="GT133" s="681">
        <v>65</v>
      </c>
      <c r="GU133" s="681">
        <v>66</v>
      </c>
      <c r="GV133" s="681">
        <v>67</v>
      </c>
      <c r="GW133" s="681">
        <v>68</v>
      </c>
      <c r="GX133" s="681">
        <v>69</v>
      </c>
      <c r="GY133" s="681">
        <v>70</v>
      </c>
      <c r="GZ133" s="681">
        <v>71</v>
      </c>
      <c r="HA133" s="681">
        <v>73</v>
      </c>
      <c r="HB133" s="681">
        <v>73</v>
      </c>
      <c r="HC133" s="681"/>
      <c r="HD133" s="750">
        <v>174</v>
      </c>
      <c r="HE133" s="681"/>
      <c r="HF133" s="681">
        <v>700</v>
      </c>
      <c r="HG133" s="681">
        <v>132</v>
      </c>
      <c r="HH133" s="714">
        <v>113.8</v>
      </c>
      <c r="HI133" s="714">
        <v>43.5</v>
      </c>
      <c r="HJ133" s="753">
        <v>0.307</v>
      </c>
      <c r="HK133" s="681">
        <v>100</v>
      </c>
      <c r="HL133" s="685">
        <v>1.86</v>
      </c>
      <c r="HM133" s="747">
        <v>4.24</v>
      </c>
      <c r="HN133" s="729" t="s">
        <v>1132</v>
      </c>
      <c r="HO133" s="729" t="s">
        <v>1133</v>
      </c>
      <c r="HP133" s="714">
        <v>-0.5</v>
      </c>
      <c r="HQ133" s="753">
        <v>0.81</v>
      </c>
      <c r="HR133" s="753">
        <v>0.933</v>
      </c>
      <c r="HS133" s="753">
        <v>0.972</v>
      </c>
      <c r="HT133" s="753">
        <v>0.99</v>
      </c>
      <c r="HU133" s="753">
        <v>0.996</v>
      </c>
      <c r="HV133" s="753">
        <v>0.995</v>
      </c>
      <c r="HW133" s="753">
        <v>0.999</v>
      </c>
      <c r="HX133" s="753">
        <v>0.999</v>
      </c>
      <c r="HY133" s="753">
        <v>0.999</v>
      </c>
      <c r="HZ133" s="753">
        <v>0.999</v>
      </c>
      <c r="IA133" s="753">
        <v>0.999</v>
      </c>
      <c r="IB133" s="753">
        <v>0.999</v>
      </c>
      <c r="IC133" s="753">
        <v>0.999</v>
      </c>
      <c r="ID133" s="753">
        <v>0.999</v>
      </c>
      <c r="IE133" s="753">
        <v>0.999</v>
      </c>
      <c r="IF133" s="753">
        <v>0.999</v>
      </c>
      <c r="IG133" s="753">
        <v>0.999</v>
      </c>
      <c r="IH133" s="753">
        <v>0.998</v>
      </c>
      <c r="II133" s="753">
        <v>0.997</v>
      </c>
      <c r="IJ133" s="753">
        <v>0.996</v>
      </c>
      <c r="IK133" s="753">
        <v>0.993</v>
      </c>
      <c r="IL133" s="753">
        <v>0.991</v>
      </c>
      <c r="IM133" s="753">
        <v>0.985</v>
      </c>
      <c r="IN133" s="753">
        <v>0.976</v>
      </c>
      <c r="IO133" s="753">
        <v>0.964</v>
      </c>
      <c r="IP133" s="753">
        <v>0.941</v>
      </c>
      <c r="IQ133" s="753">
        <v>0.877</v>
      </c>
      <c r="IR133" s="753">
        <v>0.774</v>
      </c>
      <c r="IS133" s="753">
        <v>0.509</v>
      </c>
      <c r="IT133" s="753">
        <v>0.17</v>
      </c>
      <c r="IU133" s="753"/>
      <c r="IV133" s="753"/>
      <c r="IW133" s="753"/>
      <c r="IX133" s="753"/>
      <c r="IY133" s="753"/>
      <c r="IZ133" s="753"/>
      <c r="JA133" s="753">
        <v>0.656</v>
      </c>
      <c r="JB133" s="753">
        <v>0.87</v>
      </c>
      <c r="JC133" s="753">
        <v>0.944</v>
      </c>
      <c r="JD133" s="753">
        <v>0.98</v>
      </c>
      <c r="JE133" s="753">
        <v>0.992</v>
      </c>
      <c r="JF133" s="753">
        <v>0.99</v>
      </c>
      <c r="JG133" s="753">
        <v>0.998</v>
      </c>
      <c r="JH133" s="753">
        <v>0.998</v>
      </c>
      <c r="JI133" s="753">
        <v>0.998</v>
      </c>
      <c r="JJ133" s="753">
        <v>0.998</v>
      </c>
      <c r="JK133" s="753">
        <v>0.998</v>
      </c>
      <c r="JL133" s="753">
        <v>0.998</v>
      </c>
      <c r="JM133" s="753">
        <v>0.998</v>
      </c>
      <c r="JN133" s="753">
        <v>0.998</v>
      </c>
      <c r="JO133" s="753">
        <v>0.998</v>
      </c>
      <c r="JP133" s="753">
        <v>0.998</v>
      </c>
      <c r="JQ133" s="753">
        <v>0.998</v>
      </c>
      <c r="JR133" s="753">
        <v>0.997</v>
      </c>
      <c r="JS133" s="753">
        <v>0.993</v>
      </c>
      <c r="JT133" s="753">
        <v>0.991</v>
      </c>
      <c r="JU133" s="753">
        <v>0.986</v>
      </c>
      <c r="JV133" s="753">
        <v>0.981</v>
      </c>
      <c r="JW133" s="753">
        <v>0.97</v>
      </c>
      <c r="JX133" s="753">
        <v>0.953</v>
      </c>
      <c r="JY133" s="753">
        <v>0.929</v>
      </c>
      <c r="JZ133" s="753">
        <v>0.885</v>
      </c>
      <c r="KA133" s="753">
        <v>0.77</v>
      </c>
      <c r="KB133" s="753">
        <v>0.599</v>
      </c>
      <c r="KC133" s="753">
        <v>0.259</v>
      </c>
      <c r="KD133" s="753">
        <v>0.029</v>
      </c>
      <c r="KE133" s="753"/>
      <c r="KF133" s="753"/>
      <c r="KG133" s="753"/>
      <c r="KH133" s="753"/>
      <c r="KI133" s="753"/>
      <c r="KJ133" s="754"/>
      <c r="KK133" s="765" t="s">
        <v>281</v>
      </c>
      <c r="KL133" s="738">
        <v>77</v>
      </c>
      <c r="KM133" s="738">
        <v>326</v>
      </c>
      <c r="KN133" s="715" t="s">
        <v>282</v>
      </c>
      <c r="KO133" s="646" t="s">
        <v>1131</v>
      </c>
      <c r="KP133" s="679">
        <v>805396</v>
      </c>
      <c r="KQ133" s="766" t="s">
        <v>1124</v>
      </c>
      <c r="KR133" s="750" t="s">
        <v>1125</v>
      </c>
      <c r="KS133" s="769" t="s">
        <v>1121</v>
      </c>
      <c r="KT133" s="770" t="s">
        <v>1126</v>
      </c>
      <c r="KU133" s="766" t="s">
        <v>1127</v>
      </c>
      <c r="KV133" s="750">
        <v>805396</v>
      </c>
      <c r="KW133" s="771" t="s">
        <v>1128</v>
      </c>
      <c r="KX133" s="750" t="s">
        <v>1126</v>
      </c>
      <c r="KY133" s="769" t="s">
        <v>1129</v>
      </c>
      <c r="KZ133" s="770" t="s">
        <v>1130</v>
      </c>
    </row>
    <row r="134" s="628" customFormat="1" customHeight="1" spans="1:312">
      <c r="A134" s="682" t="s">
        <v>300</v>
      </c>
      <c r="B134" s="683">
        <v>130</v>
      </c>
      <c r="C134" s="689" t="s">
        <v>1134</v>
      </c>
      <c r="D134" s="680">
        <v>806410</v>
      </c>
      <c r="E134" s="685">
        <v>40.95</v>
      </c>
      <c r="F134" s="685">
        <v>40.69</v>
      </c>
      <c r="G134" s="688">
        <v>0.019686</v>
      </c>
      <c r="H134" s="686">
        <v>0.019924</v>
      </c>
      <c r="I134" s="696">
        <v>1.75948</v>
      </c>
      <c r="J134" s="696">
        <v>1.76685</v>
      </c>
      <c r="K134" s="696">
        <v>1.77506</v>
      </c>
      <c r="L134" s="696">
        <v>1.78274</v>
      </c>
      <c r="M134" s="696">
        <v>1.78421</v>
      </c>
      <c r="N134" s="696">
        <v>1.78543</v>
      </c>
      <c r="O134" s="696">
        <v>1.7903</v>
      </c>
      <c r="P134" s="696">
        <v>1.79376</v>
      </c>
      <c r="Q134" s="697">
        <v>1.79699</v>
      </c>
      <c r="R134" s="697">
        <v>1.80025</v>
      </c>
      <c r="S134" s="697">
        <v>1.80117</v>
      </c>
      <c r="T134" s="701">
        <v>1.80204</v>
      </c>
      <c r="U134" s="697">
        <v>1.80592</v>
      </c>
      <c r="V134" s="697">
        <v>1.8061</v>
      </c>
      <c r="W134" s="697">
        <v>1.81077</v>
      </c>
      <c r="X134" s="697">
        <v>1.81994</v>
      </c>
      <c r="Y134" s="697">
        <v>1.8211</v>
      </c>
      <c r="Z134" s="697">
        <v>1.83112</v>
      </c>
      <c r="AA134" s="697">
        <v>1.84069</v>
      </c>
      <c r="AB134" s="697">
        <v>1.85767</v>
      </c>
      <c r="AC134" s="704">
        <v>3.17490239</v>
      </c>
      <c r="AD134" s="705">
        <v>-0.0156120621</v>
      </c>
      <c r="AE134" s="705">
        <v>0.028480108</v>
      </c>
      <c r="AF134" s="705">
        <v>0.00138932793</v>
      </c>
      <c r="AG134" s="705">
        <v>-9.1262591e-5</v>
      </c>
      <c r="AH134" s="705">
        <v>7.77598184e-6</v>
      </c>
      <c r="AI134" s="709">
        <v>0.2972</v>
      </c>
      <c r="AJ134" s="709">
        <v>0.2372</v>
      </c>
      <c r="AK134" s="709">
        <v>0.5679</v>
      </c>
      <c r="AL134" s="709">
        <v>0.2474</v>
      </c>
      <c r="AM134" s="709">
        <v>0.2344</v>
      </c>
      <c r="AN134" s="709">
        <v>0.5029</v>
      </c>
      <c r="AO134" s="709">
        <v>-0.0018</v>
      </c>
      <c r="AP134" s="709">
        <v>-0.0077</v>
      </c>
      <c r="AQ134" s="709">
        <v>0.0143</v>
      </c>
      <c r="AR134" s="709">
        <v>0.0068</v>
      </c>
      <c r="AS134" s="714">
        <v>5.1</v>
      </c>
      <c r="AT134" s="714">
        <v>5.1</v>
      </c>
      <c r="AU134" s="714">
        <v>5.1</v>
      </c>
      <c r="AV134" s="714">
        <v>5.2</v>
      </c>
      <c r="AW134" s="714">
        <v>5.3</v>
      </c>
      <c r="AX134" s="714">
        <v>5.3</v>
      </c>
      <c r="AY134" s="714">
        <v>5.4</v>
      </c>
      <c r="AZ134" s="714">
        <v>5.6</v>
      </c>
      <c r="BA134" s="714">
        <v>5.7</v>
      </c>
      <c r="BB134" s="714">
        <v>5.8</v>
      </c>
      <c r="BC134" s="714">
        <v>6</v>
      </c>
      <c r="BD134" s="714">
        <v>5.5</v>
      </c>
      <c r="BE134" s="714">
        <v>5.7</v>
      </c>
      <c r="BF134" s="714">
        <v>5.8</v>
      </c>
      <c r="BG134" s="714">
        <v>5.9</v>
      </c>
      <c r="BH134" s="714">
        <v>6</v>
      </c>
      <c r="BI134" s="714">
        <v>6</v>
      </c>
      <c r="BJ134" s="714">
        <v>6.1</v>
      </c>
      <c r="BK134" s="714">
        <v>6.2</v>
      </c>
      <c r="BL134" s="714">
        <v>6.3</v>
      </c>
      <c r="BM134" s="714">
        <v>6.4</v>
      </c>
      <c r="BN134" s="714">
        <v>6.6</v>
      </c>
      <c r="BO134" s="714">
        <v>5.7</v>
      </c>
      <c r="BP134" s="714">
        <v>5.8</v>
      </c>
      <c r="BQ134" s="714">
        <v>5.9</v>
      </c>
      <c r="BR134" s="714">
        <v>5.9</v>
      </c>
      <c r="BS134" s="714">
        <v>6</v>
      </c>
      <c r="BT134" s="714">
        <v>6.1</v>
      </c>
      <c r="BU134" s="714">
        <v>6.2</v>
      </c>
      <c r="BV134" s="714">
        <v>6.3</v>
      </c>
      <c r="BW134" s="714">
        <v>6.5</v>
      </c>
      <c r="BX134" s="714">
        <v>6.6</v>
      </c>
      <c r="BY134" s="714">
        <v>6.8</v>
      </c>
      <c r="BZ134" s="714">
        <v>5.8</v>
      </c>
      <c r="CA134" s="714">
        <v>5.9</v>
      </c>
      <c r="CB134" s="714">
        <v>6</v>
      </c>
      <c r="CC134" s="714">
        <v>6</v>
      </c>
      <c r="CD134" s="714">
        <v>6.1</v>
      </c>
      <c r="CE134" s="714">
        <v>6.2</v>
      </c>
      <c r="CF134" s="714">
        <v>6.3</v>
      </c>
      <c r="CG134" s="714">
        <v>6.4</v>
      </c>
      <c r="CH134" s="714">
        <v>6.5</v>
      </c>
      <c r="CI134" s="714">
        <v>6.7</v>
      </c>
      <c r="CJ134" s="714">
        <v>6.9</v>
      </c>
      <c r="CK134" s="714">
        <v>5.9</v>
      </c>
      <c r="CL134" s="715">
        <v>5.9</v>
      </c>
      <c r="CM134" s="715">
        <v>6</v>
      </c>
      <c r="CN134" s="715">
        <v>6.1</v>
      </c>
      <c r="CO134" s="715">
        <v>6.2</v>
      </c>
      <c r="CP134" s="715">
        <v>6.3</v>
      </c>
      <c r="CQ134" s="715">
        <v>6.4</v>
      </c>
      <c r="CR134" s="714">
        <v>6.6</v>
      </c>
      <c r="CS134" s="714">
        <v>6.7</v>
      </c>
      <c r="CT134" s="714">
        <v>6.9</v>
      </c>
      <c r="CU134" s="714">
        <v>7.1</v>
      </c>
      <c r="CV134" s="714">
        <v>6</v>
      </c>
      <c r="CW134" s="715">
        <v>6.1</v>
      </c>
      <c r="CX134" s="715">
        <v>6.2</v>
      </c>
      <c r="CY134" s="715">
        <v>6.3</v>
      </c>
      <c r="CZ134" s="715">
        <v>6.4</v>
      </c>
      <c r="DA134" s="715">
        <v>6.5</v>
      </c>
      <c r="DB134" s="715">
        <v>6.7</v>
      </c>
      <c r="DC134" s="714">
        <v>6.9</v>
      </c>
      <c r="DD134" s="714">
        <v>7.1</v>
      </c>
      <c r="DE134" s="714">
        <v>7.2</v>
      </c>
      <c r="DF134" s="714">
        <v>7.4</v>
      </c>
      <c r="DG134" s="714">
        <v>6.3</v>
      </c>
      <c r="DH134" s="715">
        <v>6.5</v>
      </c>
      <c r="DI134" s="715">
        <v>6.5</v>
      </c>
      <c r="DJ134" s="715">
        <v>6.6</v>
      </c>
      <c r="DK134" s="715">
        <v>6.7</v>
      </c>
      <c r="DL134" s="715">
        <v>6.9</v>
      </c>
      <c r="DM134" s="715">
        <v>7</v>
      </c>
      <c r="DN134" s="714">
        <v>7.3</v>
      </c>
      <c r="DO134" s="714">
        <v>7.5</v>
      </c>
      <c r="DP134" s="714">
        <v>7.6</v>
      </c>
      <c r="DQ134" s="714">
        <v>7.8</v>
      </c>
      <c r="DR134" s="714">
        <v>7.1</v>
      </c>
      <c r="DS134" s="715">
        <v>7.2</v>
      </c>
      <c r="DT134" s="715">
        <v>7.3</v>
      </c>
      <c r="DU134" s="715">
        <v>7.3</v>
      </c>
      <c r="DV134" s="715">
        <v>7.4</v>
      </c>
      <c r="DW134" s="715">
        <v>7.5</v>
      </c>
      <c r="DX134" s="715">
        <v>7.7</v>
      </c>
      <c r="DY134" s="714">
        <v>8</v>
      </c>
      <c r="DZ134" s="714">
        <v>8.2</v>
      </c>
      <c r="EA134" s="714">
        <v>8.4</v>
      </c>
      <c r="EB134" s="714">
        <v>8.6</v>
      </c>
      <c r="EC134" s="714">
        <v>7.3</v>
      </c>
      <c r="ED134" s="715">
        <v>7.3</v>
      </c>
      <c r="EE134" s="715">
        <v>7.4</v>
      </c>
      <c r="EF134" s="715">
        <v>7.4</v>
      </c>
      <c r="EG134" s="715">
        <v>7.5</v>
      </c>
      <c r="EH134" s="715">
        <v>7.6</v>
      </c>
      <c r="EI134" s="715">
        <v>7.8</v>
      </c>
      <c r="EJ134" s="714">
        <v>8</v>
      </c>
      <c r="EK134" s="714">
        <v>8.2</v>
      </c>
      <c r="EL134" s="714">
        <v>8.4</v>
      </c>
      <c r="EM134" s="714">
        <v>8.7</v>
      </c>
      <c r="EN134" s="714">
        <v>7.8</v>
      </c>
      <c r="EO134" s="715">
        <v>8</v>
      </c>
      <c r="EP134" s="715">
        <v>8.1</v>
      </c>
      <c r="EQ134" s="715">
        <v>8.1</v>
      </c>
      <c r="ER134" s="715">
        <v>8.2</v>
      </c>
      <c r="ES134" s="715">
        <v>8.4</v>
      </c>
      <c r="ET134" s="715">
        <v>8.7</v>
      </c>
      <c r="EU134" s="714">
        <v>8.9</v>
      </c>
      <c r="EV134" s="714">
        <v>9.2</v>
      </c>
      <c r="EW134" s="714">
        <v>9.4</v>
      </c>
      <c r="EX134" s="714">
        <v>9.6</v>
      </c>
      <c r="EY134" s="714">
        <v>3</v>
      </c>
      <c r="EZ134" s="715">
        <v>3.5</v>
      </c>
      <c r="FA134" s="715">
        <v>3.9</v>
      </c>
      <c r="FB134" s="715">
        <v>4.3</v>
      </c>
      <c r="FC134" s="715">
        <v>4.6</v>
      </c>
      <c r="FD134" s="715">
        <v>4.9</v>
      </c>
      <c r="FE134" s="715">
        <v>5.2</v>
      </c>
      <c r="FF134" s="714">
        <v>5.5</v>
      </c>
      <c r="FG134" s="714">
        <v>5.7</v>
      </c>
      <c r="FH134" s="714">
        <v>6</v>
      </c>
      <c r="FI134" s="714">
        <v>6.3</v>
      </c>
      <c r="FJ134" s="723">
        <v>5.38e-6</v>
      </c>
      <c r="FK134" s="723">
        <v>1.23e-8</v>
      </c>
      <c r="FL134" s="723">
        <v>-1.43e-11</v>
      </c>
      <c r="FM134" s="723">
        <v>5.75e-7</v>
      </c>
      <c r="FN134" s="723">
        <v>4.96e-10</v>
      </c>
      <c r="FO134" s="723">
        <v>0.263</v>
      </c>
      <c r="FP134" s="729">
        <v>1</v>
      </c>
      <c r="FQ134" s="729">
        <v>3</v>
      </c>
      <c r="FR134" s="729">
        <v>1</v>
      </c>
      <c r="FS134" s="729">
        <v>3</v>
      </c>
      <c r="FT134" s="729">
        <v>1</v>
      </c>
      <c r="FU134" s="729">
        <v>2</v>
      </c>
      <c r="FV134" s="681">
        <v>1</v>
      </c>
      <c r="FW134" s="729"/>
      <c r="FX134" s="729"/>
      <c r="FY134" s="729"/>
      <c r="FZ134" s="746">
        <v>637</v>
      </c>
      <c r="GA134" s="746">
        <v>663</v>
      </c>
      <c r="GB134" s="681">
        <v>590</v>
      </c>
      <c r="GC134" s="681">
        <v>613</v>
      </c>
      <c r="GD134" s="747">
        <v>0.9</v>
      </c>
      <c r="GE134" s="729"/>
      <c r="GF134" s="681">
        <v>54</v>
      </c>
      <c r="GG134" s="681">
        <v>64</v>
      </c>
      <c r="GH134" s="681">
        <v>47</v>
      </c>
      <c r="GI134" s="681">
        <v>50</v>
      </c>
      <c r="GJ134" s="681">
        <v>51</v>
      </c>
      <c r="GK134" s="681">
        <v>52</v>
      </c>
      <c r="GL134" s="681">
        <v>53</v>
      </c>
      <c r="GM134" s="681">
        <v>54</v>
      </c>
      <c r="GN134" s="681">
        <v>54</v>
      </c>
      <c r="GO134" s="681">
        <v>55</v>
      </c>
      <c r="GP134" s="681">
        <v>56</v>
      </c>
      <c r="GQ134" s="681">
        <v>56</v>
      </c>
      <c r="GR134" s="681">
        <v>56</v>
      </c>
      <c r="GS134" s="681">
        <v>57</v>
      </c>
      <c r="GT134" s="681">
        <v>57</v>
      </c>
      <c r="GU134" s="681">
        <v>58</v>
      </c>
      <c r="GV134" s="681">
        <v>58</v>
      </c>
      <c r="GW134" s="681">
        <v>59</v>
      </c>
      <c r="GX134" s="681">
        <v>60</v>
      </c>
      <c r="GY134" s="681">
        <v>60</v>
      </c>
      <c r="GZ134" s="681">
        <v>61</v>
      </c>
      <c r="HA134" s="681">
        <v>62</v>
      </c>
      <c r="HB134" s="681">
        <v>62</v>
      </c>
      <c r="HC134" s="681"/>
      <c r="HD134" s="750">
        <v>175</v>
      </c>
      <c r="HE134" s="681"/>
      <c r="HF134" s="681">
        <v>651</v>
      </c>
      <c r="HG134" s="681">
        <v>76</v>
      </c>
      <c r="HH134" s="714">
        <v>113.9</v>
      </c>
      <c r="HI134" s="714">
        <v>43.7</v>
      </c>
      <c r="HJ134" s="753">
        <v>0.303</v>
      </c>
      <c r="HK134" s="681">
        <v>92</v>
      </c>
      <c r="HL134" s="685">
        <v>1.8</v>
      </c>
      <c r="HM134" s="747">
        <v>4.35</v>
      </c>
      <c r="HN134" s="729" t="s">
        <v>1135</v>
      </c>
      <c r="HO134" s="729" t="s">
        <v>1136</v>
      </c>
      <c r="HP134" s="714">
        <v>-0.5</v>
      </c>
      <c r="HQ134" s="753">
        <v>0.8</v>
      </c>
      <c r="HR134" s="753">
        <v>0.93</v>
      </c>
      <c r="HS134" s="753">
        <v>0.992</v>
      </c>
      <c r="HT134" s="753">
        <v>0.999</v>
      </c>
      <c r="HU134" s="753">
        <v>0.999</v>
      </c>
      <c r="HV134" s="753">
        <v>0.999</v>
      </c>
      <c r="HW134" s="753">
        <v>0.999</v>
      </c>
      <c r="HX134" s="753">
        <v>0.999</v>
      </c>
      <c r="HY134" s="753">
        <v>0.999</v>
      </c>
      <c r="HZ134" s="753">
        <v>0.999</v>
      </c>
      <c r="IA134" s="753">
        <v>0.999</v>
      </c>
      <c r="IB134" s="753">
        <v>0.999</v>
      </c>
      <c r="IC134" s="753">
        <v>0.999</v>
      </c>
      <c r="ID134" s="753">
        <v>0.999</v>
      </c>
      <c r="IE134" s="753">
        <v>0.999</v>
      </c>
      <c r="IF134" s="753">
        <v>0.999</v>
      </c>
      <c r="IG134" s="753">
        <v>0.999</v>
      </c>
      <c r="IH134" s="753">
        <v>0.999</v>
      </c>
      <c r="II134" s="753">
        <v>0.999</v>
      </c>
      <c r="IJ134" s="753">
        <v>0.997</v>
      </c>
      <c r="IK134" s="753">
        <v>0.995</v>
      </c>
      <c r="IL134" s="753">
        <v>0.992</v>
      </c>
      <c r="IM134" s="753">
        <v>0.986</v>
      </c>
      <c r="IN134" s="753">
        <v>0.981</v>
      </c>
      <c r="IO134" s="753">
        <v>0.975</v>
      </c>
      <c r="IP134" s="753">
        <v>0.953</v>
      </c>
      <c r="IQ134" s="753">
        <v>0.91</v>
      </c>
      <c r="IR134" s="753">
        <v>0.817</v>
      </c>
      <c r="IS134" s="753">
        <v>0.616</v>
      </c>
      <c r="IT134" s="753">
        <v>0.27</v>
      </c>
      <c r="IU134" s="753"/>
      <c r="IV134" s="753"/>
      <c r="IW134" s="753"/>
      <c r="IX134" s="753"/>
      <c r="IY134" s="753"/>
      <c r="IZ134" s="753"/>
      <c r="JA134" s="754">
        <v>0.64</v>
      </c>
      <c r="JB134" s="754">
        <v>0.865</v>
      </c>
      <c r="JC134" s="754">
        <v>0.984</v>
      </c>
      <c r="JD134" s="754">
        <v>0.998</v>
      </c>
      <c r="JE134" s="754">
        <v>0.998</v>
      </c>
      <c r="JF134" s="754">
        <v>0.998</v>
      </c>
      <c r="JG134" s="754">
        <v>0.998</v>
      </c>
      <c r="JH134" s="754">
        <v>0.998</v>
      </c>
      <c r="JI134" s="754">
        <v>0.998</v>
      </c>
      <c r="JJ134" s="754">
        <v>0.998</v>
      </c>
      <c r="JK134" s="754">
        <v>0.998</v>
      </c>
      <c r="JL134" s="754">
        <v>0.998</v>
      </c>
      <c r="JM134" s="754">
        <v>0.998</v>
      </c>
      <c r="JN134" s="754">
        <v>0.998</v>
      </c>
      <c r="JO134" s="754">
        <v>0.998</v>
      </c>
      <c r="JP134" s="754">
        <v>0.998</v>
      </c>
      <c r="JQ134" s="754">
        <v>0.998</v>
      </c>
      <c r="JR134" s="754">
        <v>0.998</v>
      </c>
      <c r="JS134" s="754">
        <v>0.998</v>
      </c>
      <c r="JT134" s="754">
        <v>0.995</v>
      </c>
      <c r="JU134" s="754">
        <v>0.992</v>
      </c>
      <c r="JV134" s="754">
        <v>0.985</v>
      </c>
      <c r="JW134" s="754">
        <v>0.976</v>
      </c>
      <c r="JX134" s="754">
        <v>0.953</v>
      </c>
      <c r="JY134" s="754">
        <v>0.928</v>
      </c>
      <c r="JZ134" s="754">
        <v>0.885</v>
      </c>
      <c r="KA134" s="754">
        <v>0.804</v>
      </c>
      <c r="KB134" s="754">
        <v>0.644</v>
      </c>
      <c r="KC134" s="754">
        <v>0.364</v>
      </c>
      <c r="KD134" s="754">
        <v>0.071</v>
      </c>
      <c r="KE134" s="754"/>
      <c r="KF134" s="754"/>
      <c r="KG134" s="754"/>
      <c r="KH134" s="754"/>
      <c r="KI134" s="754"/>
      <c r="KJ134" s="754"/>
      <c r="KK134" s="765" t="s">
        <v>281</v>
      </c>
      <c r="KL134" s="738">
        <v>93</v>
      </c>
      <c r="KM134" s="738">
        <v>405</v>
      </c>
      <c r="KN134" s="646" t="s">
        <v>282</v>
      </c>
      <c r="KO134" s="646" t="s">
        <v>1134</v>
      </c>
      <c r="KP134" s="680">
        <v>806410</v>
      </c>
      <c r="KQ134" s="766" t="s">
        <v>1137</v>
      </c>
      <c r="KR134" s="750" t="s">
        <v>1138</v>
      </c>
      <c r="KS134" s="769" t="s">
        <v>1139</v>
      </c>
      <c r="KT134" s="770" t="s">
        <v>1140</v>
      </c>
      <c r="KU134" s="766" t="s">
        <v>1141</v>
      </c>
      <c r="KV134" s="750">
        <v>806407</v>
      </c>
      <c r="KW134" s="771" t="s">
        <v>1142</v>
      </c>
      <c r="KX134" s="750" t="s">
        <v>1143</v>
      </c>
      <c r="KY134" s="769" t="s">
        <v>1144</v>
      </c>
      <c r="KZ134" s="770" t="s">
        <v>1130</v>
      </c>
    </row>
    <row r="135" s="628" customFormat="1" customHeight="1" spans="1:312">
      <c r="A135" s="682" t="s">
        <v>374</v>
      </c>
      <c r="B135" s="683">
        <v>131</v>
      </c>
      <c r="C135" s="689" t="s">
        <v>1145</v>
      </c>
      <c r="D135" s="680">
        <v>834373</v>
      </c>
      <c r="E135" s="685">
        <v>37.34</v>
      </c>
      <c r="F135" s="685">
        <v>37.09</v>
      </c>
      <c r="G135" s="688">
        <v>0.022333</v>
      </c>
      <c r="H135" s="686">
        <v>0.022629</v>
      </c>
      <c r="I135" s="696">
        <v>1.78596</v>
      </c>
      <c r="J135" s="696">
        <v>1.79278</v>
      </c>
      <c r="K135" s="696">
        <v>1.80056</v>
      </c>
      <c r="L135" s="696">
        <v>1.80829</v>
      </c>
      <c r="M135" s="696">
        <v>1.80983</v>
      </c>
      <c r="N135" s="696">
        <v>1.81113</v>
      </c>
      <c r="O135" s="696">
        <v>1.81639</v>
      </c>
      <c r="P135" s="696">
        <v>1.82019</v>
      </c>
      <c r="Q135" s="697">
        <v>1.82376</v>
      </c>
      <c r="R135" s="697">
        <v>1.82742</v>
      </c>
      <c r="S135" s="697">
        <v>1.82845</v>
      </c>
      <c r="T135" s="701">
        <v>1.82942</v>
      </c>
      <c r="U135" s="697">
        <v>1.83381</v>
      </c>
      <c r="V135" s="697">
        <v>1.834</v>
      </c>
      <c r="W135" s="697">
        <v>1.8393</v>
      </c>
      <c r="X135" s="697">
        <v>1.84975</v>
      </c>
      <c r="Y135" s="697">
        <v>1.85108</v>
      </c>
      <c r="Z135" s="697">
        <v>1.86275</v>
      </c>
      <c r="AA135" s="697">
        <v>1.87398</v>
      </c>
      <c r="AB135" s="697">
        <v>1.89424</v>
      </c>
      <c r="AC135" s="704">
        <v>3.26066843</v>
      </c>
      <c r="AD135" s="705">
        <v>-0.0143061602</v>
      </c>
      <c r="AE135" s="705">
        <v>0.0342503276</v>
      </c>
      <c r="AF135" s="705">
        <v>0.000945194718</v>
      </c>
      <c r="AG135" s="705">
        <v>1.66625589e-5</v>
      </c>
      <c r="AH135" s="705">
        <v>3.78744906e-6</v>
      </c>
      <c r="AI135" s="709">
        <v>0.2946</v>
      </c>
      <c r="AJ135" s="709">
        <v>0.2373</v>
      </c>
      <c r="AK135" s="709">
        <v>0.5821</v>
      </c>
      <c r="AL135" s="709">
        <v>0.2453</v>
      </c>
      <c r="AM135" s="709">
        <v>0.2342</v>
      </c>
      <c r="AN135" s="709">
        <v>0.5157</v>
      </c>
      <c r="AO135" s="709">
        <v>-0.0017</v>
      </c>
      <c r="AP135" s="709">
        <v>0.0005</v>
      </c>
      <c r="AQ135" s="709">
        <v>0.0084</v>
      </c>
      <c r="AR135" s="709">
        <v>0.0039</v>
      </c>
      <c r="AS135" s="714">
        <v>7.6</v>
      </c>
      <c r="AT135" s="714">
        <v>7.6</v>
      </c>
      <c r="AU135" s="714">
        <v>7.6</v>
      </c>
      <c r="AV135" s="714">
        <v>7.6</v>
      </c>
      <c r="AW135" s="714">
        <v>7.7</v>
      </c>
      <c r="AX135" s="714">
        <v>7.8</v>
      </c>
      <c r="AY135" s="714">
        <v>7.9</v>
      </c>
      <c r="AZ135" s="714">
        <v>8.1</v>
      </c>
      <c r="BA135" s="714">
        <v>8.3</v>
      </c>
      <c r="BB135" s="714">
        <v>8.5</v>
      </c>
      <c r="BC135" s="714">
        <v>8.6</v>
      </c>
      <c r="BD135" s="714">
        <v>8</v>
      </c>
      <c r="BE135" s="714">
        <v>8.1</v>
      </c>
      <c r="BF135" s="714">
        <v>8.2</v>
      </c>
      <c r="BG135" s="714">
        <v>8.3</v>
      </c>
      <c r="BH135" s="714">
        <v>8.4</v>
      </c>
      <c r="BI135" s="714">
        <v>8.6</v>
      </c>
      <c r="BJ135" s="714">
        <v>8.7</v>
      </c>
      <c r="BK135" s="714">
        <v>8.9</v>
      </c>
      <c r="BL135" s="714">
        <v>9</v>
      </c>
      <c r="BM135" s="714">
        <v>9.1</v>
      </c>
      <c r="BN135" s="714">
        <v>9.2</v>
      </c>
      <c r="BO135" s="714">
        <v>8.4</v>
      </c>
      <c r="BP135" s="714">
        <v>8.5</v>
      </c>
      <c r="BQ135" s="714">
        <v>8.6</v>
      </c>
      <c r="BR135" s="714">
        <v>8.7</v>
      </c>
      <c r="BS135" s="714">
        <v>8.8</v>
      </c>
      <c r="BT135" s="714">
        <v>9</v>
      </c>
      <c r="BU135" s="714">
        <v>9.1</v>
      </c>
      <c r="BV135" s="714">
        <v>9.3</v>
      </c>
      <c r="BW135" s="714">
        <v>9.4</v>
      </c>
      <c r="BX135" s="714">
        <v>9.5</v>
      </c>
      <c r="BY135" s="714">
        <v>9.6</v>
      </c>
      <c r="BZ135" s="714">
        <v>8.5</v>
      </c>
      <c r="CA135" s="714">
        <v>8.6</v>
      </c>
      <c r="CB135" s="714">
        <v>8.7</v>
      </c>
      <c r="CC135" s="714">
        <v>8.8</v>
      </c>
      <c r="CD135" s="714">
        <v>8.9</v>
      </c>
      <c r="CE135" s="714">
        <v>9</v>
      </c>
      <c r="CF135" s="714">
        <v>9.2</v>
      </c>
      <c r="CG135" s="714">
        <v>9.3</v>
      </c>
      <c r="CH135" s="714">
        <v>9.4</v>
      </c>
      <c r="CI135" s="714">
        <v>9.5</v>
      </c>
      <c r="CJ135" s="714">
        <v>9.6</v>
      </c>
      <c r="CK135" s="714">
        <v>8.6</v>
      </c>
      <c r="CL135" s="715">
        <v>8.7</v>
      </c>
      <c r="CM135" s="715">
        <v>8.8</v>
      </c>
      <c r="CN135" s="715">
        <v>8.8</v>
      </c>
      <c r="CO135" s="715">
        <v>8.9</v>
      </c>
      <c r="CP135" s="715">
        <v>9.1</v>
      </c>
      <c r="CQ135" s="715">
        <v>9.3</v>
      </c>
      <c r="CR135" s="714">
        <v>9.5</v>
      </c>
      <c r="CS135" s="714">
        <v>9.6</v>
      </c>
      <c r="CT135" s="714">
        <v>9.7</v>
      </c>
      <c r="CU135" s="714">
        <v>9.8</v>
      </c>
      <c r="CV135" s="714">
        <v>8.9</v>
      </c>
      <c r="CW135" s="715">
        <v>9</v>
      </c>
      <c r="CX135" s="715">
        <v>9.1</v>
      </c>
      <c r="CY135" s="715">
        <v>9.2</v>
      </c>
      <c r="CZ135" s="715">
        <v>9.4</v>
      </c>
      <c r="DA135" s="715">
        <v>9.6</v>
      </c>
      <c r="DB135" s="715">
        <v>9.7</v>
      </c>
      <c r="DC135" s="714">
        <v>9.9</v>
      </c>
      <c r="DD135" s="714">
        <v>10.1</v>
      </c>
      <c r="DE135" s="714">
        <v>10.2</v>
      </c>
      <c r="DF135" s="714">
        <v>10.3</v>
      </c>
      <c r="DG135" s="714">
        <v>9.3</v>
      </c>
      <c r="DH135" s="715">
        <v>9.4</v>
      </c>
      <c r="DI135" s="715">
        <v>9.5</v>
      </c>
      <c r="DJ135" s="715">
        <v>9.6</v>
      </c>
      <c r="DK135" s="715">
        <v>9.7</v>
      </c>
      <c r="DL135" s="715">
        <v>9.9</v>
      </c>
      <c r="DM135" s="715">
        <v>10.2</v>
      </c>
      <c r="DN135" s="714">
        <v>10.4</v>
      </c>
      <c r="DO135" s="714">
        <v>10.6</v>
      </c>
      <c r="DP135" s="714">
        <v>10.8</v>
      </c>
      <c r="DQ135" s="714">
        <v>10.9</v>
      </c>
      <c r="DR135" s="714">
        <v>10</v>
      </c>
      <c r="DS135" s="715">
        <v>10.2</v>
      </c>
      <c r="DT135" s="715">
        <v>10.5</v>
      </c>
      <c r="DU135" s="715">
        <v>10.7</v>
      </c>
      <c r="DV135" s="715">
        <v>10.8</v>
      </c>
      <c r="DW135" s="715">
        <v>11</v>
      </c>
      <c r="DX135" s="715">
        <v>11.3</v>
      </c>
      <c r="DY135" s="714">
        <v>11.5</v>
      </c>
      <c r="DZ135" s="714">
        <v>11.7</v>
      </c>
      <c r="EA135" s="714">
        <v>11.8</v>
      </c>
      <c r="EB135" s="714">
        <v>11.9</v>
      </c>
      <c r="EC135" s="714">
        <v>10.1</v>
      </c>
      <c r="ED135" s="715">
        <v>10.3</v>
      </c>
      <c r="EE135" s="715">
        <v>10.5</v>
      </c>
      <c r="EF135" s="715">
        <v>10.7</v>
      </c>
      <c r="EG135" s="715">
        <v>10.8</v>
      </c>
      <c r="EH135" s="715">
        <v>11</v>
      </c>
      <c r="EI135" s="715">
        <v>11.3</v>
      </c>
      <c r="EJ135" s="714">
        <v>11.6</v>
      </c>
      <c r="EK135" s="714">
        <v>11.7</v>
      </c>
      <c r="EL135" s="714">
        <v>11.8</v>
      </c>
      <c r="EM135" s="714">
        <v>12</v>
      </c>
      <c r="EN135" s="714">
        <v>11.1</v>
      </c>
      <c r="EO135" s="715">
        <v>11.3</v>
      </c>
      <c r="EP135" s="715">
        <v>11.5</v>
      </c>
      <c r="EQ135" s="715">
        <v>11.7</v>
      </c>
      <c r="ER135" s="715">
        <v>11.9</v>
      </c>
      <c r="ES135" s="715">
        <v>12</v>
      </c>
      <c r="ET135" s="715">
        <v>12.5</v>
      </c>
      <c r="EU135" s="714">
        <v>12.8</v>
      </c>
      <c r="EV135" s="714">
        <v>13.1</v>
      </c>
      <c r="EW135" s="714">
        <v>13.2</v>
      </c>
      <c r="EX135" s="714">
        <v>13.4</v>
      </c>
      <c r="EY135" s="714">
        <v>5.7</v>
      </c>
      <c r="EZ135" s="715">
        <v>6.2</v>
      </c>
      <c r="FA135" s="715">
        <v>6.7</v>
      </c>
      <c r="FB135" s="715">
        <v>7</v>
      </c>
      <c r="FC135" s="715">
        <v>7.3</v>
      </c>
      <c r="FD135" s="715">
        <v>7.7</v>
      </c>
      <c r="FE135" s="715">
        <v>8.1</v>
      </c>
      <c r="FF135" s="714">
        <v>8.4</v>
      </c>
      <c r="FG135" s="714">
        <v>8.6</v>
      </c>
      <c r="FH135" s="714">
        <v>8.8</v>
      </c>
      <c r="FI135" s="714">
        <v>9</v>
      </c>
      <c r="FJ135" s="723">
        <v>9e-6</v>
      </c>
      <c r="FK135" s="723">
        <v>1.29e-8</v>
      </c>
      <c r="FL135" s="723">
        <v>-2.11e-11</v>
      </c>
      <c r="FM135" s="723">
        <v>7.75e-7</v>
      </c>
      <c r="FN135" s="723">
        <v>7.39e-10</v>
      </c>
      <c r="FO135" s="723">
        <v>0.256</v>
      </c>
      <c r="FP135" s="729">
        <v>1</v>
      </c>
      <c r="FQ135" s="729">
        <v>3</v>
      </c>
      <c r="FR135" s="729">
        <v>1</v>
      </c>
      <c r="FS135" s="729">
        <v>3</v>
      </c>
      <c r="FT135" s="729">
        <v>1</v>
      </c>
      <c r="FU135" s="729">
        <v>1</v>
      </c>
      <c r="FV135" s="681">
        <v>1</v>
      </c>
      <c r="FW135" s="729"/>
      <c r="FX135" s="729"/>
      <c r="FY135" s="729"/>
      <c r="FZ135" s="746">
        <v>596</v>
      </c>
      <c r="GA135" s="746">
        <v>626</v>
      </c>
      <c r="GB135" s="681">
        <v>535</v>
      </c>
      <c r="GC135" s="681">
        <v>573</v>
      </c>
      <c r="GD135" s="747">
        <v>0.99</v>
      </c>
      <c r="GE135" s="729"/>
      <c r="GF135" s="681">
        <v>54</v>
      </c>
      <c r="GG135" s="681">
        <v>69</v>
      </c>
      <c r="GH135" s="681">
        <v>48</v>
      </c>
      <c r="GI135" s="681">
        <v>50</v>
      </c>
      <c r="GJ135" s="681">
        <v>51</v>
      </c>
      <c r="GK135" s="681">
        <v>53</v>
      </c>
      <c r="GL135" s="681">
        <v>54</v>
      </c>
      <c r="GM135" s="681">
        <v>54</v>
      </c>
      <c r="GN135" s="681">
        <v>55</v>
      </c>
      <c r="GO135" s="681">
        <v>56</v>
      </c>
      <c r="GP135" s="681">
        <v>56</v>
      </c>
      <c r="GQ135" s="681">
        <v>57</v>
      </c>
      <c r="GR135" s="681">
        <v>57</v>
      </c>
      <c r="GS135" s="681">
        <v>57</v>
      </c>
      <c r="GT135" s="681">
        <v>58</v>
      </c>
      <c r="GU135" s="681">
        <v>58</v>
      </c>
      <c r="GV135" s="681">
        <v>59</v>
      </c>
      <c r="GW135" s="681">
        <v>60</v>
      </c>
      <c r="GX135" s="681">
        <v>61</v>
      </c>
      <c r="GY135" s="681">
        <v>62</v>
      </c>
      <c r="GZ135" s="681">
        <v>63</v>
      </c>
      <c r="HA135" s="681">
        <v>64</v>
      </c>
      <c r="HB135" s="681">
        <v>65</v>
      </c>
      <c r="HC135" s="681"/>
      <c r="HD135" s="750">
        <v>150</v>
      </c>
      <c r="HE135" s="681"/>
      <c r="HF135" s="681">
        <v>631</v>
      </c>
      <c r="HG135" s="681">
        <v>80</v>
      </c>
      <c r="HH135" s="714">
        <v>110.9</v>
      </c>
      <c r="HI135" s="714">
        <v>41.6</v>
      </c>
      <c r="HJ135" s="753">
        <v>0.335</v>
      </c>
      <c r="HK135" s="681">
        <v>72</v>
      </c>
      <c r="HL135" s="685">
        <v>2.07</v>
      </c>
      <c r="HM135" s="747">
        <v>4.56</v>
      </c>
      <c r="HN135" s="729" t="s">
        <v>1146</v>
      </c>
      <c r="HO135" s="729" t="s">
        <v>700</v>
      </c>
      <c r="HP135" s="714">
        <v>-0.4</v>
      </c>
      <c r="HQ135" s="753">
        <v>0.828</v>
      </c>
      <c r="HR135" s="753">
        <v>0.932</v>
      </c>
      <c r="HS135" s="753">
        <v>0.967</v>
      </c>
      <c r="HT135" s="753">
        <v>0.983</v>
      </c>
      <c r="HU135" s="753">
        <v>0.992</v>
      </c>
      <c r="HV135" s="753">
        <v>0.999</v>
      </c>
      <c r="HW135" s="753">
        <v>0.999</v>
      </c>
      <c r="HX135" s="753">
        <v>0.999</v>
      </c>
      <c r="HY135" s="753">
        <v>0.999</v>
      </c>
      <c r="HZ135" s="753">
        <v>0.999</v>
      </c>
      <c r="IA135" s="753">
        <v>0.999</v>
      </c>
      <c r="IB135" s="753">
        <v>0.999</v>
      </c>
      <c r="IC135" s="753">
        <v>0.999</v>
      </c>
      <c r="ID135" s="753">
        <v>0.999</v>
      </c>
      <c r="IE135" s="753">
        <v>0.999</v>
      </c>
      <c r="IF135" s="753">
        <v>0.999</v>
      </c>
      <c r="IG135" s="753">
        <v>0.999</v>
      </c>
      <c r="IH135" s="753">
        <v>0.999</v>
      </c>
      <c r="II135" s="753">
        <v>0.997</v>
      </c>
      <c r="IJ135" s="753">
        <v>0.994</v>
      </c>
      <c r="IK135" s="753">
        <v>0.991</v>
      </c>
      <c r="IL135" s="753">
        <v>0.986</v>
      </c>
      <c r="IM135" s="753">
        <v>0.983</v>
      </c>
      <c r="IN135" s="753">
        <v>0.964</v>
      </c>
      <c r="IO135" s="753">
        <v>0.942</v>
      </c>
      <c r="IP135" s="753">
        <v>0.901</v>
      </c>
      <c r="IQ135" s="753">
        <v>0.809</v>
      </c>
      <c r="IR135" s="753">
        <v>0.605</v>
      </c>
      <c r="IS135" s="753">
        <v>0.25</v>
      </c>
      <c r="IT135" s="753"/>
      <c r="IU135" s="753"/>
      <c r="IV135" s="753"/>
      <c r="IW135" s="753"/>
      <c r="IX135" s="753"/>
      <c r="IY135" s="753"/>
      <c r="IZ135" s="753"/>
      <c r="JA135" s="754">
        <v>0.685</v>
      </c>
      <c r="JB135" s="754">
        <v>0.864</v>
      </c>
      <c r="JC135" s="754">
        <v>0.933</v>
      </c>
      <c r="JD135" s="754">
        <v>0.962</v>
      </c>
      <c r="JE135" s="754">
        <v>0.98</v>
      </c>
      <c r="JF135" s="754">
        <v>0.998</v>
      </c>
      <c r="JG135" s="754">
        <v>0.998</v>
      </c>
      <c r="JH135" s="754">
        <v>0.998</v>
      </c>
      <c r="JI135" s="754">
        <v>0.998</v>
      </c>
      <c r="JJ135" s="754">
        <v>0.998</v>
      </c>
      <c r="JK135" s="754">
        <v>0.998</v>
      </c>
      <c r="JL135" s="754">
        <v>0.998</v>
      </c>
      <c r="JM135" s="754">
        <v>0.998</v>
      </c>
      <c r="JN135" s="754">
        <v>0.998</v>
      </c>
      <c r="JO135" s="754">
        <v>0.996</v>
      </c>
      <c r="JP135" s="754">
        <v>0.995</v>
      </c>
      <c r="JQ135" s="754">
        <v>0.995</v>
      </c>
      <c r="JR135" s="754">
        <v>0.994</v>
      </c>
      <c r="JS135" s="754">
        <v>0.989</v>
      </c>
      <c r="JT135" s="754">
        <v>0.984</v>
      </c>
      <c r="JU135" s="754">
        <v>0.977</v>
      </c>
      <c r="JV135" s="754">
        <v>0.967</v>
      </c>
      <c r="JW135" s="754">
        <v>0.952</v>
      </c>
      <c r="JX135" s="754">
        <v>0.913</v>
      </c>
      <c r="JY135" s="754">
        <v>0.871</v>
      </c>
      <c r="JZ135" s="754">
        <v>0.792</v>
      </c>
      <c r="KA135" s="754">
        <v>0.633</v>
      </c>
      <c r="KB135" s="754">
        <v>0.343</v>
      </c>
      <c r="KC135" s="754">
        <v>0.057</v>
      </c>
      <c r="KD135" s="754"/>
      <c r="KE135" s="754"/>
      <c r="KF135" s="754"/>
      <c r="KG135" s="754"/>
      <c r="KH135" s="754"/>
      <c r="KI135" s="754"/>
      <c r="KJ135" s="754"/>
      <c r="KK135" s="765" t="s">
        <v>281</v>
      </c>
      <c r="KL135" s="738">
        <v>64</v>
      </c>
      <c r="KM135" s="738">
        <v>292</v>
      </c>
      <c r="KN135" s="646" t="s">
        <v>339</v>
      </c>
      <c r="KO135" s="646" t="s">
        <v>1145</v>
      </c>
      <c r="KP135" s="680">
        <v>834373</v>
      </c>
      <c r="KQ135" s="766" t="s">
        <v>1147</v>
      </c>
      <c r="KR135" s="750" t="s">
        <v>1148</v>
      </c>
      <c r="KS135" s="769" t="s">
        <v>1149</v>
      </c>
      <c r="KT135" s="770" t="s">
        <v>1148</v>
      </c>
      <c r="KU135" s="766" t="s">
        <v>1150</v>
      </c>
      <c r="KV135" s="750">
        <v>834373</v>
      </c>
      <c r="KW135" s="771" t="s">
        <v>1151</v>
      </c>
      <c r="KX135" s="750" t="s">
        <v>1152</v>
      </c>
      <c r="KY135" s="769" t="s">
        <v>1153</v>
      </c>
      <c r="KZ135" s="770" t="s">
        <v>1152</v>
      </c>
    </row>
    <row r="136" s="628" customFormat="1" customHeight="1" spans="1:312">
      <c r="A136" s="682" t="s">
        <v>277</v>
      </c>
      <c r="B136" s="683">
        <v>132</v>
      </c>
      <c r="C136" s="684" t="s">
        <v>1154</v>
      </c>
      <c r="D136" s="679">
        <v>834373</v>
      </c>
      <c r="E136" s="685">
        <v>37.32</v>
      </c>
      <c r="F136" s="685">
        <v>37.06</v>
      </c>
      <c r="G136" s="688">
        <v>0.02235</v>
      </c>
      <c r="H136" s="686">
        <v>0.022645</v>
      </c>
      <c r="I136" s="696"/>
      <c r="J136" s="696"/>
      <c r="K136" s="696"/>
      <c r="L136" s="696">
        <v>1.80833</v>
      </c>
      <c r="M136" s="696">
        <v>1.80986</v>
      </c>
      <c r="N136" s="696">
        <v>1.81115</v>
      </c>
      <c r="O136" s="696">
        <v>1.8164</v>
      </c>
      <c r="P136" s="696">
        <v>1.82018</v>
      </c>
      <c r="Q136" s="697">
        <v>1.82375</v>
      </c>
      <c r="R136" s="697">
        <v>1.8274</v>
      </c>
      <c r="S136" s="697">
        <v>1.82843</v>
      </c>
      <c r="T136" s="701">
        <v>1.8294</v>
      </c>
      <c r="U136" s="697">
        <v>1.83379</v>
      </c>
      <c r="V136" s="697">
        <v>1.83399</v>
      </c>
      <c r="W136" s="697">
        <v>1.83929</v>
      </c>
      <c r="X136" s="697">
        <v>1.84975</v>
      </c>
      <c r="Y136" s="697">
        <v>1.85108</v>
      </c>
      <c r="Z136" s="697">
        <v>1.86267</v>
      </c>
      <c r="AA136" s="697">
        <v>1.87385</v>
      </c>
      <c r="AB136" s="697">
        <v>1.89398</v>
      </c>
      <c r="AC136" s="704">
        <v>3.26143209</v>
      </c>
      <c r="AD136" s="705">
        <v>-0.0143517211</v>
      </c>
      <c r="AE136" s="705">
        <v>0.033243497</v>
      </c>
      <c r="AF136" s="705">
        <v>0.00138002825</v>
      </c>
      <c r="AG136" s="705">
        <v>-5.71390956e-5</v>
      </c>
      <c r="AH136" s="705">
        <v>7.72746022e-6</v>
      </c>
      <c r="AI136" s="709">
        <v>0.2949</v>
      </c>
      <c r="AJ136" s="709">
        <v>0.2371</v>
      </c>
      <c r="AK136" s="709">
        <v>0.5781</v>
      </c>
      <c r="AL136" s="709">
        <v>0.2455</v>
      </c>
      <c r="AM136" s="709">
        <v>0.234</v>
      </c>
      <c r="AN136" s="709">
        <v>0.5118</v>
      </c>
      <c r="AO136" s="709">
        <v>-0.0016</v>
      </c>
      <c r="AP136" s="709">
        <v>-0.0035</v>
      </c>
      <c r="AQ136" s="709">
        <v>0.0061</v>
      </c>
      <c r="AR136" s="709">
        <v>0.0022</v>
      </c>
      <c r="AS136" s="714">
        <v>7.2</v>
      </c>
      <c r="AT136" s="716">
        <v>7.1</v>
      </c>
      <c r="AU136" s="716">
        <v>7.2</v>
      </c>
      <c r="AV136" s="716">
        <v>7.3</v>
      </c>
      <c r="AW136" s="716">
        <v>7.4</v>
      </c>
      <c r="AX136" s="716">
        <v>7.5</v>
      </c>
      <c r="AY136" s="716">
        <v>7.6</v>
      </c>
      <c r="AZ136" s="716">
        <v>7.7</v>
      </c>
      <c r="BA136" s="716">
        <v>7.8</v>
      </c>
      <c r="BB136" s="716">
        <v>7.9</v>
      </c>
      <c r="BC136" s="716">
        <v>8</v>
      </c>
      <c r="BD136" s="716">
        <v>7.4</v>
      </c>
      <c r="BE136" s="716">
        <v>7.4</v>
      </c>
      <c r="BF136" s="716">
        <v>7.5</v>
      </c>
      <c r="BG136" s="716">
        <v>7.6</v>
      </c>
      <c r="BH136" s="716">
        <v>7.7</v>
      </c>
      <c r="BI136" s="716">
        <v>7.8</v>
      </c>
      <c r="BJ136" s="716">
        <v>7.9</v>
      </c>
      <c r="BK136" s="716">
        <v>8</v>
      </c>
      <c r="BL136" s="716">
        <v>8.2</v>
      </c>
      <c r="BM136" s="716">
        <v>8.3</v>
      </c>
      <c r="BN136" s="716">
        <v>8.3</v>
      </c>
      <c r="BO136" s="716">
        <v>8.1</v>
      </c>
      <c r="BP136" s="716">
        <v>8.1</v>
      </c>
      <c r="BQ136" s="716">
        <v>8.2</v>
      </c>
      <c r="BR136" s="716">
        <v>8.3</v>
      </c>
      <c r="BS136" s="716">
        <v>8.4</v>
      </c>
      <c r="BT136" s="716">
        <v>8.6</v>
      </c>
      <c r="BU136" s="716">
        <v>8.7</v>
      </c>
      <c r="BV136" s="716">
        <v>8.9</v>
      </c>
      <c r="BW136" s="716">
        <v>9</v>
      </c>
      <c r="BX136" s="716">
        <v>9.1</v>
      </c>
      <c r="BY136" s="716">
        <v>9.3</v>
      </c>
      <c r="BZ136" s="716">
        <v>8.2</v>
      </c>
      <c r="CA136" s="716">
        <v>8.2</v>
      </c>
      <c r="CB136" s="716">
        <v>8.2</v>
      </c>
      <c r="CC136" s="716">
        <v>8.4</v>
      </c>
      <c r="CD136" s="716">
        <v>8.5</v>
      </c>
      <c r="CE136" s="716">
        <v>8.7</v>
      </c>
      <c r="CF136" s="716">
        <v>8.8</v>
      </c>
      <c r="CG136" s="716">
        <v>9</v>
      </c>
      <c r="CH136" s="716">
        <v>9.1</v>
      </c>
      <c r="CI136" s="716">
        <v>9.2</v>
      </c>
      <c r="CJ136" s="716">
        <v>9.4</v>
      </c>
      <c r="CK136" s="716">
        <v>8.2</v>
      </c>
      <c r="CL136" s="719">
        <v>8.2</v>
      </c>
      <c r="CM136" s="719">
        <v>8.3</v>
      </c>
      <c r="CN136" s="719">
        <v>8.4</v>
      </c>
      <c r="CO136" s="719">
        <v>8.6</v>
      </c>
      <c r="CP136" s="719">
        <v>8.7</v>
      </c>
      <c r="CQ136" s="719">
        <v>8.9</v>
      </c>
      <c r="CR136" s="716">
        <v>9.1</v>
      </c>
      <c r="CS136" s="716">
        <v>9.2</v>
      </c>
      <c r="CT136" s="716">
        <v>9.3</v>
      </c>
      <c r="CU136" s="716">
        <v>9.4</v>
      </c>
      <c r="CV136" s="716">
        <v>8.5</v>
      </c>
      <c r="CW136" s="719">
        <v>8.6</v>
      </c>
      <c r="CX136" s="719">
        <v>8.7</v>
      </c>
      <c r="CY136" s="719">
        <v>8.8</v>
      </c>
      <c r="CZ136" s="719">
        <v>8.9</v>
      </c>
      <c r="DA136" s="719">
        <v>9.1</v>
      </c>
      <c r="DB136" s="719">
        <v>9.3</v>
      </c>
      <c r="DC136" s="716">
        <v>9.5</v>
      </c>
      <c r="DD136" s="716">
        <v>9.6</v>
      </c>
      <c r="DE136" s="716">
        <v>9.8</v>
      </c>
      <c r="DF136" s="716">
        <v>9.9</v>
      </c>
      <c r="DG136" s="716">
        <v>8.9</v>
      </c>
      <c r="DH136" s="719">
        <v>9</v>
      </c>
      <c r="DI136" s="719">
        <v>9.1</v>
      </c>
      <c r="DJ136" s="719">
        <v>9.2</v>
      </c>
      <c r="DK136" s="719">
        <v>9.4</v>
      </c>
      <c r="DL136" s="719">
        <v>9.6</v>
      </c>
      <c r="DM136" s="719">
        <v>9.8</v>
      </c>
      <c r="DN136" s="716">
        <v>10</v>
      </c>
      <c r="DO136" s="716">
        <v>10.1</v>
      </c>
      <c r="DP136" s="716">
        <v>10.3</v>
      </c>
      <c r="DQ136" s="716">
        <v>10.4</v>
      </c>
      <c r="DR136" s="716">
        <v>9.8</v>
      </c>
      <c r="DS136" s="719">
        <v>9.9</v>
      </c>
      <c r="DT136" s="719">
        <v>10</v>
      </c>
      <c r="DU136" s="719">
        <v>10.2</v>
      </c>
      <c r="DV136" s="719">
        <v>10.4</v>
      </c>
      <c r="DW136" s="719">
        <v>10.6</v>
      </c>
      <c r="DX136" s="719">
        <v>10.9</v>
      </c>
      <c r="DY136" s="716">
        <v>11.1</v>
      </c>
      <c r="DZ136" s="716">
        <v>11.3</v>
      </c>
      <c r="EA136" s="716">
        <v>11.5</v>
      </c>
      <c r="EB136" s="716">
        <v>11.7</v>
      </c>
      <c r="EC136" s="716">
        <v>9.9</v>
      </c>
      <c r="ED136" s="719">
        <v>10</v>
      </c>
      <c r="EE136" s="719">
        <v>10.1</v>
      </c>
      <c r="EF136" s="719">
        <v>10.3</v>
      </c>
      <c r="EG136" s="719">
        <v>10.5</v>
      </c>
      <c r="EH136" s="719">
        <v>10.8</v>
      </c>
      <c r="EI136" s="719">
        <v>11</v>
      </c>
      <c r="EJ136" s="716">
        <v>11.2</v>
      </c>
      <c r="EK136" s="716">
        <v>11.4</v>
      </c>
      <c r="EL136" s="716">
        <v>11.7</v>
      </c>
      <c r="EM136" s="716">
        <v>11.8</v>
      </c>
      <c r="EN136" s="716">
        <v>11</v>
      </c>
      <c r="EO136" s="719">
        <v>11.2</v>
      </c>
      <c r="EP136" s="719">
        <v>11.3</v>
      </c>
      <c r="EQ136" s="719">
        <v>11.6</v>
      </c>
      <c r="ER136" s="719">
        <v>11.8</v>
      </c>
      <c r="ES136" s="719">
        <v>12.1</v>
      </c>
      <c r="ET136" s="719">
        <v>12.4</v>
      </c>
      <c r="EU136" s="716">
        <v>12.7</v>
      </c>
      <c r="EV136" s="716">
        <v>12.9</v>
      </c>
      <c r="EW136" s="716">
        <v>13.2</v>
      </c>
      <c r="EX136" s="716">
        <v>13.4</v>
      </c>
      <c r="EY136" s="716">
        <v>5.3</v>
      </c>
      <c r="EZ136" s="719">
        <v>5.8</v>
      </c>
      <c r="FA136" s="719">
        <v>6.2</v>
      </c>
      <c r="FB136" s="719">
        <v>6.6</v>
      </c>
      <c r="FC136" s="719">
        <v>7</v>
      </c>
      <c r="FD136" s="719">
        <v>7.3</v>
      </c>
      <c r="FE136" s="719">
        <v>7.7</v>
      </c>
      <c r="FF136" s="716">
        <v>7.9</v>
      </c>
      <c r="FG136" s="716">
        <v>8.2</v>
      </c>
      <c r="FH136" s="716">
        <v>8.4</v>
      </c>
      <c r="FI136" s="716">
        <v>8.6</v>
      </c>
      <c r="FJ136" s="723">
        <v>8.12e-6</v>
      </c>
      <c r="FK136" s="724">
        <v>1.24e-8</v>
      </c>
      <c r="FL136" s="724">
        <v>-1.99e-11</v>
      </c>
      <c r="FM136" s="724">
        <v>8.18e-7</v>
      </c>
      <c r="FN136" s="724">
        <v>7.97e-10</v>
      </c>
      <c r="FO136" s="724">
        <v>0.267</v>
      </c>
      <c r="FP136" s="729">
        <v>1</v>
      </c>
      <c r="FQ136" s="729">
        <v>2</v>
      </c>
      <c r="FR136" s="729">
        <v>1</v>
      </c>
      <c r="FS136" s="729">
        <v>3</v>
      </c>
      <c r="FT136" s="729">
        <v>1</v>
      </c>
      <c r="FU136" s="729">
        <v>1</v>
      </c>
      <c r="FV136" s="681">
        <v>1</v>
      </c>
      <c r="FW136" s="729"/>
      <c r="FX136" s="729"/>
      <c r="FY136" s="729"/>
      <c r="FZ136" s="782">
        <v>601</v>
      </c>
      <c r="GA136" s="782">
        <v>638</v>
      </c>
      <c r="GB136" s="681">
        <v>537</v>
      </c>
      <c r="GC136" s="681">
        <v>575</v>
      </c>
      <c r="GD136" s="747">
        <v>0.93</v>
      </c>
      <c r="GE136" s="729"/>
      <c r="GF136" s="681">
        <v>55</v>
      </c>
      <c r="GG136" s="681">
        <v>72</v>
      </c>
      <c r="GH136" s="681">
        <v>50</v>
      </c>
      <c r="GI136" s="681">
        <v>50</v>
      </c>
      <c r="GJ136" s="681">
        <v>51</v>
      </c>
      <c r="GK136" s="681">
        <v>52</v>
      </c>
      <c r="GL136" s="681">
        <v>53</v>
      </c>
      <c r="GM136" s="681">
        <v>55</v>
      </c>
      <c r="GN136" s="681">
        <v>55</v>
      </c>
      <c r="GO136" s="681">
        <v>56</v>
      </c>
      <c r="GP136" s="681">
        <v>57</v>
      </c>
      <c r="GQ136" s="681">
        <v>58</v>
      </c>
      <c r="GR136" s="681">
        <v>59</v>
      </c>
      <c r="GS136" s="681">
        <v>59</v>
      </c>
      <c r="GT136" s="681">
        <v>61</v>
      </c>
      <c r="GU136" s="681">
        <v>63</v>
      </c>
      <c r="GV136" s="681">
        <v>63</v>
      </c>
      <c r="GW136" s="681">
        <v>64</v>
      </c>
      <c r="GX136" s="681">
        <v>65</v>
      </c>
      <c r="GY136" s="681">
        <v>66</v>
      </c>
      <c r="GZ136" s="681">
        <v>67</v>
      </c>
      <c r="HA136" s="681">
        <v>69</v>
      </c>
      <c r="HB136" s="681">
        <v>69</v>
      </c>
      <c r="HC136" s="681"/>
      <c r="HD136" s="750">
        <v>142</v>
      </c>
      <c r="HE136" s="681"/>
      <c r="HF136" s="681">
        <v>659</v>
      </c>
      <c r="HG136" s="738">
        <v>138</v>
      </c>
      <c r="HH136" s="714">
        <v>114.3</v>
      </c>
      <c r="HI136" s="714">
        <v>43.3</v>
      </c>
      <c r="HJ136" s="753">
        <v>0.32</v>
      </c>
      <c r="HK136" s="681">
        <v>97</v>
      </c>
      <c r="HL136" s="685">
        <v>2.09</v>
      </c>
      <c r="HM136" s="747">
        <v>4.46</v>
      </c>
      <c r="HN136" s="729" t="s">
        <v>1155</v>
      </c>
      <c r="HO136" s="729" t="s">
        <v>1156</v>
      </c>
      <c r="HP136" s="714">
        <v>-0.6</v>
      </c>
      <c r="HQ136" s="753">
        <v>0.828</v>
      </c>
      <c r="HR136" s="753">
        <v>0.932</v>
      </c>
      <c r="HS136" s="753">
        <v>0.967</v>
      </c>
      <c r="HT136" s="753">
        <v>0.983</v>
      </c>
      <c r="HU136" s="753">
        <v>0.992</v>
      </c>
      <c r="HV136" s="753">
        <v>0.999</v>
      </c>
      <c r="HW136" s="753">
        <v>0.999</v>
      </c>
      <c r="HX136" s="753">
        <v>0.999</v>
      </c>
      <c r="HY136" s="753">
        <v>0.999</v>
      </c>
      <c r="HZ136" s="753">
        <v>0.999</v>
      </c>
      <c r="IA136" s="753">
        <v>0.999</v>
      </c>
      <c r="IB136" s="753">
        <v>0.999</v>
      </c>
      <c r="IC136" s="753">
        <v>0.999</v>
      </c>
      <c r="ID136" s="753">
        <v>0.999</v>
      </c>
      <c r="IE136" s="753">
        <v>0.999</v>
      </c>
      <c r="IF136" s="753">
        <v>0.999</v>
      </c>
      <c r="IG136" s="753">
        <v>0.999</v>
      </c>
      <c r="IH136" s="753">
        <v>0.999</v>
      </c>
      <c r="II136" s="753">
        <v>0.997</v>
      </c>
      <c r="IJ136" s="753">
        <v>0.994</v>
      </c>
      <c r="IK136" s="753">
        <v>0.991</v>
      </c>
      <c r="IL136" s="753">
        <v>0.986</v>
      </c>
      <c r="IM136" s="753">
        <v>0.983</v>
      </c>
      <c r="IN136" s="753">
        <v>0.964</v>
      </c>
      <c r="IO136" s="753">
        <v>0.942</v>
      </c>
      <c r="IP136" s="753">
        <v>0.901</v>
      </c>
      <c r="IQ136" s="753">
        <v>0.809</v>
      </c>
      <c r="IR136" s="753">
        <v>0.605</v>
      </c>
      <c r="IS136" s="753">
        <v>0.25</v>
      </c>
      <c r="IT136" s="753"/>
      <c r="IU136" s="753"/>
      <c r="IV136" s="753"/>
      <c r="IW136" s="753"/>
      <c r="IX136" s="753"/>
      <c r="IY136" s="753"/>
      <c r="IZ136" s="753"/>
      <c r="JA136" s="753">
        <v>0.685</v>
      </c>
      <c r="JB136" s="753">
        <v>0.864</v>
      </c>
      <c r="JC136" s="753">
        <v>0.933</v>
      </c>
      <c r="JD136" s="753">
        <v>0.962</v>
      </c>
      <c r="JE136" s="753">
        <v>0.98</v>
      </c>
      <c r="JF136" s="753">
        <v>0.998</v>
      </c>
      <c r="JG136" s="753">
        <v>0.998</v>
      </c>
      <c r="JH136" s="753">
        <v>0.998</v>
      </c>
      <c r="JI136" s="753">
        <v>0.998</v>
      </c>
      <c r="JJ136" s="753">
        <v>0.998</v>
      </c>
      <c r="JK136" s="753">
        <v>0.998</v>
      </c>
      <c r="JL136" s="753">
        <v>0.998</v>
      </c>
      <c r="JM136" s="753">
        <v>0.998</v>
      </c>
      <c r="JN136" s="753">
        <v>0.998</v>
      </c>
      <c r="JO136" s="753">
        <v>0.996</v>
      </c>
      <c r="JP136" s="753">
        <v>0.995</v>
      </c>
      <c r="JQ136" s="753">
        <v>0.995</v>
      </c>
      <c r="JR136" s="753">
        <v>0.994</v>
      </c>
      <c r="JS136" s="753">
        <v>0.989</v>
      </c>
      <c r="JT136" s="753">
        <v>0.984</v>
      </c>
      <c r="JU136" s="753">
        <v>0.977</v>
      </c>
      <c r="JV136" s="753">
        <v>0.967</v>
      </c>
      <c r="JW136" s="753">
        <v>0.952</v>
      </c>
      <c r="JX136" s="753">
        <v>0.913</v>
      </c>
      <c r="JY136" s="753">
        <v>0.871</v>
      </c>
      <c r="JZ136" s="753">
        <v>0.792</v>
      </c>
      <c r="KA136" s="753">
        <v>0.633</v>
      </c>
      <c r="KB136" s="753">
        <v>0.343</v>
      </c>
      <c r="KC136" s="753">
        <v>0.057</v>
      </c>
      <c r="KD136" s="753"/>
      <c r="KE136" s="753"/>
      <c r="KF136" s="753"/>
      <c r="KG136" s="753"/>
      <c r="KH136" s="753"/>
      <c r="KI136" s="753"/>
      <c r="KJ136" s="754"/>
      <c r="KK136" s="765" t="s">
        <v>281</v>
      </c>
      <c r="KL136" s="738">
        <v>50</v>
      </c>
      <c r="KM136" s="738">
        <v>223</v>
      </c>
      <c r="KN136" s="646" t="s">
        <v>282</v>
      </c>
      <c r="KO136" s="646" t="s">
        <v>1154</v>
      </c>
      <c r="KP136" s="679">
        <v>834373</v>
      </c>
      <c r="KQ136" s="766" t="s">
        <v>1147</v>
      </c>
      <c r="KR136" s="750" t="s">
        <v>1148</v>
      </c>
      <c r="KS136" s="769" t="s">
        <v>1149</v>
      </c>
      <c r="KT136" s="770" t="s">
        <v>1148</v>
      </c>
      <c r="KU136" s="766" t="s">
        <v>1150</v>
      </c>
      <c r="KV136" s="750">
        <v>834373</v>
      </c>
      <c r="KW136" s="771" t="s">
        <v>1151</v>
      </c>
      <c r="KX136" s="750" t="s">
        <v>1152</v>
      </c>
      <c r="KY136" s="769" t="s">
        <v>1153</v>
      </c>
      <c r="KZ136" s="770" t="s">
        <v>1152</v>
      </c>
    </row>
    <row r="137" s="628" customFormat="1" customHeight="1" spans="1:312">
      <c r="A137" s="682" t="s">
        <v>374</v>
      </c>
      <c r="B137" s="683">
        <v>133</v>
      </c>
      <c r="C137" s="689" t="s">
        <v>1157</v>
      </c>
      <c r="D137" s="680">
        <v>816466</v>
      </c>
      <c r="E137" s="685">
        <v>46.55</v>
      </c>
      <c r="F137" s="685">
        <v>46.33</v>
      </c>
      <c r="G137" s="688">
        <v>0.017528</v>
      </c>
      <c r="H137" s="686">
        <v>0.017704</v>
      </c>
      <c r="I137" s="696">
        <v>1.77344</v>
      </c>
      <c r="J137" s="696">
        <v>1.78023</v>
      </c>
      <c r="K137" s="696">
        <v>1.78779</v>
      </c>
      <c r="L137" s="696">
        <v>1.79484</v>
      </c>
      <c r="M137" s="696">
        <v>1.79618</v>
      </c>
      <c r="N137" s="696">
        <v>1.79729</v>
      </c>
      <c r="O137" s="696">
        <v>1.80174</v>
      </c>
      <c r="P137" s="696">
        <v>1.80487</v>
      </c>
      <c r="Q137" s="697">
        <v>1.8078</v>
      </c>
      <c r="R137" s="697">
        <v>1.81074</v>
      </c>
      <c r="S137" s="697">
        <v>1.81157</v>
      </c>
      <c r="T137" s="701">
        <v>1.81235</v>
      </c>
      <c r="U137" s="697">
        <v>1.81584</v>
      </c>
      <c r="V137" s="697">
        <v>1.816</v>
      </c>
      <c r="W137" s="697">
        <v>1.82017</v>
      </c>
      <c r="X137" s="697">
        <v>1.82827</v>
      </c>
      <c r="Y137" s="697">
        <v>1.82928</v>
      </c>
      <c r="Z137" s="697">
        <v>1.838</v>
      </c>
      <c r="AA137" s="697">
        <v>1.84618</v>
      </c>
      <c r="AB137" s="697">
        <v>1.86037</v>
      </c>
      <c r="AC137" s="704">
        <v>3.21873957</v>
      </c>
      <c r="AD137" s="705">
        <v>-0.0145164245</v>
      </c>
      <c r="AE137" s="705">
        <v>0.0260917155</v>
      </c>
      <c r="AF137" s="705">
        <v>0.00126701532</v>
      </c>
      <c r="AG137" s="705">
        <v>-0.000106020539</v>
      </c>
      <c r="AH137" s="705">
        <v>6.86627719e-6</v>
      </c>
      <c r="AI137" s="709">
        <v>0.3001</v>
      </c>
      <c r="AJ137" s="709">
        <v>0.2379</v>
      </c>
      <c r="AK137" s="709">
        <v>0.5551</v>
      </c>
      <c r="AL137" s="709">
        <v>0.2502</v>
      </c>
      <c r="AM137" s="709">
        <v>0.2355</v>
      </c>
      <c r="AN137" s="709">
        <v>0.4925</v>
      </c>
      <c r="AO137" s="709">
        <v>-0.0024</v>
      </c>
      <c r="AP137" s="709">
        <v>-0.0112</v>
      </c>
      <c r="AQ137" s="709">
        <v>0.0017</v>
      </c>
      <c r="AR137" s="709">
        <v>0.0013</v>
      </c>
      <c r="AS137" s="714">
        <v>3.9</v>
      </c>
      <c r="AT137" s="714">
        <v>3.9</v>
      </c>
      <c r="AU137" s="714">
        <v>3.9</v>
      </c>
      <c r="AV137" s="714">
        <v>3.9</v>
      </c>
      <c r="AW137" s="714">
        <v>3.9</v>
      </c>
      <c r="AX137" s="714">
        <v>4</v>
      </c>
      <c r="AY137" s="714">
        <v>4.1</v>
      </c>
      <c r="AZ137" s="714">
        <v>4.2</v>
      </c>
      <c r="BA137" s="714">
        <v>4.4</v>
      </c>
      <c r="BB137" s="714">
        <v>4.5</v>
      </c>
      <c r="BC137" s="714">
        <v>4.6</v>
      </c>
      <c r="BD137" s="714">
        <v>4.3</v>
      </c>
      <c r="BE137" s="714">
        <v>4.2</v>
      </c>
      <c r="BF137" s="714">
        <v>4.3</v>
      </c>
      <c r="BG137" s="714">
        <v>4.4</v>
      </c>
      <c r="BH137" s="714">
        <v>4.5</v>
      </c>
      <c r="BI137" s="714">
        <v>4.5</v>
      </c>
      <c r="BJ137" s="714">
        <v>4.6</v>
      </c>
      <c r="BK137" s="714">
        <v>4.7</v>
      </c>
      <c r="BL137" s="714">
        <v>4.9</v>
      </c>
      <c r="BM137" s="714">
        <v>5</v>
      </c>
      <c r="BN137" s="714">
        <v>5.1</v>
      </c>
      <c r="BO137" s="714">
        <v>4.5</v>
      </c>
      <c r="BP137" s="714">
        <v>4.4</v>
      </c>
      <c r="BQ137" s="714">
        <v>4.6</v>
      </c>
      <c r="BR137" s="714">
        <v>4.6</v>
      </c>
      <c r="BS137" s="714">
        <v>4.7</v>
      </c>
      <c r="BT137" s="714">
        <v>4.8</v>
      </c>
      <c r="BU137" s="714">
        <v>4.9</v>
      </c>
      <c r="BV137" s="714">
        <v>5</v>
      </c>
      <c r="BW137" s="714">
        <v>5.1</v>
      </c>
      <c r="BX137" s="714">
        <v>5.2</v>
      </c>
      <c r="BY137" s="714">
        <v>5.3</v>
      </c>
      <c r="BZ137" s="714">
        <v>4.5</v>
      </c>
      <c r="CA137" s="714">
        <v>4.5</v>
      </c>
      <c r="CB137" s="714">
        <v>4.6</v>
      </c>
      <c r="CC137" s="714">
        <v>4.6</v>
      </c>
      <c r="CD137" s="714">
        <v>4.7</v>
      </c>
      <c r="CE137" s="714">
        <v>4.8</v>
      </c>
      <c r="CF137" s="714">
        <v>4.9</v>
      </c>
      <c r="CG137" s="714">
        <v>5</v>
      </c>
      <c r="CH137" s="714">
        <v>5.1</v>
      </c>
      <c r="CI137" s="714">
        <v>5.2</v>
      </c>
      <c r="CJ137" s="714">
        <v>5.3</v>
      </c>
      <c r="CK137" s="714">
        <v>4.6</v>
      </c>
      <c r="CL137" s="715">
        <v>4.7</v>
      </c>
      <c r="CM137" s="715">
        <v>4.7</v>
      </c>
      <c r="CN137" s="715">
        <v>4.7</v>
      </c>
      <c r="CO137" s="715">
        <v>4.8</v>
      </c>
      <c r="CP137" s="715">
        <v>4.9</v>
      </c>
      <c r="CQ137" s="715">
        <v>5</v>
      </c>
      <c r="CR137" s="714">
        <v>5.1</v>
      </c>
      <c r="CS137" s="714">
        <v>5.2</v>
      </c>
      <c r="CT137" s="714">
        <v>5.3</v>
      </c>
      <c r="CU137" s="714">
        <v>5.5</v>
      </c>
      <c r="CV137" s="714">
        <v>4.8</v>
      </c>
      <c r="CW137" s="715">
        <v>4.9</v>
      </c>
      <c r="CX137" s="715">
        <v>4.9</v>
      </c>
      <c r="CY137" s="715">
        <v>5</v>
      </c>
      <c r="CZ137" s="715">
        <v>5</v>
      </c>
      <c r="DA137" s="715">
        <v>5.2</v>
      </c>
      <c r="DB137" s="715">
        <v>5.2</v>
      </c>
      <c r="DC137" s="714">
        <v>5.4</v>
      </c>
      <c r="DD137" s="714">
        <v>5.5</v>
      </c>
      <c r="DE137" s="714">
        <v>5.7</v>
      </c>
      <c r="DF137" s="714">
        <v>5.8</v>
      </c>
      <c r="DG137" s="714">
        <v>5.1</v>
      </c>
      <c r="DH137" s="715">
        <v>5.2</v>
      </c>
      <c r="DI137" s="715">
        <v>5.2</v>
      </c>
      <c r="DJ137" s="715">
        <v>5.3</v>
      </c>
      <c r="DK137" s="715">
        <v>5.3</v>
      </c>
      <c r="DL137" s="715">
        <v>5.4</v>
      </c>
      <c r="DM137" s="715">
        <v>5.5</v>
      </c>
      <c r="DN137" s="714">
        <v>5.5</v>
      </c>
      <c r="DO137" s="714">
        <v>5.7</v>
      </c>
      <c r="DP137" s="714">
        <v>5.9</v>
      </c>
      <c r="DQ137" s="714">
        <v>6</v>
      </c>
      <c r="DR137" s="714">
        <v>5.7</v>
      </c>
      <c r="DS137" s="715">
        <v>5.7</v>
      </c>
      <c r="DT137" s="715">
        <v>5.7</v>
      </c>
      <c r="DU137" s="715">
        <v>5.7</v>
      </c>
      <c r="DV137" s="715">
        <v>5.8</v>
      </c>
      <c r="DW137" s="715">
        <v>6</v>
      </c>
      <c r="DX137" s="715">
        <v>6.2</v>
      </c>
      <c r="DY137" s="714">
        <v>6.3</v>
      </c>
      <c r="DZ137" s="714">
        <v>6.5</v>
      </c>
      <c r="EA137" s="714">
        <v>6.6</v>
      </c>
      <c r="EB137" s="714">
        <v>6.8</v>
      </c>
      <c r="EC137" s="714">
        <v>5.7</v>
      </c>
      <c r="ED137" s="715">
        <v>5.7</v>
      </c>
      <c r="EE137" s="715">
        <v>5.8</v>
      </c>
      <c r="EF137" s="715">
        <v>5.8</v>
      </c>
      <c r="EG137" s="715">
        <v>6</v>
      </c>
      <c r="EH137" s="715">
        <v>6.1</v>
      </c>
      <c r="EI137" s="715">
        <v>6.3</v>
      </c>
      <c r="EJ137" s="714">
        <v>6.4</v>
      </c>
      <c r="EK137" s="714">
        <v>6.5</v>
      </c>
      <c r="EL137" s="714">
        <v>6.7</v>
      </c>
      <c r="EM137" s="714">
        <v>6.9</v>
      </c>
      <c r="EN137" s="714">
        <v>6.2</v>
      </c>
      <c r="EO137" s="715">
        <v>6.2</v>
      </c>
      <c r="EP137" s="715">
        <v>6.4</v>
      </c>
      <c r="EQ137" s="715">
        <v>6.5</v>
      </c>
      <c r="ER137" s="715">
        <v>6.5</v>
      </c>
      <c r="ES137" s="715">
        <v>6.7</v>
      </c>
      <c r="ET137" s="715">
        <v>7</v>
      </c>
      <c r="EU137" s="714">
        <v>7.2</v>
      </c>
      <c r="EV137" s="714">
        <v>7.3</v>
      </c>
      <c r="EW137" s="714">
        <v>7.6</v>
      </c>
      <c r="EX137" s="714">
        <v>7.8</v>
      </c>
      <c r="EY137" s="714">
        <v>1.7</v>
      </c>
      <c r="EZ137" s="715">
        <v>2.2</v>
      </c>
      <c r="FA137" s="715">
        <v>2.6</v>
      </c>
      <c r="FB137" s="715">
        <v>2.9</v>
      </c>
      <c r="FC137" s="715">
        <v>3.2</v>
      </c>
      <c r="FD137" s="715">
        <v>3.5</v>
      </c>
      <c r="FE137" s="715">
        <v>3.8</v>
      </c>
      <c r="FF137" s="714">
        <v>4</v>
      </c>
      <c r="FG137" s="714">
        <v>4.2</v>
      </c>
      <c r="FH137" s="714">
        <v>4.4</v>
      </c>
      <c r="FI137" s="714">
        <v>4.7</v>
      </c>
      <c r="FJ137" s="723">
        <v>3.23e-6</v>
      </c>
      <c r="FK137" s="723">
        <v>1.15e-8</v>
      </c>
      <c r="FL137" s="723">
        <v>-1.53e-11</v>
      </c>
      <c r="FM137" s="723">
        <v>5.49e-7</v>
      </c>
      <c r="FN137" s="723">
        <v>4.69e-10</v>
      </c>
      <c r="FO137" s="723">
        <v>0.246</v>
      </c>
      <c r="FP137" s="729">
        <v>1</v>
      </c>
      <c r="FQ137" s="729">
        <v>2</v>
      </c>
      <c r="FR137" s="729">
        <v>1</v>
      </c>
      <c r="FS137" s="729">
        <v>3</v>
      </c>
      <c r="FT137" s="729">
        <v>1</v>
      </c>
      <c r="FU137" s="729">
        <v>1</v>
      </c>
      <c r="FV137" s="681">
        <v>1</v>
      </c>
      <c r="FW137" s="729"/>
      <c r="FX137" s="729"/>
      <c r="FY137" s="729"/>
      <c r="FZ137" s="746">
        <v>715</v>
      </c>
      <c r="GA137" s="746">
        <v>740</v>
      </c>
      <c r="GB137" s="681">
        <v>643</v>
      </c>
      <c r="GC137" s="681">
        <v>662</v>
      </c>
      <c r="GD137" s="747">
        <v>0.84</v>
      </c>
      <c r="GE137" s="729"/>
      <c r="GF137" s="681">
        <v>62</v>
      </c>
      <c r="GG137" s="681">
        <v>75</v>
      </c>
      <c r="GH137" s="681">
        <v>54</v>
      </c>
      <c r="GI137" s="681">
        <v>57</v>
      </c>
      <c r="GJ137" s="681">
        <v>59</v>
      </c>
      <c r="GK137" s="681">
        <v>60</v>
      </c>
      <c r="GL137" s="681">
        <v>61</v>
      </c>
      <c r="GM137" s="681">
        <v>62</v>
      </c>
      <c r="GN137" s="681">
        <v>63</v>
      </c>
      <c r="GO137" s="681">
        <v>64</v>
      </c>
      <c r="GP137" s="681">
        <v>64</v>
      </c>
      <c r="GQ137" s="681">
        <v>64</v>
      </c>
      <c r="GR137" s="681">
        <v>65</v>
      </c>
      <c r="GS137" s="681">
        <v>66</v>
      </c>
      <c r="GT137" s="681">
        <v>66</v>
      </c>
      <c r="GU137" s="681">
        <v>67</v>
      </c>
      <c r="GV137" s="681">
        <v>68</v>
      </c>
      <c r="GW137" s="681">
        <v>69</v>
      </c>
      <c r="GX137" s="681">
        <v>70</v>
      </c>
      <c r="GY137" s="681">
        <v>71</v>
      </c>
      <c r="GZ137" s="681">
        <v>72</v>
      </c>
      <c r="HA137" s="681">
        <v>73</v>
      </c>
      <c r="HB137" s="681">
        <v>74</v>
      </c>
      <c r="HC137" s="681"/>
      <c r="HD137" s="750">
        <v>140</v>
      </c>
      <c r="HE137" s="681"/>
      <c r="HF137" s="681">
        <v>702</v>
      </c>
      <c r="HG137" s="681">
        <v>64</v>
      </c>
      <c r="HH137" s="714">
        <v>126</v>
      </c>
      <c r="HI137" s="714">
        <v>47.4</v>
      </c>
      <c r="HJ137" s="753">
        <v>0.33</v>
      </c>
      <c r="HK137" s="681">
        <v>86</v>
      </c>
      <c r="HL137" s="685">
        <v>1.23</v>
      </c>
      <c r="HM137" s="747">
        <v>5.04</v>
      </c>
      <c r="HN137" s="729" t="s">
        <v>1158</v>
      </c>
      <c r="HO137" s="729" t="s">
        <v>1159</v>
      </c>
      <c r="HP137" s="714">
        <v>-3.9</v>
      </c>
      <c r="HQ137" s="753">
        <v>0.888</v>
      </c>
      <c r="HR137" s="753">
        <v>0.98</v>
      </c>
      <c r="HS137" s="753">
        <v>0.992</v>
      </c>
      <c r="HT137" s="753">
        <v>0.999</v>
      </c>
      <c r="HU137" s="753">
        <v>0.999</v>
      </c>
      <c r="HV137" s="753">
        <v>0.999</v>
      </c>
      <c r="HW137" s="753">
        <v>0.999</v>
      </c>
      <c r="HX137" s="753">
        <v>0.999</v>
      </c>
      <c r="HY137" s="753">
        <v>0.999</v>
      </c>
      <c r="HZ137" s="753">
        <v>0.999</v>
      </c>
      <c r="IA137" s="753">
        <v>0.999</v>
      </c>
      <c r="IB137" s="753">
        <v>0.999</v>
      </c>
      <c r="IC137" s="753">
        <v>0.999</v>
      </c>
      <c r="ID137" s="753">
        <v>0.999</v>
      </c>
      <c r="IE137" s="753">
        <v>0.999</v>
      </c>
      <c r="IF137" s="753">
        <v>0.999</v>
      </c>
      <c r="IG137" s="753">
        <v>0.999</v>
      </c>
      <c r="IH137" s="753">
        <v>0.999</v>
      </c>
      <c r="II137" s="753">
        <v>0.999</v>
      </c>
      <c r="IJ137" s="753">
        <v>0.999</v>
      </c>
      <c r="IK137" s="753">
        <v>0.998</v>
      </c>
      <c r="IL137" s="753">
        <v>0.997</v>
      </c>
      <c r="IM137" s="753">
        <v>0.995</v>
      </c>
      <c r="IN137" s="753">
        <v>0.983</v>
      </c>
      <c r="IO137" s="753">
        <v>0.98</v>
      </c>
      <c r="IP137" s="753">
        <v>0.975</v>
      </c>
      <c r="IQ137" s="753">
        <v>0.97</v>
      </c>
      <c r="IR137" s="753">
        <v>0.959</v>
      </c>
      <c r="IS137" s="753">
        <v>0.94</v>
      </c>
      <c r="IT137" s="753">
        <v>0.914</v>
      </c>
      <c r="IU137" s="753">
        <v>0.876</v>
      </c>
      <c r="IV137" s="753">
        <v>0.815</v>
      </c>
      <c r="IW137" s="753">
        <v>0.597</v>
      </c>
      <c r="IX137" s="753">
        <v>0.585</v>
      </c>
      <c r="IY137" s="753">
        <v>0.438</v>
      </c>
      <c r="IZ137" s="753">
        <v>0.212</v>
      </c>
      <c r="JA137" s="754">
        <v>0.789</v>
      </c>
      <c r="JB137" s="754">
        <v>0.96</v>
      </c>
      <c r="JC137" s="754">
        <v>0.984</v>
      </c>
      <c r="JD137" s="754">
        <v>0.998</v>
      </c>
      <c r="JE137" s="754">
        <v>0.998</v>
      </c>
      <c r="JF137" s="754">
        <v>0.998</v>
      </c>
      <c r="JG137" s="754">
        <v>0.998</v>
      </c>
      <c r="JH137" s="754">
        <v>0.998</v>
      </c>
      <c r="JI137" s="754">
        <v>0.998</v>
      </c>
      <c r="JJ137" s="754">
        <v>0.998</v>
      </c>
      <c r="JK137" s="754">
        <v>0.998</v>
      </c>
      <c r="JL137" s="754">
        <v>0.998</v>
      </c>
      <c r="JM137" s="754">
        <v>0.998</v>
      </c>
      <c r="JN137" s="754">
        <v>0.998</v>
      </c>
      <c r="JO137" s="754">
        <v>0.998</v>
      </c>
      <c r="JP137" s="754">
        <v>0.998</v>
      </c>
      <c r="JQ137" s="754">
        <v>0.998</v>
      </c>
      <c r="JR137" s="754">
        <v>0.998</v>
      </c>
      <c r="JS137" s="754">
        <v>0.998</v>
      </c>
      <c r="JT137" s="754">
        <v>0.998</v>
      </c>
      <c r="JU137" s="754">
        <v>0.996</v>
      </c>
      <c r="JV137" s="754">
        <v>0.994</v>
      </c>
      <c r="JW137" s="754">
        <v>0.991</v>
      </c>
      <c r="JX137" s="754">
        <v>0.966</v>
      </c>
      <c r="JY137" s="754">
        <v>0.96</v>
      </c>
      <c r="JZ137" s="754">
        <v>0.949</v>
      </c>
      <c r="KA137" s="754">
        <v>0.942</v>
      </c>
      <c r="KB137" s="754">
        <v>0.919</v>
      </c>
      <c r="KC137" s="754">
        <v>0.885</v>
      </c>
      <c r="KD137" s="754">
        <v>0.835</v>
      </c>
      <c r="KE137" s="754">
        <v>0.768</v>
      </c>
      <c r="KF137" s="754">
        <v>0.663</v>
      </c>
      <c r="KG137" s="754">
        <v>0.357</v>
      </c>
      <c r="KH137" s="754">
        <v>0.343</v>
      </c>
      <c r="KI137" s="754">
        <v>0.192</v>
      </c>
      <c r="KJ137" s="754">
        <v>0.045</v>
      </c>
      <c r="KK137" s="765" t="s">
        <v>281</v>
      </c>
      <c r="KL137" s="738">
        <v>197</v>
      </c>
      <c r="KM137" s="738">
        <v>993</v>
      </c>
      <c r="KN137" s="646" t="s">
        <v>339</v>
      </c>
      <c r="KO137" s="646" t="s">
        <v>1157</v>
      </c>
      <c r="KP137" s="680">
        <v>816466</v>
      </c>
      <c r="KQ137" s="766" t="s">
        <v>1160</v>
      </c>
      <c r="KR137" s="750" t="s">
        <v>1161</v>
      </c>
      <c r="KS137" s="769" t="s">
        <v>1162</v>
      </c>
      <c r="KT137" s="770" t="s">
        <v>1161</v>
      </c>
      <c r="KU137" s="766" t="s">
        <v>1163</v>
      </c>
      <c r="KV137" s="750">
        <v>816466</v>
      </c>
      <c r="KW137" s="771" t="s">
        <v>1164</v>
      </c>
      <c r="KX137" s="750" t="s">
        <v>1165</v>
      </c>
      <c r="KY137" s="769"/>
      <c r="KZ137" s="770"/>
    </row>
    <row r="138" s="628" customFormat="1" customHeight="1" spans="1:312">
      <c r="A138" s="682" t="s">
        <v>277</v>
      </c>
      <c r="B138" s="683">
        <v>134</v>
      </c>
      <c r="C138" s="689" t="s">
        <v>1166</v>
      </c>
      <c r="D138" s="680">
        <v>816466</v>
      </c>
      <c r="E138" s="685">
        <v>46.55</v>
      </c>
      <c r="F138" s="685">
        <v>46.33</v>
      </c>
      <c r="G138" s="688">
        <v>0.017528</v>
      </c>
      <c r="H138" s="686">
        <v>0.017704</v>
      </c>
      <c r="I138" s="696"/>
      <c r="J138" s="696"/>
      <c r="K138" s="696"/>
      <c r="L138" s="696">
        <v>1.79487</v>
      </c>
      <c r="M138" s="696">
        <v>1.79619</v>
      </c>
      <c r="N138" s="696">
        <v>1.79731</v>
      </c>
      <c r="O138" s="696">
        <v>1.80175</v>
      </c>
      <c r="P138" s="696">
        <v>1.80488</v>
      </c>
      <c r="Q138" s="697">
        <v>1.80779</v>
      </c>
      <c r="R138" s="697">
        <v>1.81074</v>
      </c>
      <c r="S138" s="697">
        <v>1.81158</v>
      </c>
      <c r="T138" s="701">
        <v>1.81235</v>
      </c>
      <c r="U138" s="697">
        <v>1.81585</v>
      </c>
      <c r="V138" s="697">
        <v>1.816</v>
      </c>
      <c r="W138" s="697">
        <v>1.82017</v>
      </c>
      <c r="X138" s="697">
        <v>1.82827</v>
      </c>
      <c r="Y138" s="697">
        <v>1.82929</v>
      </c>
      <c r="Z138" s="697">
        <v>1.83804</v>
      </c>
      <c r="AA138" s="697">
        <v>1.84625</v>
      </c>
      <c r="AB138" s="697">
        <v>1.86049</v>
      </c>
      <c r="AC138" s="704">
        <v>3.21683817</v>
      </c>
      <c r="AD138" s="705">
        <v>-0.0136724876</v>
      </c>
      <c r="AE138" s="705">
        <v>0.0276347913</v>
      </c>
      <c r="AF138" s="705">
        <v>0.000716568289</v>
      </c>
      <c r="AG138" s="705">
        <v>-1.97668563e-5</v>
      </c>
      <c r="AH138" s="705">
        <v>2.19878744e-6</v>
      </c>
      <c r="AI138" s="709">
        <v>0.3001</v>
      </c>
      <c r="AJ138" s="709">
        <v>0.2379</v>
      </c>
      <c r="AK138" s="709">
        <v>0.5574</v>
      </c>
      <c r="AL138" s="709">
        <v>0.2497</v>
      </c>
      <c r="AM138" s="709">
        <v>0.2355</v>
      </c>
      <c r="AN138" s="709">
        <v>0.4942</v>
      </c>
      <c r="AO138" s="709">
        <v>-0.0024</v>
      </c>
      <c r="AP138" s="709">
        <v>-0.0089</v>
      </c>
      <c r="AQ138" s="709">
        <v>0.0005</v>
      </c>
      <c r="AR138" s="709">
        <v>0.0008</v>
      </c>
      <c r="AS138" s="714">
        <v>2.1</v>
      </c>
      <c r="AT138" s="714">
        <v>2.2</v>
      </c>
      <c r="AU138" s="714">
        <v>2.2</v>
      </c>
      <c r="AV138" s="714">
        <v>2.3</v>
      </c>
      <c r="AW138" s="714">
        <v>2.3</v>
      </c>
      <c r="AX138" s="714">
        <v>2.4</v>
      </c>
      <c r="AY138" s="714">
        <v>2.4</v>
      </c>
      <c r="AZ138" s="714">
        <v>2.4</v>
      </c>
      <c r="BA138" s="714">
        <v>2.6</v>
      </c>
      <c r="BB138" s="714">
        <v>2.8</v>
      </c>
      <c r="BC138" s="714">
        <v>2.9</v>
      </c>
      <c r="BD138" s="714">
        <v>2.4</v>
      </c>
      <c r="BE138" s="714">
        <v>2.4</v>
      </c>
      <c r="BF138" s="714">
        <v>2.4</v>
      </c>
      <c r="BG138" s="714">
        <v>2.5</v>
      </c>
      <c r="BH138" s="714">
        <v>2.6</v>
      </c>
      <c r="BI138" s="714">
        <v>2.8</v>
      </c>
      <c r="BJ138" s="714">
        <v>2.9</v>
      </c>
      <c r="BK138" s="714">
        <v>3</v>
      </c>
      <c r="BL138" s="714">
        <v>3.2</v>
      </c>
      <c r="BM138" s="714">
        <v>3.3</v>
      </c>
      <c r="BN138" s="714">
        <v>3.4</v>
      </c>
      <c r="BO138" s="714">
        <v>2.8</v>
      </c>
      <c r="BP138" s="714">
        <v>2.8</v>
      </c>
      <c r="BQ138" s="714">
        <v>2.9</v>
      </c>
      <c r="BR138" s="714">
        <v>3</v>
      </c>
      <c r="BS138" s="714">
        <v>3.1</v>
      </c>
      <c r="BT138" s="714">
        <v>3.3</v>
      </c>
      <c r="BU138" s="714">
        <v>3.4</v>
      </c>
      <c r="BV138" s="714">
        <v>3.6</v>
      </c>
      <c r="BW138" s="714">
        <v>3.8</v>
      </c>
      <c r="BX138" s="714">
        <v>4.1</v>
      </c>
      <c r="BY138" s="714">
        <v>4.3</v>
      </c>
      <c r="BZ138" s="714">
        <v>3</v>
      </c>
      <c r="CA138" s="714">
        <v>3.1</v>
      </c>
      <c r="CB138" s="714">
        <v>3.1</v>
      </c>
      <c r="CC138" s="714">
        <v>3.2</v>
      </c>
      <c r="CD138" s="714">
        <v>3.3</v>
      </c>
      <c r="CE138" s="714">
        <v>3.5</v>
      </c>
      <c r="CF138" s="714">
        <v>3.6</v>
      </c>
      <c r="CG138" s="714">
        <v>3.8</v>
      </c>
      <c r="CH138" s="714">
        <v>4</v>
      </c>
      <c r="CI138" s="714">
        <v>4.2</v>
      </c>
      <c r="CJ138" s="714">
        <v>4.4</v>
      </c>
      <c r="CK138" s="714">
        <v>3.1</v>
      </c>
      <c r="CL138" s="715">
        <v>3.2</v>
      </c>
      <c r="CM138" s="715">
        <v>3.3</v>
      </c>
      <c r="CN138" s="715">
        <v>3.4</v>
      </c>
      <c r="CO138" s="715">
        <v>3.5</v>
      </c>
      <c r="CP138" s="715">
        <v>3.7</v>
      </c>
      <c r="CQ138" s="715">
        <v>3.9</v>
      </c>
      <c r="CR138" s="714">
        <v>4.1</v>
      </c>
      <c r="CS138" s="714">
        <v>4.2</v>
      </c>
      <c r="CT138" s="714">
        <v>4.4</v>
      </c>
      <c r="CU138" s="714">
        <v>4.5</v>
      </c>
      <c r="CV138" s="714">
        <v>3.3</v>
      </c>
      <c r="CW138" s="715">
        <v>3.5</v>
      </c>
      <c r="CX138" s="715">
        <v>3.6</v>
      </c>
      <c r="CY138" s="715">
        <v>3.8</v>
      </c>
      <c r="CZ138" s="715">
        <v>4</v>
      </c>
      <c r="DA138" s="715">
        <v>4.2</v>
      </c>
      <c r="DB138" s="715">
        <v>4.4</v>
      </c>
      <c r="DC138" s="714">
        <v>4.6</v>
      </c>
      <c r="DD138" s="714">
        <v>4.8</v>
      </c>
      <c r="DE138" s="714">
        <v>5</v>
      </c>
      <c r="DF138" s="714">
        <v>5.1</v>
      </c>
      <c r="DG138" s="714">
        <v>3.6</v>
      </c>
      <c r="DH138" s="715">
        <v>3.8</v>
      </c>
      <c r="DI138" s="715">
        <v>3.9</v>
      </c>
      <c r="DJ138" s="715">
        <v>4.1</v>
      </c>
      <c r="DK138" s="715">
        <v>4.2</v>
      </c>
      <c r="DL138" s="715">
        <v>4.4</v>
      </c>
      <c r="DM138" s="715">
        <v>4.6</v>
      </c>
      <c r="DN138" s="714">
        <v>4.7</v>
      </c>
      <c r="DO138" s="714">
        <v>4.9</v>
      </c>
      <c r="DP138" s="714">
        <v>5.1</v>
      </c>
      <c r="DQ138" s="714">
        <v>5.3</v>
      </c>
      <c r="DR138" s="714">
        <v>3.9</v>
      </c>
      <c r="DS138" s="715">
        <v>4</v>
      </c>
      <c r="DT138" s="715">
        <v>4.1</v>
      </c>
      <c r="DU138" s="715">
        <v>4.2</v>
      </c>
      <c r="DV138" s="715">
        <v>4.4</v>
      </c>
      <c r="DW138" s="715">
        <v>4.6</v>
      </c>
      <c r="DX138" s="715">
        <v>4.8</v>
      </c>
      <c r="DY138" s="714">
        <v>5</v>
      </c>
      <c r="DZ138" s="714">
        <v>5.2</v>
      </c>
      <c r="EA138" s="714">
        <v>5.4</v>
      </c>
      <c r="EB138" s="714">
        <v>5.5</v>
      </c>
      <c r="EC138" s="714">
        <v>4</v>
      </c>
      <c r="ED138" s="715">
        <v>4.1</v>
      </c>
      <c r="EE138" s="715">
        <v>4.2</v>
      </c>
      <c r="EF138" s="715">
        <v>4.4</v>
      </c>
      <c r="EG138" s="715">
        <v>4.6</v>
      </c>
      <c r="EH138" s="715">
        <v>4.7</v>
      </c>
      <c r="EI138" s="715">
        <v>4.9</v>
      </c>
      <c r="EJ138" s="714">
        <v>5.1</v>
      </c>
      <c r="EK138" s="714">
        <v>5.3</v>
      </c>
      <c r="EL138" s="714">
        <v>5.5</v>
      </c>
      <c r="EM138" s="714">
        <v>5.7</v>
      </c>
      <c r="EN138" s="714">
        <v>4.5</v>
      </c>
      <c r="EO138" s="715">
        <v>4.7</v>
      </c>
      <c r="EP138" s="715">
        <v>5</v>
      </c>
      <c r="EQ138" s="715">
        <v>5.1</v>
      </c>
      <c r="ER138" s="715">
        <v>5.3</v>
      </c>
      <c r="ES138" s="715">
        <v>5.6</v>
      </c>
      <c r="ET138" s="715">
        <v>5.8</v>
      </c>
      <c r="EU138" s="714">
        <v>6</v>
      </c>
      <c r="EV138" s="714">
        <v>6.3</v>
      </c>
      <c r="EW138" s="714">
        <v>6.6</v>
      </c>
      <c r="EX138" s="714">
        <v>6.8</v>
      </c>
      <c r="EY138" s="714">
        <v>0.2</v>
      </c>
      <c r="EZ138" s="715">
        <v>0.7</v>
      </c>
      <c r="FA138" s="715">
        <v>1.2</v>
      </c>
      <c r="FB138" s="715">
        <v>1.6</v>
      </c>
      <c r="FC138" s="715">
        <v>1.9</v>
      </c>
      <c r="FD138" s="715">
        <v>2.3</v>
      </c>
      <c r="FE138" s="715">
        <v>2.7</v>
      </c>
      <c r="FF138" s="714">
        <v>3</v>
      </c>
      <c r="FG138" s="714">
        <v>3.2</v>
      </c>
      <c r="FH138" s="714">
        <v>3.5</v>
      </c>
      <c r="FI138" s="714">
        <v>3.7</v>
      </c>
      <c r="FJ138" s="723">
        <v>1.25e-7</v>
      </c>
      <c r="FK138" s="723">
        <v>1.24e-8</v>
      </c>
      <c r="FL138" s="723">
        <v>-1.76e-11</v>
      </c>
      <c r="FM138" s="723">
        <v>9.91e-7</v>
      </c>
      <c r="FN138" s="723">
        <v>1.1e-9</v>
      </c>
      <c r="FO138" s="723">
        <v>6.42e-9</v>
      </c>
      <c r="FP138" s="729">
        <v>1</v>
      </c>
      <c r="FQ138" s="729">
        <v>1</v>
      </c>
      <c r="FR138" s="729">
        <v>1</v>
      </c>
      <c r="FS138" s="729">
        <v>3</v>
      </c>
      <c r="FT138" s="729">
        <v>1</v>
      </c>
      <c r="FU138" s="729">
        <v>1</v>
      </c>
      <c r="FV138" s="681">
        <v>1</v>
      </c>
      <c r="FW138" s="729"/>
      <c r="FX138" s="729"/>
      <c r="FY138" s="729"/>
      <c r="FZ138" s="746">
        <v>718</v>
      </c>
      <c r="GA138" s="746">
        <v>744</v>
      </c>
      <c r="GB138" s="681">
        <v>646</v>
      </c>
      <c r="GC138" s="681">
        <v>666</v>
      </c>
      <c r="GD138" s="747">
        <v>0.83</v>
      </c>
      <c r="GE138" s="729"/>
      <c r="GF138" s="681">
        <v>61</v>
      </c>
      <c r="GG138" s="681">
        <v>76</v>
      </c>
      <c r="GH138" s="681">
        <v>56.95</v>
      </c>
      <c r="GI138" s="681">
        <v>57.71</v>
      </c>
      <c r="GJ138" s="681">
        <v>59.93</v>
      </c>
      <c r="GK138" s="681">
        <v>60.57</v>
      </c>
      <c r="GL138" s="681">
        <v>61.67</v>
      </c>
      <c r="GM138" s="681">
        <v>62.95</v>
      </c>
      <c r="GN138" s="681">
        <v>63.24</v>
      </c>
      <c r="GO138" s="681">
        <v>63.34</v>
      </c>
      <c r="GP138" s="681">
        <v>63.46</v>
      </c>
      <c r="GQ138" s="681">
        <v>64.17</v>
      </c>
      <c r="GR138" s="681">
        <v>64.25</v>
      </c>
      <c r="GS138" s="681">
        <v>66.5</v>
      </c>
      <c r="GT138" s="681">
        <v>66.96</v>
      </c>
      <c r="GU138" s="681">
        <v>68.63</v>
      </c>
      <c r="GV138" s="681">
        <v>68.7</v>
      </c>
      <c r="GW138" s="681">
        <v>68.81</v>
      </c>
      <c r="GX138" s="681">
        <v>69.58</v>
      </c>
      <c r="GY138" s="681">
        <v>70.24</v>
      </c>
      <c r="GZ138" s="681">
        <v>73.39</v>
      </c>
      <c r="HA138" s="681">
        <v>73.56</v>
      </c>
      <c r="HB138" s="681">
        <v>74.57</v>
      </c>
      <c r="HC138" s="681"/>
      <c r="HD138" s="750">
        <v>135</v>
      </c>
      <c r="HE138" s="681"/>
      <c r="HF138" s="681">
        <v>693</v>
      </c>
      <c r="HG138" s="681">
        <v>71</v>
      </c>
      <c r="HH138" s="714">
        <v>123</v>
      </c>
      <c r="HI138" s="714">
        <v>47.4</v>
      </c>
      <c r="HJ138" s="753">
        <v>0.298</v>
      </c>
      <c r="HK138" s="681"/>
      <c r="HL138" s="685">
        <v>1.12</v>
      </c>
      <c r="HM138" s="747">
        <v>4.99</v>
      </c>
      <c r="HN138" s="729" t="s">
        <v>1167</v>
      </c>
      <c r="HO138" s="729" t="s">
        <v>1168</v>
      </c>
      <c r="HP138" s="714">
        <v>-0.3</v>
      </c>
      <c r="HQ138" s="753">
        <v>0.867</v>
      </c>
      <c r="HR138" s="753">
        <v>0.965</v>
      </c>
      <c r="HS138" s="753">
        <v>0.986</v>
      </c>
      <c r="HT138" s="753">
        <v>0.996</v>
      </c>
      <c r="HU138" s="753">
        <v>0.999</v>
      </c>
      <c r="HV138" s="753">
        <v>0.999</v>
      </c>
      <c r="HW138" s="753">
        <v>0.999</v>
      </c>
      <c r="HX138" s="753">
        <v>0.999</v>
      </c>
      <c r="HY138" s="753">
        <v>0.999</v>
      </c>
      <c r="HZ138" s="753">
        <v>0.999</v>
      </c>
      <c r="IA138" s="753">
        <v>0.999</v>
      </c>
      <c r="IB138" s="753">
        <v>0.999</v>
      </c>
      <c r="IC138" s="753">
        <v>0.999</v>
      </c>
      <c r="ID138" s="753">
        <v>0.999</v>
      </c>
      <c r="IE138" s="753">
        <v>0.999</v>
      </c>
      <c r="IF138" s="753">
        <v>0.999</v>
      </c>
      <c r="IG138" s="753">
        <v>0.999</v>
      </c>
      <c r="IH138" s="753">
        <v>0.999</v>
      </c>
      <c r="II138" s="753">
        <v>0.998</v>
      </c>
      <c r="IJ138" s="753">
        <v>0.997</v>
      </c>
      <c r="IK138" s="753">
        <v>0.996</v>
      </c>
      <c r="IL138" s="753">
        <v>0.994</v>
      </c>
      <c r="IM138" s="753">
        <v>0.991</v>
      </c>
      <c r="IN138" s="753">
        <v>0.985</v>
      </c>
      <c r="IO138" s="753">
        <v>0.98</v>
      </c>
      <c r="IP138" s="753">
        <v>0.971</v>
      </c>
      <c r="IQ138" s="753">
        <v>0.953</v>
      </c>
      <c r="IR138" s="753">
        <v>0.92</v>
      </c>
      <c r="IS138" s="753">
        <v>0.847</v>
      </c>
      <c r="IT138" s="753">
        <v>0.701</v>
      </c>
      <c r="IU138" s="753">
        <v>0.432</v>
      </c>
      <c r="IV138" s="753">
        <v>0.137</v>
      </c>
      <c r="IW138" s="753"/>
      <c r="IX138" s="753"/>
      <c r="IY138" s="753"/>
      <c r="IZ138" s="753"/>
      <c r="JA138" s="754">
        <v>0.751</v>
      </c>
      <c r="JB138" s="754">
        <v>0.931</v>
      </c>
      <c r="JC138" s="754">
        <v>0.972</v>
      </c>
      <c r="JD138" s="754">
        <v>0.992</v>
      </c>
      <c r="JE138" s="754">
        <v>0.998</v>
      </c>
      <c r="JF138" s="754">
        <v>0.998</v>
      </c>
      <c r="JG138" s="754">
        <v>0.998</v>
      </c>
      <c r="JH138" s="754">
        <v>0.998</v>
      </c>
      <c r="JI138" s="754">
        <v>0.998</v>
      </c>
      <c r="JJ138" s="754">
        <v>0.998</v>
      </c>
      <c r="JK138" s="754">
        <v>0.998</v>
      </c>
      <c r="JL138" s="754">
        <v>0.998</v>
      </c>
      <c r="JM138" s="754">
        <v>0.998</v>
      </c>
      <c r="JN138" s="754">
        <v>0.998</v>
      </c>
      <c r="JO138" s="754">
        <v>0.998</v>
      </c>
      <c r="JP138" s="754">
        <v>0.998</v>
      </c>
      <c r="JQ138" s="754">
        <v>0.998</v>
      </c>
      <c r="JR138" s="754">
        <v>0.998</v>
      </c>
      <c r="JS138" s="754">
        <v>0.997</v>
      </c>
      <c r="JT138" s="754">
        <v>0.995</v>
      </c>
      <c r="JU138" s="754">
        <v>0.992</v>
      </c>
      <c r="JV138" s="754">
        <v>0.988</v>
      </c>
      <c r="JW138" s="754">
        <v>0.982</v>
      </c>
      <c r="JX138" s="754">
        <v>0.971</v>
      </c>
      <c r="JY138" s="754">
        <v>0.961</v>
      </c>
      <c r="JZ138" s="754">
        <v>0.942</v>
      </c>
      <c r="KA138" s="754">
        <v>0.908</v>
      </c>
      <c r="KB138" s="754">
        <v>0.846</v>
      </c>
      <c r="KC138" s="754">
        <v>0.718</v>
      </c>
      <c r="KD138" s="754">
        <v>0.491</v>
      </c>
      <c r="KE138" s="754">
        <v>0.186</v>
      </c>
      <c r="KF138" s="754">
        <v>0.019</v>
      </c>
      <c r="KG138" s="754"/>
      <c r="KH138" s="754"/>
      <c r="KI138" s="754"/>
      <c r="KJ138" s="754"/>
      <c r="KK138" s="765" t="s">
        <v>281</v>
      </c>
      <c r="KL138" s="738">
        <v>173</v>
      </c>
      <c r="KM138" s="738">
        <v>863</v>
      </c>
      <c r="KN138" s="646" t="s">
        <v>282</v>
      </c>
      <c r="KO138" s="646" t="s">
        <v>1166</v>
      </c>
      <c r="KP138" s="680">
        <v>816466</v>
      </c>
      <c r="KQ138" s="766" t="s">
        <v>1160</v>
      </c>
      <c r="KR138" s="750" t="s">
        <v>1161</v>
      </c>
      <c r="KS138" s="769" t="s">
        <v>1169</v>
      </c>
      <c r="KT138" s="770" t="s">
        <v>1161</v>
      </c>
      <c r="KU138" s="766" t="s">
        <v>1163</v>
      </c>
      <c r="KV138" s="750">
        <v>816466</v>
      </c>
      <c r="KW138" s="771" t="s">
        <v>1164</v>
      </c>
      <c r="KX138" s="750" t="s">
        <v>1165</v>
      </c>
      <c r="KY138" s="769"/>
      <c r="KZ138" s="770"/>
    </row>
    <row r="139" s="628" customFormat="1" customHeight="1" spans="1:312">
      <c r="A139" s="682" t="s">
        <v>374</v>
      </c>
      <c r="B139" s="683">
        <v>135</v>
      </c>
      <c r="C139" s="689" t="s">
        <v>1170</v>
      </c>
      <c r="D139" s="680">
        <v>835427</v>
      </c>
      <c r="E139" s="685">
        <v>42.72</v>
      </c>
      <c r="F139" s="685">
        <v>42.49</v>
      </c>
      <c r="G139" s="688">
        <v>0.019541</v>
      </c>
      <c r="H139" s="686">
        <v>0.019757</v>
      </c>
      <c r="I139" s="696">
        <v>1.79048</v>
      </c>
      <c r="J139" s="696">
        <v>1.79707</v>
      </c>
      <c r="K139" s="696">
        <v>1.80452</v>
      </c>
      <c r="L139" s="696">
        <v>1.81175</v>
      </c>
      <c r="M139" s="696">
        <v>1.81316</v>
      </c>
      <c r="N139" s="696">
        <v>1.81435</v>
      </c>
      <c r="O139" s="696">
        <v>1.81912</v>
      </c>
      <c r="P139" s="696">
        <v>1.82253</v>
      </c>
      <c r="Q139" s="697">
        <v>1.82573</v>
      </c>
      <c r="R139" s="697">
        <v>1.82897</v>
      </c>
      <c r="S139" s="697">
        <v>1.82989</v>
      </c>
      <c r="T139" s="701">
        <v>1.83076</v>
      </c>
      <c r="U139" s="697">
        <v>1.83463</v>
      </c>
      <c r="V139" s="697">
        <v>1.83481</v>
      </c>
      <c r="W139" s="697">
        <v>1.83944</v>
      </c>
      <c r="X139" s="697">
        <v>1.84851</v>
      </c>
      <c r="Y139" s="697">
        <v>1.84965</v>
      </c>
      <c r="Z139" s="697">
        <v>1.85955</v>
      </c>
      <c r="AA139" s="697">
        <v>1.86893</v>
      </c>
      <c r="AB139" s="697">
        <v>1.88543</v>
      </c>
      <c r="AC139" s="704">
        <v>3.27602602</v>
      </c>
      <c r="AD139" s="705">
        <v>-0.0140174355</v>
      </c>
      <c r="AE139" s="705">
        <v>0.0301024097</v>
      </c>
      <c r="AF139" s="705">
        <v>0.00106953465</v>
      </c>
      <c r="AG139" s="705">
        <v>-5.08713944e-5</v>
      </c>
      <c r="AH139" s="705">
        <v>5.04484426e-6</v>
      </c>
      <c r="AI139" s="709">
        <v>0.2989</v>
      </c>
      <c r="AJ139" s="709">
        <v>0.2369</v>
      </c>
      <c r="AK139" s="709">
        <v>0.565</v>
      </c>
      <c r="AL139" s="709">
        <v>0.249</v>
      </c>
      <c r="AM139" s="709">
        <v>0.2343</v>
      </c>
      <c r="AN139" s="709">
        <v>0.5011</v>
      </c>
      <c r="AO139" s="709">
        <v>-0.0025</v>
      </c>
      <c r="AP139" s="709">
        <v>-0.0077</v>
      </c>
      <c r="AQ139" s="709">
        <v>0.001</v>
      </c>
      <c r="AR139" s="709">
        <v>0.0011</v>
      </c>
      <c r="AS139" s="714">
        <v>2.8</v>
      </c>
      <c r="AT139" s="714">
        <v>2.8</v>
      </c>
      <c r="AU139" s="714">
        <v>2.8</v>
      </c>
      <c r="AV139" s="714">
        <v>2.7</v>
      </c>
      <c r="AW139" s="714">
        <v>2.7</v>
      </c>
      <c r="AX139" s="714">
        <v>2.7</v>
      </c>
      <c r="AY139" s="714">
        <v>2.8</v>
      </c>
      <c r="AZ139" s="714">
        <v>2.8</v>
      </c>
      <c r="BA139" s="714">
        <v>3</v>
      </c>
      <c r="BB139" s="714">
        <v>3.1</v>
      </c>
      <c r="BC139" s="714">
        <v>3.3</v>
      </c>
      <c r="BD139" s="714">
        <v>3.2</v>
      </c>
      <c r="BE139" s="714">
        <v>3.3</v>
      </c>
      <c r="BF139" s="714">
        <v>3.3</v>
      </c>
      <c r="BG139" s="714">
        <v>3.3</v>
      </c>
      <c r="BH139" s="714">
        <v>3.2</v>
      </c>
      <c r="BI139" s="714">
        <v>3.3</v>
      </c>
      <c r="BJ139" s="714">
        <v>3.4</v>
      </c>
      <c r="BK139" s="714">
        <v>3.4</v>
      </c>
      <c r="BL139" s="714">
        <v>3.5</v>
      </c>
      <c r="BM139" s="714">
        <v>3.6</v>
      </c>
      <c r="BN139" s="714">
        <v>3.7</v>
      </c>
      <c r="BO139" s="714">
        <v>3.6</v>
      </c>
      <c r="BP139" s="714">
        <v>3.6</v>
      </c>
      <c r="BQ139" s="714">
        <v>3.6</v>
      </c>
      <c r="BR139" s="714">
        <v>3.7</v>
      </c>
      <c r="BS139" s="714">
        <v>3.7</v>
      </c>
      <c r="BT139" s="714">
        <v>3.7</v>
      </c>
      <c r="BU139" s="714">
        <v>3.7</v>
      </c>
      <c r="BV139" s="714">
        <v>3.7</v>
      </c>
      <c r="BW139" s="714">
        <v>3.8</v>
      </c>
      <c r="BX139" s="714">
        <v>3.9</v>
      </c>
      <c r="BY139" s="714">
        <v>4</v>
      </c>
      <c r="BZ139" s="714">
        <v>3.6</v>
      </c>
      <c r="CA139" s="714">
        <v>3.6</v>
      </c>
      <c r="CB139" s="714">
        <v>3.7</v>
      </c>
      <c r="CC139" s="714">
        <v>3.7</v>
      </c>
      <c r="CD139" s="714">
        <v>3.7</v>
      </c>
      <c r="CE139" s="714">
        <v>3.7</v>
      </c>
      <c r="CF139" s="714">
        <v>3.7</v>
      </c>
      <c r="CG139" s="714">
        <v>3.7</v>
      </c>
      <c r="CH139" s="714">
        <v>3.8</v>
      </c>
      <c r="CI139" s="714">
        <v>4</v>
      </c>
      <c r="CJ139" s="714">
        <v>4.1</v>
      </c>
      <c r="CK139" s="714">
        <v>3.6</v>
      </c>
      <c r="CL139" s="715">
        <v>3.7</v>
      </c>
      <c r="CM139" s="715">
        <v>3.7</v>
      </c>
      <c r="CN139" s="715">
        <v>3.7</v>
      </c>
      <c r="CO139" s="715">
        <v>3.7</v>
      </c>
      <c r="CP139" s="715">
        <v>3.7</v>
      </c>
      <c r="CQ139" s="715">
        <v>3.8</v>
      </c>
      <c r="CR139" s="714">
        <v>3.8</v>
      </c>
      <c r="CS139" s="714">
        <v>4</v>
      </c>
      <c r="CT139" s="714">
        <v>4.1</v>
      </c>
      <c r="CU139" s="714">
        <v>4.2</v>
      </c>
      <c r="CV139" s="714">
        <v>3.8</v>
      </c>
      <c r="CW139" s="715">
        <v>3.8</v>
      </c>
      <c r="CX139" s="715">
        <v>3.9</v>
      </c>
      <c r="CY139" s="715">
        <v>3.9</v>
      </c>
      <c r="CZ139" s="715">
        <v>3.9</v>
      </c>
      <c r="DA139" s="715">
        <v>3.9</v>
      </c>
      <c r="DB139" s="715">
        <v>4</v>
      </c>
      <c r="DC139" s="714">
        <v>4.1</v>
      </c>
      <c r="DD139" s="714">
        <v>4.2</v>
      </c>
      <c r="DE139" s="714">
        <v>4.3</v>
      </c>
      <c r="DF139" s="714">
        <v>4.4</v>
      </c>
      <c r="DG139" s="714">
        <v>4.2</v>
      </c>
      <c r="DH139" s="715">
        <v>4.2</v>
      </c>
      <c r="DI139" s="715">
        <v>4.3</v>
      </c>
      <c r="DJ139" s="715">
        <v>4.3</v>
      </c>
      <c r="DK139" s="715">
        <v>4.3</v>
      </c>
      <c r="DL139" s="715">
        <v>4.3</v>
      </c>
      <c r="DM139" s="715">
        <v>4.4</v>
      </c>
      <c r="DN139" s="714">
        <v>4.4</v>
      </c>
      <c r="DO139" s="714">
        <v>4.5</v>
      </c>
      <c r="DP139" s="714">
        <v>4.6</v>
      </c>
      <c r="DQ139" s="714">
        <v>4.7</v>
      </c>
      <c r="DR139" s="714">
        <v>4.9</v>
      </c>
      <c r="DS139" s="715">
        <v>4.9</v>
      </c>
      <c r="DT139" s="715">
        <v>4.9</v>
      </c>
      <c r="DU139" s="715">
        <v>5</v>
      </c>
      <c r="DV139" s="715">
        <v>5</v>
      </c>
      <c r="DW139" s="715">
        <v>5</v>
      </c>
      <c r="DX139" s="715">
        <v>5.2</v>
      </c>
      <c r="DY139" s="714">
        <v>5.2</v>
      </c>
      <c r="DZ139" s="714">
        <v>5.3</v>
      </c>
      <c r="EA139" s="714">
        <v>5.5</v>
      </c>
      <c r="EB139" s="714">
        <v>5.7</v>
      </c>
      <c r="EC139" s="714">
        <v>5</v>
      </c>
      <c r="ED139" s="715">
        <v>5</v>
      </c>
      <c r="EE139" s="715">
        <v>5</v>
      </c>
      <c r="EF139" s="715">
        <v>5</v>
      </c>
      <c r="EG139" s="715">
        <v>5</v>
      </c>
      <c r="EH139" s="715">
        <v>5.1</v>
      </c>
      <c r="EI139" s="715">
        <v>5.2</v>
      </c>
      <c r="EJ139" s="714">
        <v>5.2</v>
      </c>
      <c r="EK139" s="714">
        <v>5.3</v>
      </c>
      <c r="EL139" s="714">
        <v>5.5</v>
      </c>
      <c r="EM139" s="714">
        <v>5.7</v>
      </c>
      <c r="EN139" s="714">
        <v>5.4</v>
      </c>
      <c r="EO139" s="715">
        <v>5.5</v>
      </c>
      <c r="EP139" s="715">
        <v>5.5</v>
      </c>
      <c r="EQ139" s="715">
        <v>5.6</v>
      </c>
      <c r="ER139" s="715">
        <v>5.6</v>
      </c>
      <c r="ES139" s="715">
        <v>5.7</v>
      </c>
      <c r="ET139" s="715">
        <v>6</v>
      </c>
      <c r="EU139" s="714">
        <v>6.1</v>
      </c>
      <c r="EV139" s="714">
        <v>6.2</v>
      </c>
      <c r="EW139" s="714">
        <v>6.3</v>
      </c>
      <c r="EX139" s="714">
        <v>6.4</v>
      </c>
      <c r="EY139" s="714">
        <v>0.7</v>
      </c>
      <c r="EZ139" s="715">
        <v>1.2</v>
      </c>
      <c r="FA139" s="715">
        <v>1.6</v>
      </c>
      <c r="FB139" s="715">
        <v>1.9</v>
      </c>
      <c r="FC139" s="715">
        <v>2.1</v>
      </c>
      <c r="FD139" s="715">
        <v>2.3</v>
      </c>
      <c r="FE139" s="715">
        <v>2.6</v>
      </c>
      <c r="FF139" s="714">
        <v>2.7</v>
      </c>
      <c r="FG139" s="714">
        <v>3</v>
      </c>
      <c r="FH139" s="714">
        <v>3.2</v>
      </c>
      <c r="FI139" s="714">
        <v>3.4</v>
      </c>
      <c r="FJ139" s="723">
        <v>1.12e-6</v>
      </c>
      <c r="FK139" s="723">
        <v>9.87e-9</v>
      </c>
      <c r="FL139" s="723">
        <v>-1.49e-11</v>
      </c>
      <c r="FM139" s="723">
        <v>6.99e-7</v>
      </c>
      <c r="FN139" s="723">
        <v>4.22e-10</v>
      </c>
      <c r="FO139" s="723">
        <v>0.211</v>
      </c>
      <c r="FP139" s="729">
        <v>1</v>
      </c>
      <c r="FQ139" s="729">
        <v>1</v>
      </c>
      <c r="FR139" s="729">
        <v>1</v>
      </c>
      <c r="FS139" s="729">
        <v>3</v>
      </c>
      <c r="FT139" s="729">
        <v>1</v>
      </c>
      <c r="FU139" s="729">
        <v>1</v>
      </c>
      <c r="FV139" s="681">
        <v>1</v>
      </c>
      <c r="FW139" s="729"/>
      <c r="FX139" s="729"/>
      <c r="FY139" s="729"/>
      <c r="FZ139" s="746">
        <v>711</v>
      </c>
      <c r="GA139" s="746">
        <v>739</v>
      </c>
      <c r="GB139" s="681">
        <v>640</v>
      </c>
      <c r="GC139" s="681">
        <v>687</v>
      </c>
      <c r="GD139" s="747">
        <v>0.88</v>
      </c>
      <c r="GE139" s="729"/>
      <c r="GF139" s="681">
        <v>68</v>
      </c>
      <c r="GG139" s="681">
        <v>84</v>
      </c>
      <c r="GH139" s="681">
        <v>60</v>
      </c>
      <c r="GI139" s="681">
        <v>62</v>
      </c>
      <c r="GJ139" s="681">
        <v>64</v>
      </c>
      <c r="GK139" s="681">
        <v>65</v>
      </c>
      <c r="GL139" s="681">
        <v>66</v>
      </c>
      <c r="GM139" s="681">
        <v>67</v>
      </c>
      <c r="GN139" s="681">
        <v>68</v>
      </c>
      <c r="GO139" s="681">
        <v>69</v>
      </c>
      <c r="GP139" s="681">
        <v>70</v>
      </c>
      <c r="GQ139" s="681">
        <v>71</v>
      </c>
      <c r="GR139" s="681">
        <v>71</v>
      </c>
      <c r="GS139" s="681">
        <v>72</v>
      </c>
      <c r="GT139" s="681">
        <v>72</v>
      </c>
      <c r="GU139" s="681">
        <v>73</v>
      </c>
      <c r="GV139" s="681">
        <v>74</v>
      </c>
      <c r="GW139" s="681">
        <v>75</v>
      </c>
      <c r="GX139" s="681">
        <v>76</v>
      </c>
      <c r="GY139" s="681">
        <v>77</v>
      </c>
      <c r="GZ139" s="681">
        <v>79</v>
      </c>
      <c r="HA139" s="681">
        <v>80</v>
      </c>
      <c r="HB139" s="681">
        <v>81</v>
      </c>
      <c r="HC139" s="681"/>
      <c r="HD139" s="750">
        <v>123</v>
      </c>
      <c r="HE139" s="681"/>
      <c r="HF139" s="681">
        <v>679</v>
      </c>
      <c r="HG139" s="681">
        <v>69</v>
      </c>
      <c r="HH139" s="714">
        <v>121.8</v>
      </c>
      <c r="HI139" s="714">
        <v>45.1</v>
      </c>
      <c r="HJ139" s="753">
        <v>0.349</v>
      </c>
      <c r="HK139" s="681">
        <v>69</v>
      </c>
      <c r="HL139" s="685">
        <v>1.23</v>
      </c>
      <c r="HM139" s="747">
        <v>4.66</v>
      </c>
      <c r="HN139" s="729" t="s">
        <v>1171</v>
      </c>
      <c r="HO139" s="729" t="s">
        <v>1172</v>
      </c>
      <c r="HP139" s="714">
        <v>-0.4</v>
      </c>
      <c r="HQ139" s="753">
        <v>0.903</v>
      </c>
      <c r="HR139" s="753">
        <v>0.979</v>
      </c>
      <c r="HS139" s="753">
        <v>0.993</v>
      </c>
      <c r="HT139" s="753">
        <v>0.999</v>
      </c>
      <c r="HU139" s="753">
        <v>0.999</v>
      </c>
      <c r="HV139" s="753">
        <v>0.999</v>
      </c>
      <c r="HW139" s="753">
        <v>0.999</v>
      </c>
      <c r="HX139" s="753">
        <v>0.999</v>
      </c>
      <c r="HY139" s="753">
        <v>0.999</v>
      </c>
      <c r="HZ139" s="753">
        <v>0.999</v>
      </c>
      <c r="IA139" s="753">
        <v>0.999</v>
      </c>
      <c r="IB139" s="753">
        <v>0.999</v>
      </c>
      <c r="IC139" s="753">
        <v>0.999</v>
      </c>
      <c r="ID139" s="753">
        <v>0.999</v>
      </c>
      <c r="IE139" s="753">
        <v>0.999</v>
      </c>
      <c r="IF139" s="753">
        <v>0.999</v>
      </c>
      <c r="IG139" s="753">
        <v>0.999</v>
      </c>
      <c r="IH139" s="753">
        <v>0.999</v>
      </c>
      <c r="II139" s="753">
        <v>0.999</v>
      </c>
      <c r="IJ139" s="753">
        <v>0.997</v>
      </c>
      <c r="IK139" s="753">
        <v>0.995</v>
      </c>
      <c r="IL139" s="753">
        <v>0.992</v>
      </c>
      <c r="IM139" s="753">
        <v>0.987</v>
      </c>
      <c r="IN139" s="753">
        <v>0.978</v>
      </c>
      <c r="IO139" s="753">
        <v>0.969</v>
      </c>
      <c r="IP139" s="753">
        <v>0.956</v>
      </c>
      <c r="IQ139" s="753">
        <v>0.934</v>
      </c>
      <c r="IR139" s="753">
        <v>0.897</v>
      </c>
      <c r="IS139" s="753">
        <v>0.829</v>
      </c>
      <c r="IT139" s="753">
        <v>0.726</v>
      </c>
      <c r="IU139" s="753">
        <v>0.544</v>
      </c>
      <c r="IV139" s="753">
        <v>0.25</v>
      </c>
      <c r="IW139" s="753"/>
      <c r="IX139" s="753"/>
      <c r="IY139" s="753"/>
      <c r="IZ139" s="753"/>
      <c r="JA139" s="754">
        <v>0.808</v>
      </c>
      <c r="JB139" s="754">
        <v>0.954</v>
      </c>
      <c r="JC139" s="754">
        <v>0.985</v>
      </c>
      <c r="JD139" s="754">
        <v>0.998</v>
      </c>
      <c r="JE139" s="754">
        <v>0.998</v>
      </c>
      <c r="JF139" s="754">
        <v>0.998</v>
      </c>
      <c r="JG139" s="754">
        <v>0.998</v>
      </c>
      <c r="JH139" s="754">
        <v>0.998</v>
      </c>
      <c r="JI139" s="754">
        <v>0.998</v>
      </c>
      <c r="JJ139" s="754">
        <v>0.998</v>
      </c>
      <c r="JK139" s="754">
        <v>0.998</v>
      </c>
      <c r="JL139" s="754">
        <v>0.998</v>
      </c>
      <c r="JM139" s="754">
        <v>0.998</v>
      </c>
      <c r="JN139" s="754">
        <v>0.998</v>
      </c>
      <c r="JO139" s="754">
        <v>0.998</v>
      </c>
      <c r="JP139" s="754">
        <v>0.998</v>
      </c>
      <c r="JQ139" s="754">
        <v>0.998</v>
      </c>
      <c r="JR139" s="754">
        <v>0.998</v>
      </c>
      <c r="JS139" s="754">
        <v>0.998</v>
      </c>
      <c r="JT139" s="754">
        <v>0.994</v>
      </c>
      <c r="JU139" s="754">
        <v>0.99</v>
      </c>
      <c r="JV139" s="754">
        <v>0.984</v>
      </c>
      <c r="JW139" s="754">
        <v>0.974</v>
      </c>
      <c r="JX139" s="754">
        <v>0.957</v>
      </c>
      <c r="JY139" s="754">
        <v>0.939</v>
      </c>
      <c r="JZ139" s="754">
        <v>0.913</v>
      </c>
      <c r="KA139" s="754">
        <v>0.866</v>
      </c>
      <c r="KB139" s="754">
        <v>0.801</v>
      </c>
      <c r="KC139" s="754">
        <v>0.681</v>
      </c>
      <c r="KD139" s="754">
        <v>0.522</v>
      </c>
      <c r="KE139" s="754">
        <v>0.29</v>
      </c>
      <c r="KF139" s="754">
        <v>0.065</v>
      </c>
      <c r="KG139" s="754"/>
      <c r="KH139" s="754"/>
      <c r="KI139" s="754"/>
      <c r="KJ139" s="754"/>
      <c r="KK139" s="765" t="s">
        <v>281</v>
      </c>
      <c r="KL139" s="738">
        <v>68</v>
      </c>
      <c r="KM139" s="738">
        <v>317</v>
      </c>
      <c r="KN139" s="646" t="s">
        <v>339</v>
      </c>
      <c r="KO139" s="646" t="s">
        <v>1170</v>
      </c>
      <c r="KP139" s="680">
        <v>835427</v>
      </c>
      <c r="KQ139" s="766" t="s">
        <v>1173</v>
      </c>
      <c r="KR139" s="750" t="s">
        <v>1174</v>
      </c>
      <c r="KS139" s="769" t="s">
        <v>1175</v>
      </c>
      <c r="KT139" s="770" t="s">
        <v>1174</v>
      </c>
      <c r="KU139" s="766" t="s">
        <v>1176</v>
      </c>
      <c r="KV139" s="750">
        <v>835427</v>
      </c>
      <c r="KW139" s="771" t="s">
        <v>1177</v>
      </c>
      <c r="KX139" s="750" t="s">
        <v>1174</v>
      </c>
      <c r="KY139" s="769" t="s">
        <v>1178</v>
      </c>
      <c r="KZ139" s="770" t="s">
        <v>1179</v>
      </c>
    </row>
    <row r="140" s="628" customFormat="1" customHeight="1" spans="1:312">
      <c r="A140" s="682" t="s">
        <v>277</v>
      </c>
      <c r="B140" s="683">
        <v>136</v>
      </c>
      <c r="C140" s="684" t="s">
        <v>1180</v>
      </c>
      <c r="D140" s="679">
        <v>835427</v>
      </c>
      <c r="E140" s="685">
        <v>42.73</v>
      </c>
      <c r="F140" s="685">
        <v>42.47</v>
      </c>
      <c r="G140" s="688">
        <v>0.019536</v>
      </c>
      <c r="H140" s="686">
        <v>0.019763</v>
      </c>
      <c r="I140" s="696"/>
      <c r="J140" s="696"/>
      <c r="K140" s="696"/>
      <c r="L140" s="696">
        <v>1.8118</v>
      </c>
      <c r="M140" s="696">
        <v>1.81318</v>
      </c>
      <c r="N140" s="696">
        <v>1.81435</v>
      </c>
      <c r="O140" s="696">
        <v>1.81911</v>
      </c>
      <c r="P140" s="696">
        <v>1.82252</v>
      </c>
      <c r="Q140" s="697">
        <v>1.82573</v>
      </c>
      <c r="R140" s="697">
        <v>1.82898</v>
      </c>
      <c r="S140" s="697">
        <v>1.82989</v>
      </c>
      <c r="T140" s="701">
        <v>1.83075</v>
      </c>
      <c r="U140" s="697">
        <v>1.83462</v>
      </c>
      <c r="V140" s="697">
        <v>1.8348</v>
      </c>
      <c r="W140" s="697">
        <v>1.83944</v>
      </c>
      <c r="X140" s="697">
        <v>1.84851</v>
      </c>
      <c r="Y140" s="697">
        <v>1.84966</v>
      </c>
      <c r="Z140" s="697">
        <v>1.85957</v>
      </c>
      <c r="AA140" s="697">
        <v>1.86898</v>
      </c>
      <c r="AB140" s="697">
        <v>1.88548</v>
      </c>
      <c r="AC140" s="704">
        <v>3.27268654</v>
      </c>
      <c r="AD140" s="705">
        <v>-0.0124121074</v>
      </c>
      <c r="AE140" s="705">
        <v>0.0325240977</v>
      </c>
      <c r="AF140" s="705">
        <v>0.000280005824</v>
      </c>
      <c r="AG140" s="705">
        <v>6.56199252e-5</v>
      </c>
      <c r="AH140" s="705">
        <v>-1.14502008e-6</v>
      </c>
      <c r="AI140" s="709">
        <v>0.2979</v>
      </c>
      <c r="AJ140" s="709">
        <v>0.2375</v>
      </c>
      <c r="AK140" s="709">
        <v>0.5661</v>
      </c>
      <c r="AL140" s="709">
        <v>0.2484</v>
      </c>
      <c r="AM140" s="709">
        <v>0.2348</v>
      </c>
      <c r="AN140" s="709">
        <v>0.5014</v>
      </c>
      <c r="AO140" s="709">
        <v>-0.0023</v>
      </c>
      <c r="AP140" s="709">
        <v>-0.0065</v>
      </c>
      <c r="AQ140" s="709">
        <v>0.0017</v>
      </c>
      <c r="AR140" s="709">
        <v>0.0023</v>
      </c>
      <c r="AS140" s="714">
        <v>2.3</v>
      </c>
      <c r="AT140" s="716">
        <v>2.4</v>
      </c>
      <c r="AU140" s="716">
        <v>2.5</v>
      </c>
      <c r="AV140" s="716">
        <v>2.7</v>
      </c>
      <c r="AW140" s="716">
        <v>3</v>
      </c>
      <c r="AX140" s="716">
        <v>3.2</v>
      </c>
      <c r="AY140" s="716">
        <v>3.4</v>
      </c>
      <c r="AZ140" s="716">
        <v>3.7</v>
      </c>
      <c r="BA140" s="716">
        <v>3.9</v>
      </c>
      <c r="BB140" s="716">
        <v>4.1</v>
      </c>
      <c r="BC140" s="716">
        <v>4.3</v>
      </c>
      <c r="BD140" s="716">
        <v>2.5</v>
      </c>
      <c r="BE140" s="716">
        <v>2.6</v>
      </c>
      <c r="BF140" s="716">
        <v>2.7</v>
      </c>
      <c r="BG140" s="716">
        <v>2.9</v>
      </c>
      <c r="BH140" s="716">
        <v>3.2</v>
      </c>
      <c r="BI140" s="716">
        <v>3.4</v>
      </c>
      <c r="BJ140" s="716">
        <v>3.6</v>
      </c>
      <c r="BK140" s="716">
        <v>3.9</v>
      </c>
      <c r="BL140" s="716">
        <v>4.1</v>
      </c>
      <c r="BM140" s="716">
        <v>4.3</v>
      </c>
      <c r="BN140" s="716">
        <v>4.5</v>
      </c>
      <c r="BO140" s="716">
        <v>3</v>
      </c>
      <c r="BP140" s="716">
        <v>3.1</v>
      </c>
      <c r="BQ140" s="716">
        <v>3.2</v>
      </c>
      <c r="BR140" s="716">
        <v>3.4</v>
      </c>
      <c r="BS140" s="716">
        <v>3.7</v>
      </c>
      <c r="BT140" s="716">
        <v>3.9</v>
      </c>
      <c r="BU140" s="716">
        <v>4.1</v>
      </c>
      <c r="BV140" s="716">
        <v>4.3</v>
      </c>
      <c r="BW140" s="716">
        <v>4.6</v>
      </c>
      <c r="BX140" s="716">
        <v>4.8</v>
      </c>
      <c r="BY140" s="716">
        <v>5</v>
      </c>
      <c r="BZ140" s="716">
        <v>3.1</v>
      </c>
      <c r="CA140" s="716">
        <v>3.1</v>
      </c>
      <c r="CB140" s="716">
        <v>3.3</v>
      </c>
      <c r="CC140" s="716">
        <v>3.5</v>
      </c>
      <c r="CD140" s="716">
        <v>3.7</v>
      </c>
      <c r="CE140" s="716">
        <v>3.9</v>
      </c>
      <c r="CF140" s="716">
        <v>4.2</v>
      </c>
      <c r="CG140" s="716">
        <v>4.4</v>
      </c>
      <c r="CH140" s="716">
        <v>4.6</v>
      </c>
      <c r="CI140" s="716">
        <v>4.8</v>
      </c>
      <c r="CJ140" s="716">
        <v>5</v>
      </c>
      <c r="CK140" s="716">
        <v>3.1</v>
      </c>
      <c r="CL140" s="719">
        <v>3.2</v>
      </c>
      <c r="CM140" s="719">
        <v>3.4</v>
      </c>
      <c r="CN140" s="719">
        <v>3.5</v>
      </c>
      <c r="CO140" s="719">
        <v>3.8</v>
      </c>
      <c r="CP140" s="719">
        <v>4</v>
      </c>
      <c r="CQ140" s="719">
        <v>4.2</v>
      </c>
      <c r="CR140" s="716">
        <v>4.5</v>
      </c>
      <c r="CS140" s="716">
        <v>4.7</v>
      </c>
      <c r="CT140" s="716">
        <v>4.9</v>
      </c>
      <c r="CU140" s="716">
        <v>5.1</v>
      </c>
      <c r="CV140" s="716">
        <v>3.4</v>
      </c>
      <c r="CW140" s="719">
        <v>3.5</v>
      </c>
      <c r="CX140" s="719">
        <v>3.6</v>
      </c>
      <c r="CY140" s="719">
        <v>3.8</v>
      </c>
      <c r="CZ140" s="719">
        <v>4</v>
      </c>
      <c r="DA140" s="719">
        <v>4.2</v>
      </c>
      <c r="DB140" s="719">
        <v>4.4</v>
      </c>
      <c r="DC140" s="716">
        <v>4.7</v>
      </c>
      <c r="DD140" s="716">
        <v>4.9</v>
      </c>
      <c r="DE140" s="716">
        <v>5.1</v>
      </c>
      <c r="DF140" s="716">
        <v>5.3</v>
      </c>
      <c r="DG140" s="716">
        <v>3.7</v>
      </c>
      <c r="DH140" s="719">
        <v>3.7</v>
      </c>
      <c r="DI140" s="719">
        <v>3.9</v>
      </c>
      <c r="DJ140" s="719">
        <v>4.1</v>
      </c>
      <c r="DK140" s="719">
        <v>4.3</v>
      </c>
      <c r="DL140" s="719">
        <v>4.5</v>
      </c>
      <c r="DM140" s="719">
        <v>4.7</v>
      </c>
      <c r="DN140" s="716">
        <v>4.9</v>
      </c>
      <c r="DO140" s="716">
        <v>5.1</v>
      </c>
      <c r="DP140" s="716">
        <v>5.3</v>
      </c>
      <c r="DQ140" s="716">
        <v>5.5</v>
      </c>
      <c r="DR140" s="716">
        <v>4.3</v>
      </c>
      <c r="DS140" s="719">
        <v>4.3</v>
      </c>
      <c r="DT140" s="719">
        <v>4.5</v>
      </c>
      <c r="DU140" s="719">
        <v>4.6</v>
      </c>
      <c r="DV140" s="719">
        <v>4.8</v>
      </c>
      <c r="DW140" s="719">
        <v>5</v>
      </c>
      <c r="DX140" s="719">
        <v>5.3</v>
      </c>
      <c r="DY140" s="716">
        <v>5.5</v>
      </c>
      <c r="DZ140" s="716">
        <v>5.7</v>
      </c>
      <c r="EA140" s="716">
        <v>5.8</v>
      </c>
      <c r="EB140" s="716">
        <v>6</v>
      </c>
      <c r="EC140" s="716">
        <v>4.4</v>
      </c>
      <c r="ED140" s="719">
        <v>4.4</v>
      </c>
      <c r="EE140" s="719">
        <v>4.5</v>
      </c>
      <c r="EF140" s="719">
        <v>4.7</v>
      </c>
      <c r="EG140" s="719">
        <v>4.9</v>
      </c>
      <c r="EH140" s="719">
        <v>5.1</v>
      </c>
      <c r="EI140" s="719">
        <v>5.3</v>
      </c>
      <c r="EJ140" s="716">
        <v>5.5</v>
      </c>
      <c r="EK140" s="716">
        <v>5.7</v>
      </c>
      <c r="EL140" s="716">
        <v>5.9</v>
      </c>
      <c r="EM140" s="716">
        <v>6.1</v>
      </c>
      <c r="EN140" s="716">
        <v>5.1</v>
      </c>
      <c r="EO140" s="719">
        <v>5.1</v>
      </c>
      <c r="EP140" s="719">
        <v>5.2</v>
      </c>
      <c r="EQ140" s="719">
        <v>5.4</v>
      </c>
      <c r="ER140" s="719">
        <v>5.6</v>
      </c>
      <c r="ES140" s="719">
        <v>5.8</v>
      </c>
      <c r="ET140" s="719">
        <v>6</v>
      </c>
      <c r="EU140" s="716">
        <v>6.2</v>
      </c>
      <c r="EV140" s="716">
        <v>6.3</v>
      </c>
      <c r="EW140" s="716">
        <v>6.5</v>
      </c>
      <c r="EX140" s="716">
        <v>6.6</v>
      </c>
      <c r="EY140" s="716">
        <v>0.2</v>
      </c>
      <c r="EZ140" s="719">
        <v>0.7</v>
      </c>
      <c r="FA140" s="719">
        <v>1.2</v>
      </c>
      <c r="FB140" s="719">
        <v>1.7</v>
      </c>
      <c r="FC140" s="719">
        <v>2.2</v>
      </c>
      <c r="FD140" s="719">
        <v>2.6</v>
      </c>
      <c r="FE140" s="719">
        <v>3</v>
      </c>
      <c r="FF140" s="716">
        <v>3.3</v>
      </c>
      <c r="FG140" s="716">
        <v>3.7</v>
      </c>
      <c r="FH140" s="716">
        <v>4</v>
      </c>
      <c r="FI140" s="716">
        <v>4.2</v>
      </c>
      <c r="FJ140" s="723">
        <v>1.17e-6</v>
      </c>
      <c r="FK140" s="724">
        <v>1.86e-8</v>
      </c>
      <c r="FL140" s="724">
        <v>-1.96e-11</v>
      </c>
      <c r="FM140" s="724">
        <v>6.71e-7</v>
      </c>
      <c r="FN140" s="724">
        <v>-3.97e-10</v>
      </c>
      <c r="FO140" s="724">
        <v>0.198</v>
      </c>
      <c r="FP140" s="729">
        <v>1</v>
      </c>
      <c r="FQ140" s="729">
        <v>1</v>
      </c>
      <c r="FR140" s="729">
        <v>1</v>
      </c>
      <c r="FS140" s="729">
        <v>3</v>
      </c>
      <c r="FT140" s="729">
        <v>1</v>
      </c>
      <c r="FU140" s="729">
        <v>1</v>
      </c>
      <c r="FV140" s="681">
        <v>1</v>
      </c>
      <c r="FW140" s="729"/>
      <c r="FX140" s="729"/>
      <c r="FY140" s="729"/>
      <c r="FZ140" s="782">
        <v>701</v>
      </c>
      <c r="GA140" s="782">
        <v>745</v>
      </c>
      <c r="GB140" s="681">
        <v>635</v>
      </c>
      <c r="GC140" s="681">
        <v>682</v>
      </c>
      <c r="GD140" s="747">
        <v>0.94</v>
      </c>
      <c r="GE140" s="729"/>
      <c r="GF140" s="681">
        <v>64</v>
      </c>
      <c r="GG140" s="681">
        <v>80</v>
      </c>
      <c r="GH140" s="681">
        <v>59</v>
      </c>
      <c r="GI140" s="681">
        <v>60</v>
      </c>
      <c r="GJ140" s="681">
        <v>60</v>
      </c>
      <c r="GK140" s="681">
        <v>62</v>
      </c>
      <c r="GL140" s="681">
        <v>63</v>
      </c>
      <c r="GM140" s="681">
        <v>63</v>
      </c>
      <c r="GN140" s="681">
        <v>65</v>
      </c>
      <c r="GO140" s="681">
        <v>66</v>
      </c>
      <c r="GP140" s="681">
        <v>67</v>
      </c>
      <c r="GQ140" s="681">
        <v>68</v>
      </c>
      <c r="GR140" s="681">
        <v>68</v>
      </c>
      <c r="GS140" s="681">
        <v>69</v>
      </c>
      <c r="GT140" s="681">
        <v>70</v>
      </c>
      <c r="GU140" s="681">
        <v>71</v>
      </c>
      <c r="GV140" s="681">
        <v>72</v>
      </c>
      <c r="GW140" s="681">
        <v>73</v>
      </c>
      <c r="GX140" s="681">
        <v>73</v>
      </c>
      <c r="GY140" s="681">
        <v>74</v>
      </c>
      <c r="GZ140" s="681">
        <v>76</v>
      </c>
      <c r="HA140" s="681">
        <v>77</v>
      </c>
      <c r="HB140" s="681">
        <v>77</v>
      </c>
      <c r="HC140" s="681"/>
      <c r="HD140" s="750">
        <v>137</v>
      </c>
      <c r="HE140" s="681"/>
      <c r="HF140" s="681">
        <v>733</v>
      </c>
      <c r="HG140" s="738">
        <v>135</v>
      </c>
      <c r="HH140" s="714">
        <v>122.3</v>
      </c>
      <c r="HI140" s="714">
        <v>46.6</v>
      </c>
      <c r="HJ140" s="753">
        <v>0.313</v>
      </c>
      <c r="HK140" s="681">
        <v>135</v>
      </c>
      <c r="HL140" s="685">
        <v>1.15</v>
      </c>
      <c r="HM140" s="747">
        <v>4.62</v>
      </c>
      <c r="HN140" s="729" t="s">
        <v>1076</v>
      </c>
      <c r="HO140" s="729" t="s">
        <v>980</v>
      </c>
      <c r="HP140" s="714">
        <v>-0.8</v>
      </c>
      <c r="HQ140" s="753">
        <v>0.8782</v>
      </c>
      <c r="HR140" s="753">
        <v>0.9618</v>
      </c>
      <c r="HS140" s="753">
        <v>0.9824</v>
      </c>
      <c r="HT140" s="753">
        <v>0.9936</v>
      </c>
      <c r="HU140" s="753">
        <v>0.9984</v>
      </c>
      <c r="HV140" s="753">
        <v>0.9984</v>
      </c>
      <c r="HW140" s="753">
        <v>0.9992</v>
      </c>
      <c r="HX140" s="753">
        <v>0.9992</v>
      </c>
      <c r="HY140" s="753">
        <v>0.9992</v>
      </c>
      <c r="HZ140" s="753">
        <v>0.999</v>
      </c>
      <c r="IA140" s="753">
        <v>0.999</v>
      </c>
      <c r="IB140" s="753">
        <v>0.999</v>
      </c>
      <c r="IC140" s="753">
        <v>0.999</v>
      </c>
      <c r="ID140" s="753">
        <v>0.999</v>
      </c>
      <c r="IE140" s="753">
        <v>0.999</v>
      </c>
      <c r="IF140" s="753">
        <v>0.999</v>
      </c>
      <c r="IG140" s="753">
        <v>0.999</v>
      </c>
      <c r="IH140" s="753">
        <v>0.9988</v>
      </c>
      <c r="II140" s="753">
        <v>0.9978</v>
      </c>
      <c r="IJ140" s="753">
        <v>0.997</v>
      </c>
      <c r="IK140" s="753">
        <v>0.9952</v>
      </c>
      <c r="IL140" s="753">
        <v>0.992</v>
      </c>
      <c r="IM140" s="753">
        <v>0.987</v>
      </c>
      <c r="IN140" s="753">
        <v>0.978</v>
      </c>
      <c r="IO140" s="753">
        <v>0.969</v>
      </c>
      <c r="IP140" s="753">
        <v>0.956</v>
      </c>
      <c r="IQ140" s="753">
        <v>0.929</v>
      </c>
      <c r="IR140" s="753">
        <v>0.8692</v>
      </c>
      <c r="IS140" s="753">
        <v>0.7124</v>
      </c>
      <c r="IT140" s="753">
        <v>0.4088</v>
      </c>
      <c r="IU140" s="753"/>
      <c r="IV140" s="753"/>
      <c r="IW140" s="753"/>
      <c r="IX140" s="753"/>
      <c r="IY140" s="753"/>
      <c r="IZ140" s="753"/>
      <c r="JA140" s="753">
        <v>0.767</v>
      </c>
      <c r="JB140" s="753">
        <v>0.923</v>
      </c>
      <c r="JC140" s="753">
        <v>0.965</v>
      </c>
      <c r="JD140" s="753">
        <v>0.986</v>
      </c>
      <c r="JE140" s="753">
        <v>0.995</v>
      </c>
      <c r="JF140" s="753">
        <v>0.996</v>
      </c>
      <c r="JG140" s="753">
        <v>0.998</v>
      </c>
      <c r="JH140" s="753">
        <v>0.998</v>
      </c>
      <c r="JI140" s="753">
        <v>0.998</v>
      </c>
      <c r="JJ140" s="753">
        <v>0.998</v>
      </c>
      <c r="JK140" s="753">
        <v>0.998</v>
      </c>
      <c r="JL140" s="753">
        <v>0.998</v>
      </c>
      <c r="JM140" s="753">
        <v>0.998</v>
      </c>
      <c r="JN140" s="753">
        <v>0.998</v>
      </c>
      <c r="JO140" s="753">
        <v>0.998</v>
      </c>
      <c r="JP140" s="753">
        <v>0.998</v>
      </c>
      <c r="JQ140" s="753">
        <v>0.998</v>
      </c>
      <c r="JR140" s="753">
        <v>0.998</v>
      </c>
      <c r="JS140" s="753">
        <v>0.995</v>
      </c>
      <c r="JT140" s="753">
        <v>0.993</v>
      </c>
      <c r="JU140" s="753">
        <v>0.99</v>
      </c>
      <c r="JV140" s="753">
        <v>0.984</v>
      </c>
      <c r="JW140" s="753">
        <v>0.974</v>
      </c>
      <c r="JX140" s="753">
        <v>0.957</v>
      </c>
      <c r="JY140" s="753">
        <v>0.939</v>
      </c>
      <c r="JZ140" s="753">
        <v>0.913</v>
      </c>
      <c r="KA140" s="753">
        <v>0.863</v>
      </c>
      <c r="KB140" s="753">
        <v>0.753</v>
      </c>
      <c r="KC140" s="753">
        <v>0.504</v>
      </c>
      <c r="KD140" s="753">
        <v>0.168</v>
      </c>
      <c r="KE140" s="753"/>
      <c r="KF140" s="753"/>
      <c r="KG140" s="753"/>
      <c r="KH140" s="753"/>
      <c r="KI140" s="753"/>
      <c r="KJ140" s="754"/>
      <c r="KK140" s="765" t="s">
        <v>281</v>
      </c>
      <c r="KL140" s="738">
        <v>57</v>
      </c>
      <c r="KM140" s="738">
        <v>263</v>
      </c>
      <c r="KN140" s="646" t="s">
        <v>282</v>
      </c>
      <c r="KO140" s="646" t="s">
        <v>1180</v>
      </c>
      <c r="KP140" s="679">
        <v>835427</v>
      </c>
      <c r="KQ140" s="766" t="s">
        <v>1173</v>
      </c>
      <c r="KR140" s="750" t="s">
        <v>1174</v>
      </c>
      <c r="KS140" s="769" t="s">
        <v>1175</v>
      </c>
      <c r="KT140" s="770" t="s">
        <v>1174</v>
      </c>
      <c r="KU140" s="766" t="s">
        <v>1176</v>
      </c>
      <c r="KV140" s="750">
        <v>835427</v>
      </c>
      <c r="KW140" s="771" t="s">
        <v>1177</v>
      </c>
      <c r="KX140" s="750" t="s">
        <v>1174</v>
      </c>
      <c r="KY140" s="769" t="s">
        <v>1178</v>
      </c>
      <c r="KZ140" s="770" t="s">
        <v>1179</v>
      </c>
    </row>
    <row r="141" s="628" customFormat="1" customHeight="1" spans="1:312">
      <c r="A141" s="682" t="s">
        <v>277</v>
      </c>
      <c r="B141" s="683">
        <v>137</v>
      </c>
      <c r="C141" s="689" t="s">
        <v>1181</v>
      </c>
      <c r="D141" s="680">
        <v>806333</v>
      </c>
      <c r="E141" s="685">
        <v>33.27</v>
      </c>
      <c r="F141" s="685">
        <v>33.03</v>
      </c>
      <c r="G141" s="688">
        <v>0.024229</v>
      </c>
      <c r="H141" s="686">
        <v>0.024579</v>
      </c>
      <c r="I141" s="696">
        <v>1.7572</v>
      </c>
      <c r="J141" s="696">
        <v>1.76373</v>
      </c>
      <c r="K141" s="696">
        <v>1.77128</v>
      </c>
      <c r="L141" s="696">
        <v>1.77899</v>
      </c>
      <c r="M141" s="696">
        <v>1.78055</v>
      </c>
      <c r="N141" s="696">
        <v>1.78188</v>
      </c>
      <c r="O141" s="696">
        <v>1.78735</v>
      </c>
      <c r="P141" s="696">
        <v>1.79134</v>
      </c>
      <c r="Q141" s="697">
        <v>1.79513</v>
      </c>
      <c r="R141" s="697">
        <v>1.79902</v>
      </c>
      <c r="S141" s="697">
        <v>1.80013</v>
      </c>
      <c r="T141" s="701">
        <v>1.80117</v>
      </c>
      <c r="U141" s="697">
        <v>1.80589</v>
      </c>
      <c r="V141" s="697">
        <v>1.8061</v>
      </c>
      <c r="W141" s="697">
        <v>1.81184</v>
      </c>
      <c r="X141" s="697">
        <v>1.82325</v>
      </c>
      <c r="Y141" s="697">
        <v>1.82471</v>
      </c>
      <c r="Z141" s="697">
        <v>1.83761</v>
      </c>
      <c r="AA141" s="697">
        <v>1.85023</v>
      </c>
      <c r="AB141" s="697">
        <v>1.87349</v>
      </c>
      <c r="AC141" s="704">
        <v>3.15342504</v>
      </c>
      <c r="AD141" s="705">
        <v>-0.0133526633</v>
      </c>
      <c r="AE141" s="705">
        <v>0.035078543</v>
      </c>
      <c r="AF141" s="705">
        <v>0.00138157034</v>
      </c>
      <c r="AG141" s="705">
        <v>-2.77539295e-5</v>
      </c>
      <c r="AH141" s="705">
        <v>9.11774978e-6</v>
      </c>
      <c r="AI141" s="709">
        <v>0.2922</v>
      </c>
      <c r="AJ141" s="709">
        <v>0.2369</v>
      </c>
      <c r="AK141" s="709">
        <v>0.5927</v>
      </c>
      <c r="AL141" s="709">
        <v>0.2429</v>
      </c>
      <c r="AM141" s="709">
        <v>0.2335</v>
      </c>
      <c r="AN141" s="709">
        <v>0.5248</v>
      </c>
      <c r="AO141" s="709">
        <v>-0.0009</v>
      </c>
      <c r="AP141" s="709">
        <v>0.0043</v>
      </c>
      <c r="AQ141" s="709">
        <v>0.0061</v>
      </c>
      <c r="AR141" s="709">
        <v>0.0014</v>
      </c>
      <c r="AS141" s="714">
        <v>3.8</v>
      </c>
      <c r="AT141" s="714">
        <v>3.8</v>
      </c>
      <c r="AU141" s="714">
        <v>3.8</v>
      </c>
      <c r="AV141" s="714">
        <v>3.8</v>
      </c>
      <c r="AW141" s="714">
        <v>3.8</v>
      </c>
      <c r="AX141" s="714">
        <v>3.9</v>
      </c>
      <c r="AY141" s="714">
        <v>3.9</v>
      </c>
      <c r="AZ141" s="714">
        <v>3.9</v>
      </c>
      <c r="BA141" s="714">
        <v>4</v>
      </c>
      <c r="BB141" s="714">
        <v>4</v>
      </c>
      <c r="BC141" s="714">
        <v>4</v>
      </c>
      <c r="BD141" s="714">
        <v>4.2</v>
      </c>
      <c r="BE141" s="714">
        <v>4.3</v>
      </c>
      <c r="BF141" s="714">
        <v>4.5</v>
      </c>
      <c r="BG141" s="714">
        <v>4.6</v>
      </c>
      <c r="BH141" s="714">
        <v>4.6</v>
      </c>
      <c r="BI141" s="714">
        <v>4.8</v>
      </c>
      <c r="BJ141" s="714">
        <v>4.8</v>
      </c>
      <c r="BK141" s="714">
        <v>4.9</v>
      </c>
      <c r="BL141" s="714">
        <v>5.1</v>
      </c>
      <c r="BM141" s="714">
        <v>5.2</v>
      </c>
      <c r="BN141" s="714">
        <v>5.3</v>
      </c>
      <c r="BO141" s="714">
        <v>4.7</v>
      </c>
      <c r="BP141" s="714">
        <v>4.8</v>
      </c>
      <c r="BQ141" s="714">
        <v>4.9</v>
      </c>
      <c r="BR141" s="714">
        <v>4.9</v>
      </c>
      <c r="BS141" s="714">
        <v>5</v>
      </c>
      <c r="BT141" s="714">
        <v>5.2</v>
      </c>
      <c r="BU141" s="714">
        <v>5.4</v>
      </c>
      <c r="BV141" s="714">
        <v>5.5</v>
      </c>
      <c r="BW141" s="714">
        <v>5.7</v>
      </c>
      <c r="BX141" s="714">
        <v>5.8</v>
      </c>
      <c r="BY141" s="714">
        <v>5.9</v>
      </c>
      <c r="BZ141" s="714">
        <v>4.8</v>
      </c>
      <c r="CA141" s="714">
        <v>4.9</v>
      </c>
      <c r="CB141" s="714">
        <v>5</v>
      </c>
      <c r="CC141" s="714">
        <v>5</v>
      </c>
      <c r="CD141" s="714">
        <v>5.1</v>
      </c>
      <c r="CE141" s="714">
        <v>5.2</v>
      </c>
      <c r="CF141" s="714">
        <v>5.4</v>
      </c>
      <c r="CG141" s="714">
        <v>5.6</v>
      </c>
      <c r="CH141" s="714">
        <v>5.8</v>
      </c>
      <c r="CI141" s="714">
        <v>5.8</v>
      </c>
      <c r="CJ141" s="714">
        <v>5.9</v>
      </c>
      <c r="CK141" s="714">
        <v>4.9</v>
      </c>
      <c r="CL141" s="715">
        <v>4.9</v>
      </c>
      <c r="CM141" s="715">
        <v>5.1</v>
      </c>
      <c r="CN141" s="715">
        <v>5.1</v>
      </c>
      <c r="CO141" s="715">
        <v>5.2</v>
      </c>
      <c r="CP141" s="715">
        <v>5.3</v>
      </c>
      <c r="CQ141" s="715">
        <v>5.5</v>
      </c>
      <c r="CR141" s="714">
        <v>5.7</v>
      </c>
      <c r="CS141" s="714">
        <v>5.9</v>
      </c>
      <c r="CT141" s="714">
        <v>6</v>
      </c>
      <c r="CU141" s="714">
        <v>6</v>
      </c>
      <c r="CV141" s="714">
        <v>5.1</v>
      </c>
      <c r="CW141" s="715">
        <v>5.2</v>
      </c>
      <c r="CX141" s="715">
        <v>5.3</v>
      </c>
      <c r="CY141" s="715">
        <v>5.4</v>
      </c>
      <c r="CZ141" s="715">
        <v>5.6</v>
      </c>
      <c r="DA141" s="715">
        <v>5.7</v>
      </c>
      <c r="DB141" s="715">
        <v>5.9</v>
      </c>
      <c r="DC141" s="714">
        <v>6.1</v>
      </c>
      <c r="DD141" s="714">
        <v>6.2</v>
      </c>
      <c r="DE141" s="714">
        <v>6.3</v>
      </c>
      <c r="DF141" s="714">
        <v>6.3</v>
      </c>
      <c r="DG141" s="714">
        <v>5.4</v>
      </c>
      <c r="DH141" s="715">
        <v>5.5</v>
      </c>
      <c r="DI141" s="715">
        <v>5.7</v>
      </c>
      <c r="DJ141" s="715">
        <v>5.9</v>
      </c>
      <c r="DK141" s="715">
        <v>6</v>
      </c>
      <c r="DL141" s="715">
        <v>6.3</v>
      </c>
      <c r="DM141" s="715">
        <v>6.5</v>
      </c>
      <c r="DN141" s="714">
        <v>6.6</v>
      </c>
      <c r="DO141" s="714">
        <v>6.8</v>
      </c>
      <c r="DP141" s="714">
        <v>6.8</v>
      </c>
      <c r="DQ141" s="714">
        <v>6.9</v>
      </c>
      <c r="DR141" s="714">
        <v>6.3</v>
      </c>
      <c r="DS141" s="715">
        <v>6.5</v>
      </c>
      <c r="DT141" s="715">
        <v>6.5</v>
      </c>
      <c r="DU141" s="715">
        <v>6.7</v>
      </c>
      <c r="DV141" s="715">
        <v>6.9</v>
      </c>
      <c r="DW141" s="715">
        <v>6.9</v>
      </c>
      <c r="DX141" s="715">
        <v>6.9</v>
      </c>
      <c r="DY141" s="714">
        <v>7.2</v>
      </c>
      <c r="DZ141" s="714">
        <v>7.5</v>
      </c>
      <c r="EA141" s="714">
        <v>7.6</v>
      </c>
      <c r="EB141" s="714">
        <v>7.7</v>
      </c>
      <c r="EC141" s="714">
        <v>6.4</v>
      </c>
      <c r="ED141" s="715">
        <v>6.6</v>
      </c>
      <c r="EE141" s="715">
        <v>6.6</v>
      </c>
      <c r="EF141" s="715">
        <v>6.8</v>
      </c>
      <c r="EG141" s="715">
        <v>6.9</v>
      </c>
      <c r="EH141" s="715">
        <v>7</v>
      </c>
      <c r="EI141" s="715">
        <v>7.1</v>
      </c>
      <c r="EJ141" s="714">
        <v>7.3</v>
      </c>
      <c r="EK141" s="714">
        <v>7.5</v>
      </c>
      <c r="EL141" s="714">
        <v>7.6</v>
      </c>
      <c r="EM141" s="714">
        <v>7.8</v>
      </c>
      <c r="EN141" s="714">
        <v>6.8</v>
      </c>
      <c r="EO141" s="715">
        <v>6.8</v>
      </c>
      <c r="EP141" s="715">
        <v>6.9</v>
      </c>
      <c r="EQ141" s="715">
        <v>7.1</v>
      </c>
      <c r="ER141" s="715">
        <v>7.4</v>
      </c>
      <c r="ES141" s="715">
        <v>7.7</v>
      </c>
      <c r="ET141" s="715">
        <v>7.8</v>
      </c>
      <c r="EU141" s="714">
        <v>8.1</v>
      </c>
      <c r="EV141" s="714">
        <v>8.3</v>
      </c>
      <c r="EW141" s="714">
        <v>8.5</v>
      </c>
      <c r="EX141" s="714">
        <v>8.7</v>
      </c>
      <c r="EY141" s="714">
        <v>2</v>
      </c>
      <c r="EZ141" s="715">
        <v>2.5</v>
      </c>
      <c r="FA141" s="715">
        <v>3</v>
      </c>
      <c r="FB141" s="715">
        <v>3.3</v>
      </c>
      <c r="FC141" s="715">
        <v>3.6</v>
      </c>
      <c r="FD141" s="715">
        <v>3.9</v>
      </c>
      <c r="FE141" s="715">
        <v>4.3</v>
      </c>
      <c r="FF141" s="714">
        <v>4.6</v>
      </c>
      <c r="FG141" s="714">
        <v>4.9</v>
      </c>
      <c r="FH141" s="714">
        <v>5.1</v>
      </c>
      <c r="FI141" s="714">
        <v>5.2</v>
      </c>
      <c r="FJ141" s="723">
        <v>2.71e-6</v>
      </c>
      <c r="FK141" s="723">
        <v>1.16e-8</v>
      </c>
      <c r="FL141" s="723">
        <v>-2.2e-11</v>
      </c>
      <c r="FM141" s="723">
        <v>1.17e-6</v>
      </c>
      <c r="FN141" s="723">
        <v>1.13e-9</v>
      </c>
      <c r="FO141" s="723">
        <v>3.91e-9</v>
      </c>
      <c r="FP141" s="729">
        <v>1</v>
      </c>
      <c r="FQ141" s="729">
        <v>1</v>
      </c>
      <c r="FR141" s="729">
        <v>1</v>
      </c>
      <c r="FS141" s="729">
        <v>2</v>
      </c>
      <c r="FT141" s="729">
        <v>1</v>
      </c>
      <c r="FU141" s="729">
        <v>1</v>
      </c>
      <c r="FV141" s="681">
        <v>1</v>
      </c>
      <c r="FW141" s="729"/>
      <c r="FX141" s="729"/>
      <c r="FY141" s="729"/>
      <c r="FZ141" s="746">
        <v>669</v>
      </c>
      <c r="GA141" s="746">
        <v>705</v>
      </c>
      <c r="GB141" s="681">
        <v>601</v>
      </c>
      <c r="GC141" s="681">
        <v>633</v>
      </c>
      <c r="GD141" s="747">
        <v>1.07</v>
      </c>
      <c r="GE141" s="729"/>
      <c r="GF141" s="681">
        <v>73</v>
      </c>
      <c r="GG141" s="681">
        <v>88</v>
      </c>
      <c r="GH141" s="681">
        <v>66</v>
      </c>
      <c r="GI141" s="681">
        <v>70</v>
      </c>
      <c r="GJ141" s="681">
        <v>71</v>
      </c>
      <c r="GK141" s="681">
        <v>71</v>
      </c>
      <c r="GL141" s="681">
        <v>72</v>
      </c>
      <c r="GM141" s="681">
        <v>73</v>
      </c>
      <c r="GN141" s="681">
        <v>74</v>
      </c>
      <c r="GO141" s="681">
        <v>74</v>
      </c>
      <c r="GP141" s="681">
        <v>75</v>
      </c>
      <c r="GQ141" s="681">
        <v>76</v>
      </c>
      <c r="GR141" s="681">
        <v>76</v>
      </c>
      <c r="GS141" s="681">
        <v>77</v>
      </c>
      <c r="GT141" s="681">
        <v>77</v>
      </c>
      <c r="GU141" s="681">
        <v>78</v>
      </c>
      <c r="GV141" s="681">
        <v>78</v>
      </c>
      <c r="GW141" s="681">
        <v>80</v>
      </c>
      <c r="GX141" s="681">
        <v>81</v>
      </c>
      <c r="GY141" s="681">
        <v>82</v>
      </c>
      <c r="GZ141" s="681">
        <v>83</v>
      </c>
      <c r="HA141" s="681">
        <v>84</v>
      </c>
      <c r="HB141" s="681">
        <v>85</v>
      </c>
      <c r="HC141" s="681"/>
      <c r="HD141" s="750">
        <v>182</v>
      </c>
      <c r="HE141" s="681"/>
      <c r="HF141" s="681">
        <v>624</v>
      </c>
      <c r="HG141" s="681">
        <v>119</v>
      </c>
      <c r="HH141" s="714">
        <v>109.5</v>
      </c>
      <c r="HI141" s="714">
        <v>41.4</v>
      </c>
      <c r="HJ141" s="753">
        <v>0.322</v>
      </c>
      <c r="HK141" s="681">
        <v>117</v>
      </c>
      <c r="HL141" s="685">
        <v>1.57</v>
      </c>
      <c r="HM141" s="747">
        <v>3.75</v>
      </c>
      <c r="HN141" s="729" t="s">
        <v>1182</v>
      </c>
      <c r="HO141" s="729" t="s">
        <v>1183</v>
      </c>
      <c r="HP141" s="714">
        <v>-0.7</v>
      </c>
      <c r="HQ141" s="753">
        <v>0.931</v>
      </c>
      <c r="HR141" s="753">
        <v>0.98</v>
      </c>
      <c r="HS141" s="753">
        <v>0.992</v>
      </c>
      <c r="HT141" s="753">
        <v>0.996</v>
      </c>
      <c r="HU141" s="753">
        <v>0.998</v>
      </c>
      <c r="HV141" s="753">
        <v>0.998</v>
      </c>
      <c r="HW141" s="753">
        <v>0.998</v>
      </c>
      <c r="HX141" s="753">
        <v>0.998</v>
      </c>
      <c r="HY141" s="753">
        <v>0.998</v>
      </c>
      <c r="HZ141" s="753">
        <v>0.998</v>
      </c>
      <c r="IA141" s="753">
        <v>0.998</v>
      </c>
      <c r="IB141" s="753">
        <v>0.998</v>
      </c>
      <c r="IC141" s="753">
        <v>0.998</v>
      </c>
      <c r="ID141" s="753">
        <v>0.998</v>
      </c>
      <c r="IE141" s="753">
        <v>0.998</v>
      </c>
      <c r="IF141" s="753">
        <v>0.998</v>
      </c>
      <c r="IG141" s="753">
        <v>0.998</v>
      </c>
      <c r="IH141" s="753">
        <v>0.996</v>
      </c>
      <c r="II141" s="753">
        <v>0.993</v>
      </c>
      <c r="IJ141" s="753">
        <v>0.99</v>
      </c>
      <c r="IK141" s="753">
        <v>0.986</v>
      </c>
      <c r="IL141" s="753">
        <v>0.981</v>
      </c>
      <c r="IM141" s="753">
        <v>0.97</v>
      </c>
      <c r="IN141" s="753">
        <v>0.944</v>
      </c>
      <c r="IO141" s="753">
        <v>0.915</v>
      </c>
      <c r="IP141" s="753">
        <v>0.853</v>
      </c>
      <c r="IQ141" s="753">
        <v>0.692</v>
      </c>
      <c r="IR141" s="753">
        <v>0.37</v>
      </c>
      <c r="IS141" s="753"/>
      <c r="IT141" s="753"/>
      <c r="IU141" s="753"/>
      <c r="IV141" s="753"/>
      <c r="IW141" s="753"/>
      <c r="IX141" s="753"/>
      <c r="IY141" s="753"/>
      <c r="IZ141" s="753"/>
      <c r="JA141" s="754">
        <v>0.867</v>
      </c>
      <c r="JB141" s="754">
        <v>0.959</v>
      </c>
      <c r="JC141" s="754">
        <v>0.984</v>
      </c>
      <c r="JD141" s="754">
        <v>0.993</v>
      </c>
      <c r="JE141" s="754">
        <v>0.996</v>
      </c>
      <c r="JF141" s="754">
        <v>0.996</v>
      </c>
      <c r="JG141" s="754">
        <v>0.996</v>
      </c>
      <c r="JH141" s="754">
        <v>0.996</v>
      </c>
      <c r="JI141" s="754">
        <v>0.996</v>
      </c>
      <c r="JJ141" s="754">
        <v>0.996</v>
      </c>
      <c r="JK141" s="754">
        <v>0.996</v>
      </c>
      <c r="JL141" s="754">
        <v>0.996</v>
      </c>
      <c r="JM141" s="754">
        <v>0.996</v>
      </c>
      <c r="JN141" s="754">
        <v>0.996</v>
      </c>
      <c r="JO141" s="754">
        <v>0.996</v>
      </c>
      <c r="JP141" s="754">
        <v>0.996</v>
      </c>
      <c r="JQ141" s="754">
        <v>0.996</v>
      </c>
      <c r="JR141" s="754">
        <v>0.994</v>
      </c>
      <c r="JS141" s="754">
        <v>0.986</v>
      </c>
      <c r="JT141" s="754">
        <v>0.981</v>
      </c>
      <c r="JU141" s="754">
        <v>0.973</v>
      </c>
      <c r="JV141" s="754">
        <v>0.962</v>
      </c>
      <c r="JW141" s="754">
        <v>0.94</v>
      </c>
      <c r="JX141" s="754">
        <v>0.89</v>
      </c>
      <c r="JY141" s="754">
        <v>0.836</v>
      </c>
      <c r="JZ141" s="754">
        <v>0.725</v>
      </c>
      <c r="KA141" s="754">
        <v>0.478</v>
      </c>
      <c r="KB141" s="754">
        <v>0.138</v>
      </c>
      <c r="KC141" s="754"/>
      <c r="KD141" s="754"/>
      <c r="KE141" s="754"/>
      <c r="KF141" s="754"/>
      <c r="KG141" s="754"/>
      <c r="KH141" s="754"/>
      <c r="KI141" s="754"/>
      <c r="KJ141" s="754"/>
      <c r="KK141" s="765" t="s">
        <v>281</v>
      </c>
      <c r="KL141" s="738">
        <v>45</v>
      </c>
      <c r="KM141" s="738">
        <v>169</v>
      </c>
      <c r="KN141" s="646" t="s">
        <v>282</v>
      </c>
      <c r="KO141" s="646" t="s">
        <v>1181</v>
      </c>
      <c r="KP141" s="680">
        <v>806333</v>
      </c>
      <c r="KQ141" s="766"/>
      <c r="KR141" s="750"/>
      <c r="KS141" s="769" t="s">
        <v>1181</v>
      </c>
      <c r="KT141" s="770" t="s">
        <v>1184</v>
      </c>
      <c r="KU141" s="766" t="s">
        <v>1185</v>
      </c>
      <c r="KV141" s="750">
        <v>806333</v>
      </c>
      <c r="KW141" s="771"/>
      <c r="KX141" s="750"/>
      <c r="KY141" s="769"/>
      <c r="KZ141" s="770"/>
    </row>
    <row r="142" s="628" customFormat="1" customHeight="1" spans="1:312">
      <c r="A142" s="682" t="s">
        <v>374</v>
      </c>
      <c r="B142" s="683">
        <v>138</v>
      </c>
      <c r="C142" s="689" t="s">
        <v>1186</v>
      </c>
      <c r="D142" s="680">
        <v>800298</v>
      </c>
      <c r="E142" s="685">
        <v>29.84</v>
      </c>
      <c r="F142" s="685">
        <v>29.62</v>
      </c>
      <c r="G142" s="688">
        <v>0.026806</v>
      </c>
      <c r="H142" s="686">
        <v>0.027224</v>
      </c>
      <c r="I142" s="696">
        <v>1.74747</v>
      </c>
      <c r="J142" s="696">
        <v>1.75431</v>
      </c>
      <c r="K142" s="696">
        <v>1.76226</v>
      </c>
      <c r="L142" s="696">
        <v>1.77044</v>
      </c>
      <c r="M142" s="696">
        <v>1.77212</v>
      </c>
      <c r="N142" s="696">
        <v>1.77354</v>
      </c>
      <c r="O142" s="696">
        <v>1.77945</v>
      </c>
      <c r="P142" s="696">
        <v>1.7838</v>
      </c>
      <c r="Q142" s="697">
        <v>1.78795</v>
      </c>
      <c r="R142" s="697">
        <v>1.79223</v>
      </c>
      <c r="S142" s="697">
        <v>1.79344</v>
      </c>
      <c r="T142" s="701">
        <v>1.79459</v>
      </c>
      <c r="U142" s="697">
        <v>1.79977</v>
      </c>
      <c r="V142" s="697">
        <v>1.8</v>
      </c>
      <c r="W142" s="697">
        <v>1.80633</v>
      </c>
      <c r="X142" s="697">
        <v>1.81903</v>
      </c>
      <c r="Y142" s="697">
        <v>1.82067</v>
      </c>
      <c r="Z142" s="697">
        <v>1.83511</v>
      </c>
      <c r="AA142" s="697">
        <v>1.84939</v>
      </c>
      <c r="AB142" s="697">
        <v>1.87619</v>
      </c>
      <c r="AC142" s="704">
        <v>3.12168528</v>
      </c>
      <c r="AD142" s="705">
        <v>-0.0138673767</v>
      </c>
      <c r="AE142" s="705">
        <v>0.0373009678</v>
      </c>
      <c r="AF142" s="705">
        <v>0.00194247273</v>
      </c>
      <c r="AG142" s="705">
        <v>-9.80256201e-5</v>
      </c>
      <c r="AH142" s="705">
        <v>1.64841569e-5</v>
      </c>
      <c r="AI142" s="709">
        <v>0.2899</v>
      </c>
      <c r="AJ142" s="709">
        <v>0.2361</v>
      </c>
      <c r="AK142" s="709">
        <v>0.5999</v>
      </c>
      <c r="AL142" s="709">
        <v>0.241</v>
      </c>
      <c r="AM142" s="709">
        <v>0.2325</v>
      </c>
      <c r="AN142" s="709">
        <v>0.5304</v>
      </c>
      <c r="AO142" s="709">
        <v>0</v>
      </c>
      <c r="AP142" s="709">
        <v>0.0058</v>
      </c>
      <c r="AQ142" s="709">
        <v>0.0125</v>
      </c>
      <c r="AR142" s="709">
        <v>0.0047</v>
      </c>
      <c r="AS142" s="714">
        <v>1.8</v>
      </c>
      <c r="AT142" s="714">
        <v>1.9</v>
      </c>
      <c r="AU142" s="714">
        <v>1.8</v>
      </c>
      <c r="AV142" s="714">
        <v>1.8</v>
      </c>
      <c r="AW142" s="714">
        <v>1.9</v>
      </c>
      <c r="AX142" s="714">
        <v>2</v>
      </c>
      <c r="AY142" s="714">
        <v>2.1</v>
      </c>
      <c r="AZ142" s="714">
        <v>2.2</v>
      </c>
      <c r="BA142" s="714">
        <v>2.4</v>
      </c>
      <c r="BB142" s="714">
        <v>2.5</v>
      </c>
      <c r="BC142" s="714">
        <v>2.6</v>
      </c>
      <c r="BD142" s="714">
        <v>2.4</v>
      </c>
      <c r="BE142" s="714">
        <v>2.5</v>
      </c>
      <c r="BF142" s="714">
        <v>2.5</v>
      </c>
      <c r="BG142" s="714">
        <v>2.6</v>
      </c>
      <c r="BH142" s="714">
        <v>2.6</v>
      </c>
      <c r="BI142" s="714">
        <v>2.8</v>
      </c>
      <c r="BJ142" s="714">
        <v>2.9</v>
      </c>
      <c r="BK142" s="714">
        <v>3.1</v>
      </c>
      <c r="BL142" s="714">
        <v>3.2</v>
      </c>
      <c r="BM142" s="714">
        <v>3.3</v>
      </c>
      <c r="BN142" s="714">
        <v>3.4</v>
      </c>
      <c r="BO142" s="714">
        <v>2.8</v>
      </c>
      <c r="BP142" s="714">
        <v>2.8</v>
      </c>
      <c r="BQ142" s="714">
        <v>2.9</v>
      </c>
      <c r="BR142" s="714">
        <v>2.9</v>
      </c>
      <c r="BS142" s="714">
        <v>3</v>
      </c>
      <c r="BT142" s="714">
        <v>3.2</v>
      </c>
      <c r="BU142" s="714">
        <v>3.3</v>
      </c>
      <c r="BV142" s="714">
        <v>3.5</v>
      </c>
      <c r="BW142" s="714">
        <v>3.6</v>
      </c>
      <c r="BX142" s="714">
        <v>3.7</v>
      </c>
      <c r="BY142" s="714">
        <v>3.8</v>
      </c>
      <c r="BZ142" s="714">
        <v>2.8</v>
      </c>
      <c r="CA142" s="714">
        <v>2.9</v>
      </c>
      <c r="CB142" s="714">
        <v>2.9</v>
      </c>
      <c r="CC142" s="714">
        <v>3</v>
      </c>
      <c r="CD142" s="714">
        <v>3.1</v>
      </c>
      <c r="CE142" s="714">
        <v>3.2</v>
      </c>
      <c r="CF142" s="714">
        <v>3.4</v>
      </c>
      <c r="CG142" s="714">
        <v>3.5</v>
      </c>
      <c r="CH142" s="714">
        <v>3.6</v>
      </c>
      <c r="CI142" s="714">
        <v>3.7</v>
      </c>
      <c r="CJ142" s="714">
        <v>3.8</v>
      </c>
      <c r="CK142" s="714">
        <v>2.9</v>
      </c>
      <c r="CL142" s="715">
        <v>2.9</v>
      </c>
      <c r="CM142" s="715">
        <v>3</v>
      </c>
      <c r="CN142" s="715">
        <v>3</v>
      </c>
      <c r="CO142" s="715">
        <v>3.1</v>
      </c>
      <c r="CP142" s="715">
        <v>3.2</v>
      </c>
      <c r="CQ142" s="715">
        <v>3.4</v>
      </c>
      <c r="CR142" s="714">
        <v>3.5</v>
      </c>
      <c r="CS142" s="714">
        <v>3.6</v>
      </c>
      <c r="CT142" s="714">
        <v>3.7</v>
      </c>
      <c r="CU142" s="714">
        <v>3.9</v>
      </c>
      <c r="CV142" s="714">
        <v>3.2</v>
      </c>
      <c r="CW142" s="715">
        <v>3.3</v>
      </c>
      <c r="CX142" s="715">
        <v>3.3</v>
      </c>
      <c r="CY142" s="715">
        <v>3.4</v>
      </c>
      <c r="CZ142" s="715">
        <v>3.4</v>
      </c>
      <c r="DA142" s="715">
        <v>3.6</v>
      </c>
      <c r="DB142" s="715">
        <v>3.7</v>
      </c>
      <c r="DC142" s="714">
        <v>3.8</v>
      </c>
      <c r="DD142" s="714">
        <v>4</v>
      </c>
      <c r="DE142" s="714">
        <v>4.1</v>
      </c>
      <c r="DF142" s="714">
        <v>4.3</v>
      </c>
      <c r="DG142" s="714">
        <v>3.6</v>
      </c>
      <c r="DH142" s="715">
        <v>3.7</v>
      </c>
      <c r="DI142" s="715">
        <v>3.9</v>
      </c>
      <c r="DJ142" s="715">
        <v>4</v>
      </c>
      <c r="DK142" s="715">
        <v>4</v>
      </c>
      <c r="DL142" s="715">
        <v>4.2</v>
      </c>
      <c r="DM142" s="715">
        <v>4.4</v>
      </c>
      <c r="DN142" s="714">
        <v>4.5</v>
      </c>
      <c r="DO142" s="714">
        <v>4.8</v>
      </c>
      <c r="DP142" s="714">
        <v>4.9</v>
      </c>
      <c r="DQ142" s="714">
        <v>5.2</v>
      </c>
      <c r="DR142" s="714">
        <v>4.5</v>
      </c>
      <c r="DS142" s="715">
        <v>4.6</v>
      </c>
      <c r="DT142" s="715">
        <v>4.7</v>
      </c>
      <c r="DU142" s="715">
        <v>4.9</v>
      </c>
      <c r="DV142" s="715">
        <v>5.2</v>
      </c>
      <c r="DW142" s="715">
        <v>5.4</v>
      </c>
      <c r="DX142" s="715">
        <v>5.6</v>
      </c>
      <c r="DY142" s="714">
        <v>5.9</v>
      </c>
      <c r="DZ142" s="714">
        <v>6.1</v>
      </c>
      <c r="EA142" s="714">
        <v>6.2</v>
      </c>
      <c r="EB142" s="714">
        <v>6.4</v>
      </c>
      <c r="EC142" s="714">
        <v>4.6</v>
      </c>
      <c r="ED142" s="715">
        <v>4.7</v>
      </c>
      <c r="EE142" s="715">
        <v>4.8</v>
      </c>
      <c r="EF142" s="715">
        <v>5</v>
      </c>
      <c r="EG142" s="715">
        <v>5.2</v>
      </c>
      <c r="EH142" s="715">
        <v>5.4</v>
      </c>
      <c r="EI142" s="715">
        <v>5.6</v>
      </c>
      <c r="EJ142" s="714">
        <v>5.9</v>
      </c>
      <c r="EK142" s="714">
        <v>6.1</v>
      </c>
      <c r="EL142" s="714">
        <v>6.2</v>
      </c>
      <c r="EM142" s="714">
        <v>6.5</v>
      </c>
      <c r="EN142" s="714">
        <v>5.8</v>
      </c>
      <c r="EO142" s="715">
        <v>6</v>
      </c>
      <c r="EP142" s="715">
        <v>6.2</v>
      </c>
      <c r="EQ142" s="715">
        <v>6.2</v>
      </c>
      <c r="ER142" s="715">
        <v>6.6</v>
      </c>
      <c r="ES142" s="715">
        <v>6.9</v>
      </c>
      <c r="ET142" s="715">
        <v>7.2</v>
      </c>
      <c r="EU142" s="714">
        <v>7.3</v>
      </c>
      <c r="EV142" s="714">
        <v>7.6</v>
      </c>
      <c r="EW142" s="714">
        <v>7.7</v>
      </c>
      <c r="EX142" s="714">
        <v>8</v>
      </c>
      <c r="EY142" s="714">
        <v>0</v>
      </c>
      <c r="EZ142" s="715">
        <v>0.5</v>
      </c>
      <c r="FA142" s="715">
        <v>0.9</v>
      </c>
      <c r="FB142" s="715">
        <v>1.2</v>
      </c>
      <c r="FC142" s="715">
        <v>1.5</v>
      </c>
      <c r="FD142" s="715">
        <v>1.8</v>
      </c>
      <c r="FE142" s="715">
        <v>2.2</v>
      </c>
      <c r="FF142" s="714">
        <v>2.4</v>
      </c>
      <c r="FG142" s="714">
        <v>2.6</v>
      </c>
      <c r="FH142" s="714">
        <v>2.8</v>
      </c>
      <c r="FI142" s="714">
        <v>3.1</v>
      </c>
      <c r="FJ142" s="723">
        <v>-1.68e-7</v>
      </c>
      <c r="FK142" s="723">
        <v>1.19e-8</v>
      </c>
      <c r="FL142" s="723">
        <v>-1.81e-11</v>
      </c>
      <c r="FM142" s="723">
        <v>8.12e-7</v>
      </c>
      <c r="FN142" s="723">
        <v>7.58e-10</v>
      </c>
      <c r="FO142" s="723">
        <v>0.286</v>
      </c>
      <c r="FP142" s="729">
        <v>1</v>
      </c>
      <c r="FQ142" s="729">
        <v>1</v>
      </c>
      <c r="FR142" s="729">
        <v>1</v>
      </c>
      <c r="FS142" s="729">
        <v>1</v>
      </c>
      <c r="FT142" s="729">
        <v>1</v>
      </c>
      <c r="FU142" s="729">
        <v>1</v>
      </c>
      <c r="FV142" s="681">
        <v>1</v>
      </c>
      <c r="FW142" s="729"/>
      <c r="FX142" s="729"/>
      <c r="FY142" s="729"/>
      <c r="FZ142" s="746">
        <v>623</v>
      </c>
      <c r="GA142" s="746">
        <v>658</v>
      </c>
      <c r="GB142" s="681">
        <v>547</v>
      </c>
      <c r="GC142" s="681">
        <v>592</v>
      </c>
      <c r="GD142" s="747">
        <v>1.19</v>
      </c>
      <c r="GE142" s="729"/>
      <c r="GF142" s="681">
        <v>73</v>
      </c>
      <c r="GG142" s="681">
        <v>89</v>
      </c>
      <c r="GH142" s="681">
        <v>65</v>
      </c>
      <c r="GI142" s="681">
        <v>68</v>
      </c>
      <c r="GJ142" s="681">
        <v>70</v>
      </c>
      <c r="GK142" s="681">
        <v>71</v>
      </c>
      <c r="GL142" s="681">
        <v>72</v>
      </c>
      <c r="GM142" s="681">
        <v>73</v>
      </c>
      <c r="GN142" s="681">
        <v>74</v>
      </c>
      <c r="GO142" s="681">
        <v>75</v>
      </c>
      <c r="GP142" s="681">
        <v>75</v>
      </c>
      <c r="GQ142" s="681">
        <v>76</v>
      </c>
      <c r="GR142" s="681">
        <v>77</v>
      </c>
      <c r="GS142" s="681">
        <v>77</v>
      </c>
      <c r="GT142" s="681">
        <v>78</v>
      </c>
      <c r="GU142" s="681">
        <v>78</v>
      </c>
      <c r="GV142" s="681">
        <v>79</v>
      </c>
      <c r="GW142" s="681">
        <v>80</v>
      </c>
      <c r="GX142" s="681">
        <v>81</v>
      </c>
      <c r="GY142" s="681">
        <v>82</v>
      </c>
      <c r="GZ142" s="681">
        <v>83</v>
      </c>
      <c r="HA142" s="681">
        <v>84</v>
      </c>
      <c r="HB142" s="681">
        <v>84</v>
      </c>
      <c r="HC142" s="681"/>
      <c r="HD142" s="750">
        <v>220</v>
      </c>
      <c r="HE142" s="681"/>
      <c r="HF142" s="681">
        <v>543</v>
      </c>
      <c r="HG142" s="681">
        <v>167</v>
      </c>
      <c r="HH142" s="714">
        <v>100.6</v>
      </c>
      <c r="HI142" s="714">
        <v>39</v>
      </c>
      <c r="HJ142" s="753">
        <v>0.29</v>
      </c>
      <c r="HK142" s="681">
        <v>83</v>
      </c>
      <c r="HL142" s="685">
        <v>2.52</v>
      </c>
      <c r="HM142" s="747">
        <v>3.73</v>
      </c>
      <c r="HN142" s="729" t="s">
        <v>1187</v>
      </c>
      <c r="HO142" s="729" t="s">
        <v>1188</v>
      </c>
      <c r="HP142" s="714">
        <v>-0.7</v>
      </c>
      <c r="HQ142" s="753">
        <v>0.945</v>
      </c>
      <c r="HR142" s="753">
        <v>0.983</v>
      </c>
      <c r="HS142" s="753">
        <v>0.996</v>
      </c>
      <c r="HT142" s="753">
        <v>0.996</v>
      </c>
      <c r="HU142" s="753">
        <v>0.996</v>
      </c>
      <c r="HV142" s="753">
        <v>0.996</v>
      </c>
      <c r="HW142" s="753">
        <v>0.996</v>
      </c>
      <c r="HX142" s="753">
        <v>0.996</v>
      </c>
      <c r="HY142" s="753">
        <v>0.996</v>
      </c>
      <c r="HZ142" s="753">
        <v>0.996</v>
      </c>
      <c r="IA142" s="753">
        <v>0.996</v>
      </c>
      <c r="IB142" s="753">
        <v>0.996</v>
      </c>
      <c r="IC142" s="753">
        <v>0.996</v>
      </c>
      <c r="ID142" s="753">
        <v>0.996</v>
      </c>
      <c r="IE142" s="753">
        <v>0.996</v>
      </c>
      <c r="IF142" s="753">
        <v>0.996</v>
      </c>
      <c r="IG142" s="753">
        <v>0.996</v>
      </c>
      <c r="IH142" s="753">
        <v>0.993</v>
      </c>
      <c r="II142" s="753">
        <v>0.984</v>
      </c>
      <c r="IJ142" s="753">
        <v>0.981</v>
      </c>
      <c r="IK142" s="753">
        <v>0.977</v>
      </c>
      <c r="IL142" s="753">
        <v>0.972</v>
      </c>
      <c r="IM142" s="753">
        <v>0.964</v>
      </c>
      <c r="IN142" s="753">
        <v>0.939</v>
      </c>
      <c r="IO142" s="753">
        <v>0.91</v>
      </c>
      <c r="IP142" s="753">
        <v>0.848</v>
      </c>
      <c r="IQ142" s="753">
        <v>0.694</v>
      </c>
      <c r="IR142" s="753">
        <v>0.347</v>
      </c>
      <c r="IS142" s="753">
        <v>0.042</v>
      </c>
      <c r="IT142" s="753"/>
      <c r="IU142" s="753"/>
      <c r="IV142" s="753"/>
      <c r="IW142" s="753"/>
      <c r="IX142" s="753"/>
      <c r="IY142" s="753"/>
      <c r="IZ142" s="753"/>
      <c r="JA142" s="754">
        <v>0.893</v>
      </c>
      <c r="JB142" s="754">
        <v>0.966</v>
      </c>
      <c r="JC142" s="754">
        <v>0.992</v>
      </c>
      <c r="JD142" s="754">
        <v>0.992</v>
      </c>
      <c r="JE142" s="754">
        <v>0.992</v>
      </c>
      <c r="JF142" s="754">
        <v>0.992</v>
      </c>
      <c r="JG142" s="754">
        <v>0.992</v>
      </c>
      <c r="JH142" s="754">
        <v>0.992</v>
      </c>
      <c r="JI142" s="754">
        <v>0.992</v>
      </c>
      <c r="JJ142" s="754">
        <v>0.992</v>
      </c>
      <c r="JK142" s="754">
        <v>0.992</v>
      </c>
      <c r="JL142" s="754">
        <v>0.992</v>
      </c>
      <c r="JM142" s="754">
        <v>0.992</v>
      </c>
      <c r="JN142" s="754">
        <v>0.992</v>
      </c>
      <c r="JO142" s="754">
        <v>0.992</v>
      </c>
      <c r="JP142" s="754">
        <v>0.992</v>
      </c>
      <c r="JQ142" s="754">
        <v>0.988</v>
      </c>
      <c r="JR142" s="754">
        <v>0.983</v>
      </c>
      <c r="JS142" s="754">
        <v>0.97</v>
      </c>
      <c r="JT142" s="754">
        <v>0.964</v>
      </c>
      <c r="JU142" s="754">
        <v>0.957</v>
      </c>
      <c r="JV142" s="754">
        <v>0.946</v>
      </c>
      <c r="JW142" s="754">
        <v>0.927</v>
      </c>
      <c r="JX142" s="754">
        <v>0.88</v>
      </c>
      <c r="JY142" s="754">
        <v>0.826</v>
      </c>
      <c r="JZ142" s="754">
        <v>0.716</v>
      </c>
      <c r="KA142" s="754">
        <v>0.475</v>
      </c>
      <c r="KB142" s="754">
        <v>0.117</v>
      </c>
      <c r="KC142" s="754">
        <v>0.013</v>
      </c>
      <c r="KD142" s="754"/>
      <c r="KE142" s="754"/>
      <c r="KF142" s="754"/>
      <c r="KG142" s="754"/>
      <c r="KH142" s="754"/>
      <c r="KI142" s="754"/>
      <c r="KJ142" s="754"/>
      <c r="KK142" s="765" t="s">
        <v>281</v>
      </c>
      <c r="KL142" s="738">
        <v>192</v>
      </c>
      <c r="KM142" s="738">
        <v>716</v>
      </c>
      <c r="KN142" s="646" t="s">
        <v>303</v>
      </c>
      <c r="KO142" s="646" t="s">
        <v>1186</v>
      </c>
      <c r="KP142" s="680">
        <v>800298</v>
      </c>
      <c r="KQ142" s="766" t="s">
        <v>1189</v>
      </c>
      <c r="KR142" s="750" t="s">
        <v>1190</v>
      </c>
      <c r="KS142" s="769"/>
      <c r="KT142" s="770"/>
      <c r="KU142" s="766"/>
      <c r="KV142" s="750"/>
      <c r="KW142" s="771"/>
      <c r="KX142" s="750"/>
      <c r="KY142" s="769"/>
      <c r="KZ142" s="770"/>
    </row>
    <row r="143" s="628" customFormat="1" customHeight="1" spans="1:312">
      <c r="A143" s="682" t="s">
        <v>374</v>
      </c>
      <c r="B143" s="683">
        <v>139</v>
      </c>
      <c r="C143" s="689" t="s">
        <v>1191</v>
      </c>
      <c r="D143" s="680">
        <v>852408</v>
      </c>
      <c r="E143" s="685">
        <v>40.78</v>
      </c>
      <c r="F143" s="685">
        <v>40.53</v>
      </c>
      <c r="G143" s="688">
        <v>0.02088</v>
      </c>
      <c r="H143" s="686">
        <v>0.021134</v>
      </c>
      <c r="I143" s="696">
        <v>1.80328</v>
      </c>
      <c r="J143" s="696">
        <v>1.81065</v>
      </c>
      <c r="K143" s="696">
        <v>1.81893</v>
      </c>
      <c r="L143" s="696">
        <v>1.82685</v>
      </c>
      <c r="M143" s="696">
        <v>1.82837</v>
      </c>
      <c r="N143" s="696">
        <v>1.82965</v>
      </c>
      <c r="O143" s="696">
        <v>1.83478</v>
      </c>
      <c r="P143" s="696">
        <v>1.83842</v>
      </c>
      <c r="Q143" s="697">
        <v>1.84183</v>
      </c>
      <c r="R143" s="697">
        <v>1.8453</v>
      </c>
      <c r="S143" s="697">
        <v>1.84628</v>
      </c>
      <c r="T143" s="701">
        <v>1.84719</v>
      </c>
      <c r="U143" s="697">
        <v>1.85132</v>
      </c>
      <c r="V143" s="697">
        <v>1.8515</v>
      </c>
      <c r="W143" s="697">
        <v>1.85646</v>
      </c>
      <c r="X143" s="697">
        <v>1.86618</v>
      </c>
      <c r="Y143" s="697">
        <v>1.86741</v>
      </c>
      <c r="Z143" s="697">
        <v>1.87807</v>
      </c>
      <c r="AA143" s="697">
        <v>1.88823</v>
      </c>
      <c r="AB143" s="697">
        <v>1.90623</v>
      </c>
      <c r="AC143" s="704">
        <v>3.3317767</v>
      </c>
      <c r="AD143" s="705">
        <v>-0.0158867083</v>
      </c>
      <c r="AE143" s="705">
        <v>0.0320181245</v>
      </c>
      <c r="AF143" s="705">
        <v>0.0011488843</v>
      </c>
      <c r="AG143" s="705">
        <v>-4.0318428e-5</v>
      </c>
      <c r="AH143" s="705">
        <v>5.06235629e-6</v>
      </c>
      <c r="AI143" s="709">
        <v>0.2969</v>
      </c>
      <c r="AJ143" s="709">
        <v>0.2375</v>
      </c>
      <c r="AK143" s="709">
        <v>0.5694</v>
      </c>
      <c r="AL143" s="709">
        <v>0.247</v>
      </c>
      <c r="AM143" s="709">
        <v>0.2347</v>
      </c>
      <c r="AN143" s="709">
        <v>0.5044</v>
      </c>
      <c r="AO143" s="709">
        <v>-0.0022</v>
      </c>
      <c r="AP143" s="709">
        <v>-0.0064</v>
      </c>
      <c r="AQ143" s="709">
        <v>0.0118</v>
      </c>
      <c r="AR143" s="709">
        <v>0.0056</v>
      </c>
      <c r="AS143" s="714">
        <v>3.7</v>
      </c>
      <c r="AT143" s="714">
        <v>3.7</v>
      </c>
      <c r="AU143" s="714">
        <v>3.7</v>
      </c>
      <c r="AV143" s="714">
        <v>3.7</v>
      </c>
      <c r="AW143" s="714">
        <v>3.7</v>
      </c>
      <c r="AX143" s="714">
        <v>3.8</v>
      </c>
      <c r="AY143" s="714">
        <v>3.9</v>
      </c>
      <c r="AZ143" s="714">
        <v>4.1</v>
      </c>
      <c r="BA143" s="714">
        <v>4.2</v>
      </c>
      <c r="BB143" s="714">
        <v>4.3</v>
      </c>
      <c r="BC143" s="714">
        <v>4.4</v>
      </c>
      <c r="BD143" s="714">
        <v>4.1</v>
      </c>
      <c r="BE143" s="714">
        <v>4.1</v>
      </c>
      <c r="BF143" s="714">
        <v>4.1</v>
      </c>
      <c r="BG143" s="714">
        <v>4.2</v>
      </c>
      <c r="BH143" s="714">
        <v>4.3</v>
      </c>
      <c r="BI143" s="714">
        <v>4.4</v>
      </c>
      <c r="BJ143" s="714">
        <v>4.5</v>
      </c>
      <c r="BK143" s="714">
        <v>4.6</v>
      </c>
      <c r="BL143" s="714">
        <v>4.7</v>
      </c>
      <c r="BM143" s="714">
        <v>4.8</v>
      </c>
      <c r="BN143" s="714">
        <v>4.9</v>
      </c>
      <c r="BO143" s="714">
        <v>4.5</v>
      </c>
      <c r="BP143" s="714">
        <v>4.5</v>
      </c>
      <c r="BQ143" s="714">
        <v>4.6</v>
      </c>
      <c r="BR143" s="714">
        <v>4.6</v>
      </c>
      <c r="BS143" s="714">
        <v>4.7</v>
      </c>
      <c r="BT143" s="714">
        <v>4.8</v>
      </c>
      <c r="BU143" s="714">
        <v>4.9</v>
      </c>
      <c r="BV143" s="714">
        <v>5</v>
      </c>
      <c r="BW143" s="714">
        <v>5.2</v>
      </c>
      <c r="BX143" s="714">
        <v>5.3</v>
      </c>
      <c r="BY143" s="714">
        <v>5.4</v>
      </c>
      <c r="BZ143" s="714">
        <v>4.5</v>
      </c>
      <c r="CA143" s="714">
        <v>4.6</v>
      </c>
      <c r="CB143" s="714">
        <v>4.6</v>
      </c>
      <c r="CC143" s="714">
        <v>4.6</v>
      </c>
      <c r="CD143" s="714">
        <v>4.7</v>
      </c>
      <c r="CE143" s="714">
        <v>4.8</v>
      </c>
      <c r="CF143" s="714">
        <v>5</v>
      </c>
      <c r="CG143" s="714">
        <v>5.1</v>
      </c>
      <c r="CH143" s="714">
        <v>5.3</v>
      </c>
      <c r="CI143" s="714">
        <v>5.4</v>
      </c>
      <c r="CJ143" s="714">
        <v>5.4</v>
      </c>
      <c r="CK143" s="714">
        <v>4.6</v>
      </c>
      <c r="CL143" s="715">
        <v>4.6</v>
      </c>
      <c r="CM143" s="715">
        <v>4.7</v>
      </c>
      <c r="CN143" s="715">
        <v>4.7</v>
      </c>
      <c r="CO143" s="715">
        <v>4.8</v>
      </c>
      <c r="CP143" s="715">
        <v>4.9</v>
      </c>
      <c r="CQ143" s="715">
        <v>5</v>
      </c>
      <c r="CR143" s="714">
        <v>5.1</v>
      </c>
      <c r="CS143" s="714">
        <v>5.3</v>
      </c>
      <c r="CT143" s="714">
        <v>5.4</v>
      </c>
      <c r="CU143" s="714">
        <v>5.5</v>
      </c>
      <c r="CV143" s="714">
        <v>4.7</v>
      </c>
      <c r="CW143" s="715">
        <v>4.8</v>
      </c>
      <c r="CX143" s="715">
        <v>4.9</v>
      </c>
      <c r="CY143" s="715">
        <v>5</v>
      </c>
      <c r="CZ143" s="715">
        <v>5</v>
      </c>
      <c r="DA143" s="715">
        <v>5</v>
      </c>
      <c r="DB143" s="715">
        <v>5.2</v>
      </c>
      <c r="DC143" s="714">
        <v>5.3</v>
      </c>
      <c r="DD143" s="714">
        <v>5.5</v>
      </c>
      <c r="DE143" s="714">
        <v>5.5</v>
      </c>
      <c r="DF143" s="714">
        <v>5.7</v>
      </c>
      <c r="DG143" s="714">
        <v>5.1</v>
      </c>
      <c r="DH143" s="715">
        <v>5.2</v>
      </c>
      <c r="DI143" s="715">
        <v>5.4</v>
      </c>
      <c r="DJ143" s="715">
        <v>5.3</v>
      </c>
      <c r="DK143" s="715">
        <v>5.4</v>
      </c>
      <c r="DL143" s="715">
        <v>5.4</v>
      </c>
      <c r="DM143" s="715">
        <v>5.6</v>
      </c>
      <c r="DN143" s="714">
        <v>5.6</v>
      </c>
      <c r="DO143" s="714">
        <v>5.7</v>
      </c>
      <c r="DP143" s="714">
        <v>5.8</v>
      </c>
      <c r="DQ143" s="714">
        <v>6</v>
      </c>
      <c r="DR143" s="714">
        <v>5.8</v>
      </c>
      <c r="DS143" s="715">
        <v>5.9</v>
      </c>
      <c r="DT143" s="715">
        <v>6</v>
      </c>
      <c r="DU143" s="715">
        <v>6.1</v>
      </c>
      <c r="DV143" s="715">
        <v>6.2</v>
      </c>
      <c r="DW143" s="715">
        <v>6.3</v>
      </c>
      <c r="DX143" s="715">
        <v>6.5</v>
      </c>
      <c r="DY143" s="714">
        <v>6.6</v>
      </c>
      <c r="DZ143" s="714">
        <v>6.7</v>
      </c>
      <c r="EA143" s="714">
        <v>6.8</v>
      </c>
      <c r="EB143" s="714">
        <v>6.9</v>
      </c>
      <c r="EC143" s="714">
        <v>5.9</v>
      </c>
      <c r="ED143" s="715">
        <v>6</v>
      </c>
      <c r="EE143" s="715">
        <v>6.1</v>
      </c>
      <c r="EF143" s="715">
        <v>6.2</v>
      </c>
      <c r="EG143" s="715">
        <v>6.3</v>
      </c>
      <c r="EH143" s="715">
        <v>6.4</v>
      </c>
      <c r="EI143" s="715">
        <v>6.6</v>
      </c>
      <c r="EJ143" s="714">
        <v>6.7</v>
      </c>
      <c r="EK143" s="714">
        <v>6.8</v>
      </c>
      <c r="EL143" s="714">
        <v>6.9</v>
      </c>
      <c r="EM143" s="714">
        <v>7</v>
      </c>
      <c r="EN143" s="714">
        <v>6.7</v>
      </c>
      <c r="EO143" s="715">
        <v>6.8</v>
      </c>
      <c r="EP143" s="715">
        <v>6.9</v>
      </c>
      <c r="EQ143" s="715">
        <v>7</v>
      </c>
      <c r="ER143" s="715">
        <v>7.2</v>
      </c>
      <c r="ES143" s="715">
        <v>7.3</v>
      </c>
      <c r="ET143" s="715">
        <v>7.5</v>
      </c>
      <c r="EU143" s="714">
        <v>7.7</v>
      </c>
      <c r="EV143" s="714">
        <v>7.8</v>
      </c>
      <c r="EW143" s="714">
        <v>7.9</v>
      </c>
      <c r="EX143" s="714">
        <v>8</v>
      </c>
      <c r="EY143" s="714">
        <v>1.6</v>
      </c>
      <c r="EZ143" s="715">
        <v>2.1</v>
      </c>
      <c r="FA143" s="715">
        <v>2.6</v>
      </c>
      <c r="FB143" s="715">
        <v>2.9</v>
      </c>
      <c r="FC143" s="715">
        <v>3.2</v>
      </c>
      <c r="FD143" s="715">
        <v>3.5</v>
      </c>
      <c r="FE143" s="715">
        <v>3.7</v>
      </c>
      <c r="FF143" s="714">
        <v>4</v>
      </c>
      <c r="FG143" s="714">
        <v>4.3</v>
      </c>
      <c r="FH143" s="714">
        <v>4.5</v>
      </c>
      <c r="FI143" s="714">
        <v>4.7</v>
      </c>
      <c r="FJ143" s="723">
        <v>2.71e-6</v>
      </c>
      <c r="FK143" s="723">
        <v>1.23e-8</v>
      </c>
      <c r="FL143" s="723">
        <v>-1.91e-11</v>
      </c>
      <c r="FM143" s="723">
        <v>6.47e-7</v>
      </c>
      <c r="FN143" s="723">
        <v>2.76e-10</v>
      </c>
      <c r="FO143" s="723">
        <v>0.255</v>
      </c>
      <c r="FP143" s="729">
        <v>1</v>
      </c>
      <c r="FQ143" s="729">
        <v>3</v>
      </c>
      <c r="FR143" s="729">
        <v>1</v>
      </c>
      <c r="FS143" s="729">
        <v>3</v>
      </c>
      <c r="FT143" s="729">
        <v>1</v>
      </c>
      <c r="FU143" s="729">
        <v>1</v>
      </c>
      <c r="FV143" s="681">
        <v>1</v>
      </c>
      <c r="FW143" s="729"/>
      <c r="FX143" s="729"/>
      <c r="FY143" s="729"/>
      <c r="FZ143" s="746">
        <v>677</v>
      </c>
      <c r="GA143" s="746">
        <v>701</v>
      </c>
      <c r="GB143" s="681">
        <v>632</v>
      </c>
      <c r="GC143" s="681">
        <v>667</v>
      </c>
      <c r="GD143" s="747">
        <v>1.02</v>
      </c>
      <c r="GE143" s="729"/>
      <c r="GF143" s="681">
        <v>62</v>
      </c>
      <c r="GG143" s="681">
        <v>78</v>
      </c>
      <c r="GH143" s="681">
        <v>56</v>
      </c>
      <c r="GI143" s="681">
        <v>58</v>
      </c>
      <c r="GJ143" s="681">
        <v>60</v>
      </c>
      <c r="GK143" s="681">
        <v>61</v>
      </c>
      <c r="GL143" s="681">
        <v>63</v>
      </c>
      <c r="GM143" s="681">
        <v>63</v>
      </c>
      <c r="GN143" s="681">
        <v>64</v>
      </c>
      <c r="GO143" s="681">
        <v>65</v>
      </c>
      <c r="GP143" s="681">
        <v>66</v>
      </c>
      <c r="GQ143" s="681">
        <v>66</v>
      </c>
      <c r="GR143" s="681">
        <v>67</v>
      </c>
      <c r="GS143" s="681">
        <v>67</v>
      </c>
      <c r="GT143" s="681">
        <v>68</v>
      </c>
      <c r="GU143" s="681">
        <v>69</v>
      </c>
      <c r="GV143" s="681">
        <v>70</v>
      </c>
      <c r="GW143" s="681">
        <v>71</v>
      </c>
      <c r="GX143" s="681">
        <v>72</v>
      </c>
      <c r="GY143" s="681">
        <v>73</v>
      </c>
      <c r="GZ143" s="681">
        <v>74</v>
      </c>
      <c r="HA143" s="681">
        <v>76</v>
      </c>
      <c r="HB143" s="681">
        <v>77</v>
      </c>
      <c r="HC143" s="681">
        <v>155</v>
      </c>
      <c r="HD143" s="750">
        <v>155</v>
      </c>
      <c r="HE143" s="681">
        <v>156</v>
      </c>
      <c r="HF143" s="681">
        <v>720</v>
      </c>
      <c r="HG143" s="681">
        <v>68</v>
      </c>
      <c r="HH143" s="714">
        <v>121.8</v>
      </c>
      <c r="HI143" s="714">
        <v>46.4</v>
      </c>
      <c r="HJ143" s="753">
        <v>0.312</v>
      </c>
      <c r="HK143" s="681">
        <v>65</v>
      </c>
      <c r="HL143" s="685">
        <v>1.25</v>
      </c>
      <c r="HM143" s="747">
        <v>4.72</v>
      </c>
      <c r="HN143" s="729" t="s">
        <v>1192</v>
      </c>
      <c r="HO143" s="729" t="s">
        <v>1193</v>
      </c>
      <c r="HP143" s="714">
        <v>-0.4</v>
      </c>
      <c r="HQ143" s="753">
        <v>0.861</v>
      </c>
      <c r="HR143" s="753">
        <v>0.972</v>
      </c>
      <c r="HS143" s="753">
        <v>0.995</v>
      </c>
      <c r="HT143" s="753">
        <v>0.999</v>
      </c>
      <c r="HU143" s="753">
        <v>0.999</v>
      </c>
      <c r="HV143" s="753">
        <v>0.999</v>
      </c>
      <c r="HW143" s="753">
        <v>0.999</v>
      </c>
      <c r="HX143" s="753">
        <v>0.999</v>
      </c>
      <c r="HY143" s="753">
        <v>0.999</v>
      </c>
      <c r="HZ143" s="753">
        <v>0.999</v>
      </c>
      <c r="IA143" s="753">
        <v>0.999</v>
      </c>
      <c r="IB143" s="753">
        <v>0.999</v>
      </c>
      <c r="IC143" s="753">
        <v>0.999</v>
      </c>
      <c r="ID143" s="753">
        <v>0.999</v>
      </c>
      <c r="IE143" s="753">
        <v>0.999</v>
      </c>
      <c r="IF143" s="753">
        <v>0.999</v>
      </c>
      <c r="IG143" s="753">
        <v>0.999</v>
      </c>
      <c r="IH143" s="753">
        <v>0.998</v>
      </c>
      <c r="II143" s="753">
        <v>0.996</v>
      </c>
      <c r="IJ143" s="753">
        <v>0.994</v>
      </c>
      <c r="IK143" s="753">
        <v>0.991</v>
      </c>
      <c r="IL143" s="753">
        <v>0.988</v>
      </c>
      <c r="IM143" s="753">
        <v>0.982</v>
      </c>
      <c r="IN143" s="753">
        <v>0.972</v>
      </c>
      <c r="IO143" s="753">
        <v>0.961</v>
      </c>
      <c r="IP143" s="753">
        <v>0.942</v>
      </c>
      <c r="IQ143" s="753">
        <v>0.906</v>
      </c>
      <c r="IR143" s="753">
        <v>0.827</v>
      </c>
      <c r="IS143" s="753">
        <v>0.666</v>
      </c>
      <c r="IT143" s="753">
        <v>0.357</v>
      </c>
      <c r="IU143" s="753">
        <v>0.059</v>
      </c>
      <c r="IV143" s="753"/>
      <c r="IW143" s="753"/>
      <c r="IX143" s="753"/>
      <c r="IY143" s="753"/>
      <c r="IZ143" s="753"/>
      <c r="JA143" s="754">
        <v>0.742</v>
      </c>
      <c r="JB143" s="754">
        <v>0.945</v>
      </c>
      <c r="JC143" s="754">
        <v>0.99</v>
      </c>
      <c r="JD143" s="754">
        <v>0.998</v>
      </c>
      <c r="JE143" s="754">
        <v>0.998</v>
      </c>
      <c r="JF143" s="754">
        <v>0.998</v>
      </c>
      <c r="JG143" s="754">
        <v>0.998</v>
      </c>
      <c r="JH143" s="754">
        <v>0.998</v>
      </c>
      <c r="JI143" s="754">
        <v>0.998</v>
      </c>
      <c r="JJ143" s="754">
        <v>0.998</v>
      </c>
      <c r="JK143" s="754">
        <v>0.998</v>
      </c>
      <c r="JL143" s="754">
        <v>0.998</v>
      </c>
      <c r="JM143" s="754">
        <v>0.998</v>
      </c>
      <c r="JN143" s="754">
        <v>0.998</v>
      </c>
      <c r="JO143" s="754">
        <v>0.998</v>
      </c>
      <c r="JP143" s="754">
        <v>0.998</v>
      </c>
      <c r="JQ143" s="754">
        <v>0.998</v>
      </c>
      <c r="JR143" s="754">
        <v>0.996</v>
      </c>
      <c r="JS143" s="754">
        <v>0.993</v>
      </c>
      <c r="JT143" s="754">
        <v>0.99</v>
      </c>
      <c r="JU143" s="754">
        <v>0.987</v>
      </c>
      <c r="JV143" s="754">
        <v>0.979</v>
      </c>
      <c r="JW143" s="754">
        <v>0.971</v>
      </c>
      <c r="JX143" s="754">
        <v>0.95</v>
      </c>
      <c r="JY143" s="754">
        <v>0.929</v>
      </c>
      <c r="JZ143" s="754">
        <v>0.893</v>
      </c>
      <c r="KA143" s="754">
        <v>0.829</v>
      </c>
      <c r="KB143" s="754">
        <v>0.693</v>
      </c>
      <c r="KC143" s="754">
        <v>0.451</v>
      </c>
      <c r="KD143" s="754">
        <v>0.131</v>
      </c>
      <c r="KE143" s="754">
        <v>0.01</v>
      </c>
      <c r="KF143" s="754"/>
      <c r="KG143" s="754"/>
      <c r="KH143" s="754"/>
      <c r="KI143" s="754"/>
      <c r="KJ143" s="754"/>
      <c r="KK143" s="765" t="s">
        <v>281</v>
      </c>
      <c r="KL143" s="738">
        <v>136</v>
      </c>
      <c r="KM143" s="738">
        <v>642</v>
      </c>
      <c r="KN143" s="646" t="s">
        <v>303</v>
      </c>
      <c r="KO143" s="646" t="s">
        <v>1191</v>
      </c>
      <c r="KP143" s="680">
        <v>852408</v>
      </c>
      <c r="KQ143" s="766" t="s">
        <v>1194</v>
      </c>
      <c r="KR143" s="750" t="s">
        <v>1195</v>
      </c>
      <c r="KS143" s="769"/>
      <c r="KT143" s="770"/>
      <c r="KU143" s="766"/>
      <c r="KV143" s="750"/>
      <c r="KW143" s="771" t="s">
        <v>1196</v>
      </c>
      <c r="KX143" s="750" t="s">
        <v>1197</v>
      </c>
      <c r="KY143" s="769"/>
      <c r="KZ143" s="770"/>
    </row>
    <row r="144" s="628" customFormat="1" customHeight="1" spans="1:312">
      <c r="A144" s="682" t="s">
        <v>300</v>
      </c>
      <c r="B144" s="683">
        <v>140</v>
      </c>
      <c r="C144" s="689" t="s">
        <v>1198</v>
      </c>
      <c r="D144" s="680">
        <v>850323</v>
      </c>
      <c r="E144" s="685">
        <v>32.27</v>
      </c>
      <c r="F144" s="685">
        <v>32.05</v>
      </c>
      <c r="G144" s="688">
        <v>0.026349</v>
      </c>
      <c r="H144" s="686">
        <v>0.026727</v>
      </c>
      <c r="I144" s="696">
        <v>1.79843</v>
      </c>
      <c r="J144" s="696">
        <v>1.80513</v>
      </c>
      <c r="K144" s="696">
        <v>1.81293</v>
      </c>
      <c r="L144" s="696">
        <v>1.821</v>
      </c>
      <c r="M144" s="696">
        <v>1.82266</v>
      </c>
      <c r="N144" s="696">
        <v>1.82407</v>
      </c>
      <c r="O144" s="696">
        <v>1.82993</v>
      </c>
      <c r="P144" s="696">
        <v>1.83424</v>
      </c>
      <c r="Q144" s="697">
        <v>1.83835</v>
      </c>
      <c r="R144" s="697">
        <v>1.84259</v>
      </c>
      <c r="S144" s="697">
        <v>1.84379</v>
      </c>
      <c r="T144" s="701">
        <v>1.84491</v>
      </c>
      <c r="U144" s="697">
        <v>1.85003</v>
      </c>
      <c r="V144" s="697">
        <v>1.85026</v>
      </c>
      <c r="W144" s="697">
        <v>1.85649</v>
      </c>
      <c r="X144" s="697">
        <v>1.86893</v>
      </c>
      <c r="Y144" s="697">
        <v>1.87052</v>
      </c>
      <c r="Z144" s="697">
        <v>1.8845</v>
      </c>
      <c r="AA144" s="697">
        <v>1.89819</v>
      </c>
      <c r="AB144" s="697">
        <v>1.92348</v>
      </c>
      <c r="AC144" s="704">
        <v>3.30260921</v>
      </c>
      <c r="AD144" s="705">
        <v>-0.0139415408</v>
      </c>
      <c r="AE144" s="705">
        <v>0.0382606507</v>
      </c>
      <c r="AF144" s="705">
        <v>0.00195805494</v>
      </c>
      <c r="AG144" s="705">
        <v>-0.000107295242</v>
      </c>
      <c r="AH144" s="705">
        <v>1.47824013e-5</v>
      </c>
      <c r="AI144" s="709">
        <v>0.2911</v>
      </c>
      <c r="AJ144" s="709">
        <v>0.2364</v>
      </c>
      <c r="AK144" s="709">
        <v>0.5909</v>
      </c>
      <c r="AL144" s="709">
        <v>0.2421</v>
      </c>
      <c r="AM144" s="709">
        <v>0.2331</v>
      </c>
      <c r="AN144" s="709">
        <v>0.5231</v>
      </c>
      <c r="AO144" s="709">
        <v>-0.0003</v>
      </c>
      <c r="AP144" s="709">
        <v>0.0009</v>
      </c>
      <c r="AQ144" s="709">
        <v>0.0064</v>
      </c>
      <c r="AR144" s="709">
        <v>0.0026</v>
      </c>
      <c r="AS144" s="714">
        <v>3.2</v>
      </c>
      <c r="AT144" s="714">
        <v>3.1</v>
      </c>
      <c r="AU144" s="714">
        <v>3.1</v>
      </c>
      <c r="AV144" s="714">
        <v>3.1</v>
      </c>
      <c r="AW144" s="714">
        <v>3.1</v>
      </c>
      <c r="AX144" s="714">
        <v>3.1</v>
      </c>
      <c r="AY144" s="714">
        <v>3.2</v>
      </c>
      <c r="AZ144" s="714">
        <v>3.3</v>
      </c>
      <c r="BA144" s="714">
        <v>3.3</v>
      </c>
      <c r="BB144" s="714">
        <v>3.5</v>
      </c>
      <c r="BC144" s="714">
        <v>3.6</v>
      </c>
      <c r="BD144" s="714">
        <v>3.7</v>
      </c>
      <c r="BE144" s="714">
        <v>3.7</v>
      </c>
      <c r="BF144" s="714">
        <v>3.7</v>
      </c>
      <c r="BG144" s="714">
        <v>3.7</v>
      </c>
      <c r="BH144" s="714">
        <v>3.7</v>
      </c>
      <c r="BI144" s="714">
        <v>3.7</v>
      </c>
      <c r="BJ144" s="714">
        <v>3.8</v>
      </c>
      <c r="BK144" s="714">
        <v>3.9</v>
      </c>
      <c r="BL144" s="714">
        <v>4</v>
      </c>
      <c r="BM144" s="714">
        <v>4.1</v>
      </c>
      <c r="BN144" s="714">
        <v>4.2</v>
      </c>
      <c r="BO144" s="714">
        <v>4.1</v>
      </c>
      <c r="BP144" s="714">
        <v>4.1</v>
      </c>
      <c r="BQ144" s="714">
        <v>4.2</v>
      </c>
      <c r="BR144" s="714">
        <v>4.2</v>
      </c>
      <c r="BS144" s="714">
        <v>4.3</v>
      </c>
      <c r="BT144" s="714">
        <v>4.3</v>
      </c>
      <c r="BU144" s="714">
        <v>4.4</v>
      </c>
      <c r="BV144" s="714">
        <v>4.5</v>
      </c>
      <c r="BW144" s="714">
        <v>4.6</v>
      </c>
      <c r="BX144" s="714">
        <v>4.7</v>
      </c>
      <c r="BY144" s="714">
        <v>4.8</v>
      </c>
      <c r="BZ144" s="714">
        <v>4.1</v>
      </c>
      <c r="CA144" s="714">
        <v>4.1</v>
      </c>
      <c r="CB144" s="714">
        <v>4.2</v>
      </c>
      <c r="CC144" s="714">
        <v>4.2</v>
      </c>
      <c r="CD144" s="714">
        <v>4.3</v>
      </c>
      <c r="CE144" s="714">
        <v>4.4</v>
      </c>
      <c r="CF144" s="714">
        <v>4.5</v>
      </c>
      <c r="CG144" s="714">
        <v>4.6</v>
      </c>
      <c r="CH144" s="714">
        <v>4.7</v>
      </c>
      <c r="CI144" s="714">
        <v>4.7</v>
      </c>
      <c r="CJ144" s="714">
        <v>4.8</v>
      </c>
      <c r="CK144" s="714">
        <v>4.2</v>
      </c>
      <c r="CL144" s="715">
        <v>4.2</v>
      </c>
      <c r="CM144" s="715">
        <v>4.3</v>
      </c>
      <c r="CN144" s="715">
        <v>4.3</v>
      </c>
      <c r="CO144" s="715">
        <v>4.3</v>
      </c>
      <c r="CP144" s="715">
        <v>4.5</v>
      </c>
      <c r="CQ144" s="715">
        <v>4.6</v>
      </c>
      <c r="CR144" s="714">
        <v>4.6</v>
      </c>
      <c r="CS144" s="714">
        <v>4.8</v>
      </c>
      <c r="CT144" s="714">
        <v>4.8</v>
      </c>
      <c r="CU144" s="714">
        <v>4.9</v>
      </c>
      <c r="CV144" s="714">
        <v>4.5</v>
      </c>
      <c r="CW144" s="715">
        <v>4.5</v>
      </c>
      <c r="CX144" s="715">
        <v>4.7</v>
      </c>
      <c r="CY144" s="715">
        <v>4.6</v>
      </c>
      <c r="CZ144" s="715">
        <v>4.8</v>
      </c>
      <c r="DA144" s="715">
        <v>4.8</v>
      </c>
      <c r="DB144" s="715">
        <v>5</v>
      </c>
      <c r="DC144" s="714">
        <v>5.2</v>
      </c>
      <c r="DD144" s="714">
        <v>5.3</v>
      </c>
      <c r="DE144" s="714">
        <v>5.6</v>
      </c>
      <c r="DF144" s="714">
        <v>5.7</v>
      </c>
      <c r="DG144" s="714">
        <v>4.9</v>
      </c>
      <c r="DH144" s="715">
        <v>5</v>
      </c>
      <c r="DI144" s="715">
        <v>5.1</v>
      </c>
      <c r="DJ144" s="715">
        <v>5.2</v>
      </c>
      <c r="DK144" s="715">
        <v>5.2</v>
      </c>
      <c r="DL144" s="715">
        <v>5.3</v>
      </c>
      <c r="DM144" s="715">
        <v>5.5</v>
      </c>
      <c r="DN144" s="714">
        <v>5.5</v>
      </c>
      <c r="DO144" s="714">
        <v>5.6</v>
      </c>
      <c r="DP144" s="714">
        <v>5.8</v>
      </c>
      <c r="DQ144" s="714">
        <v>6</v>
      </c>
      <c r="DR144" s="714">
        <v>5.8</v>
      </c>
      <c r="DS144" s="715">
        <v>5.9</v>
      </c>
      <c r="DT144" s="715">
        <v>6.2</v>
      </c>
      <c r="DU144" s="715">
        <v>6.2</v>
      </c>
      <c r="DV144" s="715">
        <v>6.3</v>
      </c>
      <c r="DW144" s="715">
        <v>6.5</v>
      </c>
      <c r="DX144" s="715">
        <v>6.8</v>
      </c>
      <c r="DY144" s="714">
        <v>7</v>
      </c>
      <c r="DZ144" s="714">
        <v>7.2</v>
      </c>
      <c r="EA144" s="714">
        <v>7.4</v>
      </c>
      <c r="EB144" s="714">
        <v>7.7</v>
      </c>
      <c r="EC144" s="714">
        <v>5.8</v>
      </c>
      <c r="ED144" s="715">
        <v>5.9</v>
      </c>
      <c r="EE144" s="715">
        <v>6.2</v>
      </c>
      <c r="EF144" s="715">
        <v>6.2</v>
      </c>
      <c r="EG144" s="715">
        <v>6.3</v>
      </c>
      <c r="EH144" s="715">
        <v>6.5</v>
      </c>
      <c r="EI144" s="715">
        <v>6.8</v>
      </c>
      <c r="EJ144" s="714">
        <v>7</v>
      </c>
      <c r="EK144" s="714">
        <v>7.2</v>
      </c>
      <c r="EL144" s="714">
        <v>7.4</v>
      </c>
      <c r="EM144" s="714">
        <v>7.7</v>
      </c>
      <c r="EN144" s="714">
        <v>6.9</v>
      </c>
      <c r="EO144" s="715">
        <v>7.1</v>
      </c>
      <c r="EP144" s="715">
        <v>7.4</v>
      </c>
      <c r="EQ144" s="715">
        <v>7.6</v>
      </c>
      <c r="ER144" s="715">
        <v>7.9</v>
      </c>
      <c r="ES144" s="715">
        <v>8.1</v>
      </c>
      <c r="ET144" s="715">
        <v>8.4</v>
      </c>
      <c r="EU144" s="714">
        <v>8.6</v>
      </c>
      <c r="EV144" s="714">
        <v>8.9</v>
      </c>
      <c r="EW144" s="714">
        <v>9.1</v>
      </c>
      <c r="EX144" s="714">
        <v>9.3</v>
      </c>
      <c r="EY144" s="714">
        <v>1.2</v>
      </c>
      <c r="EZ144" s="715">
        <v>1.7</v>
      </c>
      <c r="FA144" s="715">
        <v>2.2</v>
      </c>
      <c r="FB144" s="715">
        <v>2.5</v>
      </c>
      <c r="FC144" s="715">
        <v>2.7</v>
      </c>
      <c r="FD144" s="715">
        <v>3.1</v>
      </c>
      <c r="FE144" s="715">
        <v>3.3</v>
      </c>
      <c r="FF144" s="714">
        <v>3.5</v>
      </c>
      <c r="FG144" s="714">
        <v>3.8</v>
      </c>
      <c r="FH144" s="714">
        <v>3.9</v>
      </c>
      <c r="FI144" s="714">
        <v>4.1</v>
      </c>
      <c r="FJ144" s="723">
        <v>1.56e-6</v>
      </c>
      <c r="FK144" s="723">
        <v>9.55e-9</v>
      </c>
      <c r="FL144" s="723">
        <v>-1.73e-11</v>
      </c>
      <c r="FM144" s="723">
        <v>8.08e-7</v>
      </c>
      <c r="FN144" s="723">
        <v>1.02e-9</v>
      </c>
      <c r="FO144" s="723">
        <v>0.278</v>
      </c>
      <c r="FP144" s="729">
        <v>1</v>
      </c>
      <c r="FQ144" s="729">
        <v>1</v>
      </c>
      <c r="FR144" s="729">
        <v>1</v>
      </c>
      <c r="FS144" s="729">
        <v>1</v>
      </c>
      <c r="FT144" s="729">
        <v>1</v>
      </c>
      <c r="FU144" s="729">
        <v>2</v>
      </c>
      <c r="FV144" s="681">
        <v>1</v>
      </c>
      <c r="FW144" s="729"/>
      <c r="FX144" s="729"/>
      <c r="FY144" s="729"/>
      <c r="FZ144" s="746">
        <v>617</v>
      </c>
      <c r="GA144" s="746">
        <v>663</v>
      </c>
      <c r="GB144" s="681">
        <v>569</v>
      </c>
      <c r="GC144" s="681">
        <v>591</v>
      </c>
      <c r="GD144" s="747">
        <v>1.19</v>
      </c>
      <c r="GE144" s="729"/>
      <c r="GF144" s="681">
        <v>73</v>
      </c>
      <c r="GG144" s="681">
        <v>92</v>
      </c>
      <c r="GH144" s="681">
        <v>65</v>
      </c>
      <c r="GI144" s="681">
        <v>67</v>
      </c>
      <c r="GJ144" s="681">
        <v>70</v>
      </c>
      <c r="GK144" s="681">
        <v>71</v>
      </c>
      <c r="GL144" s="681">
        <v>71</v>
      </c>
      <c r="GM144" s="681">
        <v>73</v>
      </c>
      <c r="GN144" s="681">
        <v>74</v>
      </c>
      <c r="GO144" s="681">
        <v>75</v>
      </c>
      <c r="GP144" s="681">
        <v>76</v>
      </c>
      <c r="GQ144" s="681">
        <v>77</v>
      </c>
      <c r="GR144" s="681">
        <v>77</v>
      </c>
      <c r="GS144" s="681">
        <v>78</v>
      </c>
      <c r="GT144" s="681">
        <v>79</v>
      </c>
      <c r="GU144" s="681">
        <v>80</v>
      </c>
      <c r="GV144" s="681">
        <v>81</v>
      </c>
      <c r="GW144" s="681">
        <v>82</v>
      </c>
      <c r="GX144" s="681">
        <v>83</v>
      </c>
      <c r="GY144" s="681">
        <v>84</v>
      </c>
      <c r="GZ144" s="681">
        <v>85</v>
      </c>
      <c r="HA144" s="681">
        <v>86</v>
      </c>
      <c r="HB144" s="681">
        <v>87</v>
      </c>
      <c r="HC144" s="681"/>
      <c r="HD144" s="750">
        <v>164</v>
      </c>
      <c r="HE144" s="681"/>
      <c r="HF144" s="681">
        <v>625</v>
      </c>
      <c r="HG144" s="681">
        <v>98</v>
      </c>
      <c r="HH144" s="714">
        <v>121.5</v>
      </c>
      <c r="HI144" s="714">
        <v>46.5</v>
      </c>
      <c r="HJ144" s="753">
        <v>0.307</v>
      </c>
      <c r="HK144" s="681">
        <v>89</v>
      </c>
      <c r="HL144" s="685">
        <v>1.71</v>
      </c>
      <c r="HM144" s="747">
        <v>4</v>
      </c>
      <c r="HN144" s="729" t="s">
        <v>1199</v>
      </c>
      <c r="HO144" s="729" t="s">
        <v>1005</v>
      </c>
      <c r="HP144" s="714">
        <v>-0.2</v>
      </c>
      <c r="HQ144" s="753">
        <v>0.942</v>
      </c>
      <c r="HR144" s="753">
        <v>0.986</v>
      </c>
      <c r="HS144" s="753">
        <v>0.993</v>
      </c>
      <c r="HT144" s="753">
        <v>0.998</v>
      </c>
      <c r="HU144" s="753">
        <v>0.998</v>
      </c>
      <c r="HV144" s="753">
        <v>0.998</v>
      </c>
      <c r="HW144" s="753">
        <v>0.998</v>
      </c>
      <c r="HX144" s="753">
        <v>0.998</v>
      </c>
      <c r="HY144" s="753">
        <v>0.998</v>
      </c>
      <c r="HZ144" s="753">
        <v>0.998</v>
      </c>
      <c r="IA144" s="753">
        <v>0.998</v>
      </c>
      <c r="IB144" s="753">
        <v>0.998</v>
      </c>
      <c r="IC144" s="753">
        <v>0.998</v>
      </c>
      <c r="ID144" s="753">
        <v>0.998</v>
      </c>
      <c r="IE144" s="753">
        <v>0.998</v>
      </c>
      <c r="IF144" s="753">
        <v>0.998</v>
      </c>
      <c r="IG144" s="753">
        <v>0.998</v>
      </c>
      <c r="IH144" s="753">
        <v>0.996</v>
      </c>
      <c r="II144" s="753">
        <v>0.993</v>
      </c>
      <c r="IJ144" s="753">
        <v>0.989</v>
      </c>
      <c r="IK144" s="753">
        <v>0.985</v>
      </c>
      <c r="IL144" s="753">
        <v>0.979</v>
      </c>
      <c r="IM144" s="753">
        <v>0.963</v>
      </c>
      <c r="IN144" s="753">
        <v>0.935</v>
      </c>
      <c r="IO144" s="753">
        <v>0.904</v>
      </c>
      <c r="IP144" s="753">
        <v>0.849</v>
      </c>
      <c r="IQ144" s="753">
        <v>0.733</v>
      </c>
      <c r="IR144" s="753">
        <v>0.476</v>
      </c>
      <c r="IS144" s="753">
        <v>0.11</v>
      </c>
      <c r="IT144" s="753"/>
      <c r="IU144" s="753"/>
      <c r="IV144" s="753"/>
      <c r="IW144" s="753"/>
      <c r="IX144" s="753"/>
      <c r="IY144" s="753"/>
      <c r="IZ144" s="753"/>
      <c r="JA144" s="754">
        <v>0.882</v>
      </c>
      <c r="JB144" s="754">
        <v>0.959</v>
      </c>
      <c r="JC144" s="754">
        <v>0.985</v>
      </c>
      <c r="JD144" s="754">
        <v>0.996</v>
      </c>
      <c r="JE144" s="754">
        <v>0.996</v>
      </c>
      <c r="JF144" s="754">
        <v>0.996</v>
      </c>
      <c r="JG144" s="754">
        <v>0.996</v>
      </c>
      <c r="JH144" s="754">
        <v>0.996</v>
      </c>
      <c r="JI144" s="754">
        <v>0.996</v>
      </c>
      <c r="JJ144" s="754">
        <v>0.996</v>
      </c>
      <c r="JK144" s="754">
        <v>0.996</v>
      </c>
      <c r="JL144" s="754">
        <v>0.996</v>
      </c>
      <c r="JM144" s="754">
        <v>0.996</v>
      </c>
      <c r="JN144" s="754">
        <v>0.996</v>
      </c>
      <c r="JO144" s="754">
        <v>0.996</v>
      </c>
      <c r="JP144" s="754">
        <v>0.996</v>
      </c>
      <c r="JQ144" s="754">
        <v>0.996</v>
      </c>
      <c r="JR144" s="754">
        <v>0.994</v>
      </c>
      <c r="JS144" s="754">
        <v>0.989</v>
      </c>
      <c r="JT144" s="754">
        <v>0.983</v>
      </c>
      <c r="JU144" s="754">
        <v>0.974</v>
      </c>
      <c r="JV144" s="754">
        <v>0.96</v>
      </c>
      <c r="JW144" s="754">
        <v>0.929</v>
      </c>
      <c r="JX144" s="754">
        <v>0.877</v>
      </c>
      <c r="JY144" s="754">
        <v>0.82</v>
      </c>
      <c r="JZ144" s="754">
        <v>0.726</v>
      </c>
      <c r="KA144" s="754">
        <v>0.541</v>
      </c>
      <c r="KB144" s="754">
        <v>0.231</v>
      </c>
      <c r="KC144" s="754">
        <v>0.019</v>
      </c>
      <c r="KD144" s="754"/>
      <c r="KE144" s="754"/>
      <c r="KF144" s="754"/>
      <c r="KG144" s="754"/>
      <c r="KH144" s="754"/>
      <c r="KI144" s="754"/>
      <c r="KJ144" s="754"/>
      <c r="KK144" s="765" t="s">
        <v>281</v>
      </c>
      <c r="KL144" s="738">
        <v>158</v>
      </c>
      <c r="KM144" s="738">
        <v>632</v>
      </c>
      <c r="KN144" s="646" t="s">
        <v>282</v>
      </c>
      <c r="KO144" s="646" t="s">
        <v>1198</v>
      </c>
      <c r="KP144" s="680">
        <v>850323</v>
      </c>
      <c r="KQ144" s="766"/>
      <c r="KR144" s="750"/>
      <c r="KS144" s="769" t="s">
        <v>1200</v>
      </c>
      <c r="KT144" s="770" t="s">
        <v>1201</v>
      </c>
      <c r="KU144" s="766"/>
      <c r="KV144" s="750"/>
      <c r="KW144" s="771"/>
      <c r="KX144" s="750"/>
      <c r="KY144" s="769" t="s">
        <v>1202</v>
      </c>
      <c r="KZ144" s="770" t="s">
        <v>1201</v>
      </c>
    </row>
    <row r="145" s="628" customFormat="1" customHeight="1" spans="1:312">
      <c r="A145" s="682" t="s">
        <v>277</v>
      </c>
      <c r="B145" s="683">
        <v>141</v>
      </c>
      <c r="C145" s="689" t="s">
        <v>1203</v>
      </c>
      <c r="D145" s="680">
        <v>850323</v>
      </c>
      <c r="E145" s="685">
        <v>32.27</v>
      </c>
      <c r="F145" s="685">
        <v>32.05</v>
      </c>
      <c r="G145" s="688">
        <v>0.026349</v>
      </c>
      <c r="H145" s="686">
        <v>0.026727</v>
      </c>
      <c r="I145" s="696"/>
      <c r="J145" s="696"/>
      <c r="K145" s="696"/>
      <c r="L145" s="696">
        <v>1.82128</v>
      </c>
      <c r="M145" s="696">
        <v>1.82287</v>
      </c>
      <c r="N145" s="696">
        <v>1.82426</v>
      </c>
      <c r="O145" s="696">
        <v>1.83001</v>
      </c>
      <c r="P145" s="696">
        <v>1.83428</v>
      </c>
      <c r="Q145" s="697">
        <v>1.83837</v>
      </c>
      <c r="R145" s="697">
        <v>1.84259</v>
      </c>
      <c r="S145" s="697">
        <v>1.84379</v>
      </c>
      <c r="T145" s="701">
        <v>1.84491</v>
      </c>
      <c r="U145" s="697">
        <v>1.85003</v>
      </c>
      <c r="V145" s="697">
        <v>1.85026</v>
      </c>
      <c r="W145" s="697">
        <v>1.85649</v>
      </c>
      <c r="X145" s="697">
        <v>1.86893</v>
      </c>
      <c r="Y145" s="697">
        <v>1.87052</v>
      </c>
      <c r="Z145" s="697">
        <v>1.88455</v>
      </c>
      <c r="AA145" s="697">
        <v>1.89826</v>
      </c>
      <c r="AB145" s="697">
        <v>1.92358</v>
      </c>
      <c r="AC145" s="704">
        <v>3.3003767</v>
      </c>
      <c r="AD145" s="705">
        <v>-0.011992718</v>
      </c>
      <c r="AE145" s="705">
        <v>0.0394905653</v>
      </c>
      <c r="AF145" s="705">
        <v>0.00156664097</v>
      </c>
      <c r="AG145" s="705">
        <v>-4.50656039e-5</v>
      </c>
      <c r="AH145" s="705">
        <v>1.12714689e-5</v>
      </c>
      <c r="AI145" s="709">
        <v>0.2911</v>
      </c>
      <c r="AJ145" s="709">
        <v>0.2364</v>
      </c>
      <c r="AK145" s="709">
        <v>0.5928</v>
      </c>
      <c r="AL145" s="709">
        <v>0.2421</v>
      </c>
      <c r="AM145" s="709">
        <v>0.2331</v>
      </c>
      <c r="AN145" s="709">
        <v>0.5249</v>
      </c>
      <c r="AO145" s="709">
        <v>-0.0003</v>
      </c>
      <c r="AP145" s="709">
        <v>0.0028</v>
      </c>
      <c r="AQ145" s="709">
        <v>-0.0008</v>
      </c>
      <c r="AR145" s="709">
        <v>-0.0004</v>
      </c>
      <c r="AS145" s="714">
        <v>2.5</v>
      </c>
      <c r="AT145" s="714">
        <v>2.5</v>
      </c>
      <c r="AU145" s="714">
        <v>2.7</v>
      </c>
      <c r="AV145" s="714">
        <v>2.7</v>
      </c>
      <c r="AW145" s="714">
        <v>2.8</v>
      </c>
      <c r="AX145" s="714">
        <v>2.8</v>
      </c>
      <c r="AY145" s="714">
        <v>2.9</v>
      </c>
      <c r="AZ145" s="714">
        <v>2.9</v>
      </c>
      <c r="BA145" s="714">
        <v>3</v>
      </c>
      <c r="BB145" s="714">
        <v>3.1</v>
      </c>
      <c r="BC145" s="714">
        <v>3.1</v>
      </c>
      <c r="BD145" s="714">
        <v>2.8</v>
      </c>
      <c r="BE145" s="714">
        <v>2.8</v>
      </c>
      <c r="BF145" s="714">
        <v>3</v>
      </c>
      <c r="BG145" s="714">
        <v>3</v>
      </c>
      <c r="BH145" s="714">
        <v>3.2</v>
      </c>
      <c r="BI145" s="714">
        <v>3.3</v>
      </c>
      <c r="BJ145" s="714">
        <v>3.5</v>
      </c>
      <c r="BK145" s="714">
        <v>3.7</v>
      </c>
      <c r="BL145" s="714">
        <v>3.8</v>
      </c>
      <c r="BM145" s="714">
        <v>4</v>
      </c>
      <c r="BN145" s="714">
        <v>4.2</v>
      </c>
      <c r="BO145" s="714">
        <v>3.1</v>
      </c>
      <c r="BP145" s="714">
        <v>3.2</v>
      </c>
      <c r="BQ145" s="714">
        <v>3.3</v>
      </c>
      <c r="BR145" s="714">
        <v>3.4</v>
      </c>
      <c r="BS145" s="714">
        <v>3.6</v>
      </c>
      <c r="BT145" s="714">
        <v>3.7</v>
      </c>
      <c r="BU145" s="714">
        <v>3.8</v>
      </c>
      <c r="BV145" s="714">
        <v>4.1</v>
      </c>
      <c r="BW145" s="714">
        <v>4.2</v>
      </c>
      <c r="BX145" s="714">
        <v>4.4</v>
      </c>
      <c r="BY145" s="714">
        <v>4.6</v>
      </c>
      <c r="BZ145" s="714">
        <v>3.2</v>
      </c>
      <c r="CA145" s="714">
        <v>3.3</v>
      </c>
      <c r="CB145" s="714">
        <v>3.4</v>
      </c>
      <c r="CC145" s="714">
        <v>3.5</v>
      </c>
      <c r="CD145" s="714">
        <v>3.7</v>
      </c>
      <c r="CE145" s="714">
        <v>3.7</v>
      </c>
      <c r="CF145" s="714">
        <v>4</v>
      </c>
      <c r="CG145" s="714">
        <v>4.2</v>
      </c>
      <c r="CH145" s="714">
        <v>4.3</v>
      </c>
      <c r="CI145" s="714">
        <v>4.5</v>
      </c>
      <c r="CJ145" s="714">
        <v>4.7</v>
      </c>
      <c r="CK145" s="714">
        <v>3.4</v>
      </c>
      <c r="CL145" s="715">
        <v>3.4</v>
      </c>
      <c r="CM145" s="715">
        <v>3.6</v>
      </c>
      <c r="CN145" s="715">
        <v>3.6</v>
      </c>
      <c r="CO145" s="715">
        <v>3.8</v>
      </c>
      <c r="CP145" s="715">
        <v>3.8</v>
      </c>
      <c r="CQ145" s="715">
        <v>4.1</v>
      </c>
      <c r="CR145" s="714">
        <v>4.3</v>
      </c>
      <c r="CS145" s="714">
        <v>4.5</v>
      </c>
      <c r="CT145" s="714">
        <v>4.6</v>
      </c>
      <c r="CU145" s="714">
        <v>4.8</v>
      </c>
      <c r="CV145" s="714">
        <v>3.8</v>
      </c>
      <c r="CW145" s="715">
        <v>3.9</v>
      </c>
      <c r="CX145" s="715">
        <v>4.2</v>
      </c>
      <c r="CY145" s="715">
        <v>4.2</v>
      </c>
      <c r="CZ145" s="715">
        <v>4.4</v>
      </c>
      <c r="DA145" s="715">
        <v>4.5</v>
      </c>
      <c r="DB145" s="715">
        <v>4.7</v>
      </c>
      <c r="DC145" s="714">
        <v>5</v>
      </c>
      <c r="DD145" s="714">
        <v>5.2</v>
      </c>
      <c r="DE145" s="714">
        <v>5.3</v>
      </c>
      <c r="DF145" s="714">
        <v>5.5</v>
      </c>
      <c r="DG145" s="714">
        <v>4.3</v>
      </c>
      <c r="DH145" s="715">
        <v>4.5</v>
      </c>
      <c r="DI145" s="715">
        <v>4.7</v>
      </c>
      <c r="DJ145" s="715">
        <v>4.8</v>
      </c>
      <c r="DK145" s="715">
        <v>5</v>
      </c>
      <c r="DL145" s="715">
        <v>5.2</v>
      </c>
      <c r="DM145" s="715">
        <v>5.3</v>
      </c>
      <c r="DN145" s="714">
        <v>5.6</v>
      </c>
      <c r="DO145" s="714">
        <v>5.7</v>
      </c>
      <c r="DP145" s="714">
        <v>5.9</v>
      </c>
      <c r="DQ145" s="714">
        <v>6.1</v>
      </c>
      <c r="DR145" s="714">
        <v>4.9</v>
      </c>
      <c r="DS145" s="715">
        <v>5.1</v>
      </c>
      <c r="DT145" s="715">
        <v>5.3</v>
      </c>
      <c r="DU145" s="715">
        <v>5.5</v>
      </c>
      <c r="DV145" s="715">
        <v>5.7</v>
      </c>
      <c r="DW145" s="715">
        <v>5.9</v>
      </c>
      <c r="DX145" s="715">
        <v>6.1</v>
      </c>
      <c r="DY145" s="714">
        <v>6.2</v>
      </c>
      <c r="DZ145" s="714">
        <v>6.5</v>
      </c>
      <c r="EA145" s="714">
        <v>6.7</v>
      </c>
      <c r="EB145" s="714">
        <v>6.9</v>
      </c>
      <c r="EC145" s="714">
        <v>5.2</v>
      </c>
      <c r="ED145" s="715">
        <v>5.3</v>
      </c>
      <c r="EE145" s="715">
        <v>5.6</v>
      </c>
      <c r="EF145" s="715">
        <v>5.7</v>
      </c>
      <c r="EG145" s="715">
        <v>5.9</v>
      </c>
      <c r="EH145" s="715">
        <v>6.1</v>
      </c>
      <c r="EI145" s="715">
        <v>6.3</v>
      </c>
      <c r="EJ145" s="714">
        <v>6.4</v>
      </c>
      <c r="EK145" s="714">
        <v>6.7</v>
      </c>
      <c r="EL145" s="714">
        <v>7</v>
      </c>
      <c r="EM145" s="714">
        <v>7.1</v>
      </c>
      <c r="EN145" s="714">
        <v>6.3</v>
      </c>
      <c r="EO145" s="715">
        <v>6.6</v>
      </c>
      <c r="EP145" s="715">
        <v>6.8</v>
      </c>
      <c r="EQ145" s="715">
        <v>7.1</v>
      </c>
      <c r="ER145" s="715">
        <v>7.3</v>
      </c>
      <c r="ES145" s="715">
        <v>7.6</v>
      </c>
      <c r="ET145" s="715">
        <v>7.9</v>
      </c>
      <c r="EU145" s="714">
        <v>8.2</v>
      </c>
      <c r="EV145" s="714">
        <v>8.4</v>
      </c>
      <c r="EW145" s="714">
        <v>8.6</v>
      </c>
      <c r="EX145" s="714">
        <v>8.9</v>
      </c>
      <c r="EY145" s="714">
        <v>0.4</v>
      </c>
      <c r="EZ145" s="715">
        <v>0.9</v>
      </c>
      <c r="FA145" s="715">
        <v>1.5</v>
      </c>
      <c r="FB145" s="715">
        <v>1.8</v>
      </c>
      <c r="FC145" s="715">
        <v>2.2</v>
      </c>
      <c r="FD145" s="715">
        <v>2.4</v>
      </c>
      <c r="FE145" s="715">
        <v>2.8</v>
      </c>
      <c r="FF145" s="714">
        <v>3.2</v>
      </c>
      <c r="FG145" s="714">
        <v>3.5</v>
      </c>
      <c r="FH145" s="714">
        <v>3.7</v>
      </c>
      <c r="FI145" s="714">
        <v>4</v>
      </c>
      <c r="FJ145" s="723">
        <v>6.73e-7</v>
      </c>
      <c r="FK145" s="723">
        <v>1.31e-8</v>
      </c>
      <c r="FL145" s="723">
        <v>-2.05e-11</v>
      </c>
      <c r="FM145" s="723">
        <v>8.31e-7</v>
      </c>
      <c r="FN145" s="723">
        <v>7.05e-10</v>
      </c>
      <c r="FO145" s="723">
        <v>0.274</v>
      </c>
      <c r="FP145" s="729">
        <v>1</v>
      </c>
      <c r="FQ145" s="729">
        <v>1</v>
      </c>
      <c r="FR145" s="729">
        <v>1</v>
      </c>
      <c r="FS145" s="729">
        <v>1</v>
      </c>
      <c r="FT145" s="729">
        <v>1</v>
      </c>
      <c r="FU145" s="729">
        <v>1</v>
      </c>
      <c r="FV145" s="681">
        <v>1</v>
      </c>
      <c r="FW145" s="729"/>
      <c r="FX145" s="729"/>
      <c r="FY145" s="729"/>
      <c r="FZ145" s="746">
        <v>743</v>
      </c>
      <c r="GA145" s="746">
        <v>795</v>
      </c>
      <c r="GB145" s="681">
        <v>682</v>
      </c>
      <c r="GC145" s="681">
        <v>704</v>
      </c>
      <c r="GD145" s="747">
        <v>0.87</v>
      </c>
      <c r="GE145" s="729"/>
      <c r="GF145" s="681">
        <v>65</v>
      </c>
      <c r="GG145" s="681">
        <v>79</v>
      </c>
      <c r="GH145" s="681">
        <v>57</v>
      </c>
      <c r="GI145" s="681">
        <v>59</v>
      </c>
      <c r="GJ145" s="681">
        <v>60</v>
      </c>
      <c r="GK145" s="681">
        <v>60</v>
      </c>
      <c r="GL145" s="681">
        <v>64</v>
      </c>
      <c r="GM145" s="681">
        <v>64</v>
      </c>
      <c r="GN145" s="681">
        <v>65</v>
      </c>
      <c r="GO145" s="681">
        <v>65</v>
      </c>
      <c r="GP145" s="681">
        <v>65</v>
      </c>
      <c r="GQ145" s="681">
        <v>66</v>
      </c>
      <c r="GR145" s="681">
        <v>66</v>
      </c>
      <c r="GS145" s="681">
        <v>68</v>
      </c>
      <c r="GT145" s="681">
        <v>69</v>
      </c>
      <c r="GU145" s="681">
        <v>69</v>
      </c>
      <c r="GV145" s="681">
        <v>71</v>
      </c>
      <c r="GW145" s="681">
        <v>71</v>
      </c>
      <c r="GX145" s="681">
        <v>72</v>
      </c>
      <c r="GY145" s="681">
        <v>75</v>
      </c>
      <c r="GZ145" s="681">
        <v>76</v>
      </c>
      <c r="HA145" s="681">
        <v>76</v>
      </c>
      <c r="HB145" s="681">
        <v>79</v>
      </c>
      <c r="HC145" s="681"/>
      <c r="HD145" s="750">
        <v>164</v>
      </c>
      <c r="HE145" s="681"/>
      <c r="HF145" s="681">
        <v>603</v>
      </c>
      <c r="HG145" s="681">
        <v>147</v>
      </c>
      <c r="HH145" s="714">
        <v>111.4</v>
      </c>
      <c r="HI145" s="714">
        <v>42.89</v>
      </c>
      <c r="HJ145" s="753">
        <v>0.299</v>
      </c>
      <c r="HK145" s="681">
        <v>118</v>
      </c>
      <c r="HL145" s="685">
        <v>1.76</v>
      </c>
      <c r="HM145" s="747">
        <v>4.43</v>
      </c>
      <c r="HN145" s="729" t="s">
        <v>1204</v>
      </c>
      <c r="HO145" s="729" t="s">
        <v>1205</v>
      </c>
      <c r="HP145" s="714">
        <v>-0.3</v>
      </c>
      <c r="HQ145" s="753">
        <v>0.969</v>
      </c>
      <c r="HR145" s="753">
        <v>0.987</v>
      </c>
      <c r="HS145" s="753">
        <v>0.995</v>
      </c>
      <c r="HT145" s="753">
        <v>0.997</v>
      </c>
      <c r="HU145" s="753">
        <v>0.999</v>
      </c>
      <c r="HV145" s="753">
        <v>0.999</v>
      </c>
      <c r="HW145" s="753">
        <v>0.999</v>
      </c>
      <c r="HX145" s="753">
        <v>0.999</v>
      </c>
      <c r="HY145" s="753">
        <v>0.999</v>
      </c>
      <c r="HZ145" s="753">
        <v>0.999</v>
      </c>
      <c r="IA145" s="753">
        <v>0.999</v>
      </c>
      <c r="IB145" s="753">
        <v>0.999</v>
      </c>
      <c r="IC145" s="753">
        <v>0.999</v>
      </c>
      <c r="ID145" s="753">
        <v>0.999</v>
      </c>
      <c r="IE145" s="753">
        <v>0.999</v>
      </c>
      <c r="IF145" s="753">
        <v>0.999</v>
      </c>
      <c r="IG145" s="753">
        <v>0.998</v>
      </c>
      <c r="IH145" s="753">
        <v>0.996</v>
      </c>
      <c r="II145" s="753">
        <v>0.99</v>
      </c>
      <c r="IJ145" s="753">
        <v>0.986</v>
      </c>
      <c r="IK145" s="753">
        <v>0.98</v>
      </c>
      <c r="IL145" s="753">
        <v>0.971</v>
      </c>
      <c r="IM145" s="753">
        <v>0.954</v>
      </c>
      <c r="IN145" s="753">
        <v>0.913</v>
      </c>
      <c r="IO145" s="753">
        <v>0.872</v>
      </c>
      <c r="IP145" s="753">
        <v>0.796868872525461</v>
      </c>
      <c r="IQ145" s="753">
        <v>0.640312423743285</v>
      </c>
      <c r="IR145" s="753">
        <v>0.354964786985977</v>
      </c>
      <c r="IS145" s="753"/>
      <c r="IT145" s="753"/>
      <c r="IU145" s="753"/>
      <c r="IV145" s="753"/>
      <c r="IW145" s="753"/>
      <c r="IX145" s="753"/>
      <c r="IY145" s="753"/>
      <c r="IZ145" s="753"/>
      <c r="JA145" s="754">
        <v>0.939</v>
      </c>
      <c r="JB145" s="754">
        <v>0.974</v>
      </c>
      <c r="JC145" s="754">
        <v>0.989</v>
      </c>
      <c r="JD145" s="754">
        <v>0.993</v>
      </c>
      <c r="JE145" s="754">
        <v>0.998</v>
      </c>
      <c r="JF145" s="754">
        <v>0.998</v>
      </c>
      <c r="JG145" s="754">
        <v>0.998</v>
      </c>
      <c r="JH145" s="754">
        <v>0.998</v>
      </c>
      <c r="JI145" s="754">
        <v>0.998</v>
      </c>
      <c r="JJ145" s="754">
        <v>0.998</v>
      </c>
      <c r="JK145" s="754">
        <v>0.998</v>
      </c>
      <c r="JL145" s="754">
        <v>0.998</v>
      </c>
      <c r="JM145" s="754">
        <v>0.998</v>
      </c>
      <c r="JN145" s="754">
        <v>0.998</v>
      </c>
      <c r="JO145" s="754">
        <v>0.998</v>
      </c>
      <c r="JP145" s="754">
        <v>0.998</v>
      </c>
      <c r="JQ145" s="754">
        <v>0.996</v>
      </c>
      <c r="JR145" s="754">
        <v>0.993</v>
      </c>
      <c r="JS145" s="754">
        <v>0.98</v>
      </c>
      <c r="JT145" s="754">
        <v>0.972</v>
      </c>
      <c r="JU145" s="754">
        <v>0.961</v>
      </c>
      <c r="JV145" s="754">
        <v>0.944</v>
      </c>
      <c r="JW145" s="754">
        <v>0.91</v>
      </c>
      <c r="JX145" s="754">
        <v>0.833</v>
      </c>
      <c r="JY145" s="754">
        <v>0.761</v>
      </c>
      <c r="JZ145" s="754">
        <v>0.635</v>
      </c>
      <c r="KA145" s="754">
        <v>0.41</v>
      </c>
      <c r="KB145" s="754">
        <v>0.126</v>
      </c>
      <c r="KC145" s="754"/>
      <c r="KD145" s="754"/>
      <c r="KE145" s="754"/>
      <c r="KF145" s="754"/>
      <c r="KG145" s="754"/>
      <c r="KH145" s="754"/>
      <c r="KI145" s="754"/>
      <c r="KJ145" s="754"/>
      <c r="KK145" s="765" t="s">
        <v>281</v>
      </c>
      <c r="KL145" s="738">
        <v>105</v>
      </c>
      <c r="KM145" s="738">
        <v>465</v>
      </c>
      <c r="KN145" s="646" t="s">
        <v>282</v>
      </c>
      <c r="KO145" s="646" t="s">
        <v>1203</v>
      </c>
      <c r="KP145" s="680">
        <v>850323</v>
      </c>
      <c r="KQ145" s="766" t="s">
        <v>1206</v>
      </c>
      <c r="KR145" s="750" t="s">
        <v>1207</v>
      </c>
      <c r="KS145" s="769" t="s">
        <v>1208</v>
      </c>
      <c r="KT145" s="770" t="s">
        <v>1207</v>
      </c>
      <c r="KU145" s="766"/>
      <c r="KV145" s="750"/>
      <c r="KW145" s="771" t="s">
        <v>1209</v>
      </c>
      <c r="KX145" s="750" t="s">
        <v>1210</v>
      </c>
      <c r="KY145" s="769" t="s">
        <v>1211</v>
      </c>
      <c r="KZ145" s="770" t="s">
        <v>1201</v>
      </c>
    </row>
    <row r="146" s="628" customFormat="1" customHeight="1" spans="1:312">
      <c r="A146" s="682" t="s">
        <v>277</v>
      </c>
      <c r="B146" s="683">
        <v>142</v>
      </c>
      <c r="C146" s="689" t="s">
        <v>1212</v>
      </c>
      <c r="D146" s="680">
        <v>871407</v>
      </c>
      <c r="E146" s="685">
        <v>40.73</v>
      </c>
      <c r="F146" s="685">
        <v>40.48</v>
      </c>
      <c r="G146" s="688">
        <v>0.021378</v>
      </c>
      <c r="H146" s="686">
        <v>0.021636</v>
      </c>
      <c r="I146" s="696"/>
      <c r="J146" s="696"/>
      <c r="K146" s="696"/>
      <c r="L146" s="696"/>
      <c r="M146" s="696"/>
      <c r="N146" s="696">
        <v>1.84858</v>
      </c>
      <c r="O146" s="696">
        <v>1.85367</v>
      </c>
      <c r="P146" s="696">
        <v>1.85735</v>
      </c>
      <c r="Q146" s="697">
        <v>1.86082</v>
      </c>
      <c r="R146" s="697">
        <v>1.86436</v>
      </c>
      <c r="S146" s="697">
        <v>1.86536</v>
      </c>
      <c r="T146" s="701">
        <v>1.86629</v>
      </c>
      <c r="U146" s="697">
        <v>1.87052</v>
      </c>
      <c r="V146" s="697">
        <v>1.8707</v>
      </c>
      <c r="W146" s="697">
        <v>1.87578</v>
      </c>
      <c r="X146" s="697">
        <v>1.88573</v>
      </c>
      <c r="Y146" s="697">
        <v>1.88699</v>
      </c>
      <c r="Z146" s="697">
        <v>1.89788</v>
      </c>
      <c r="AA146" s="697">
        <v>1.90822</v>
      </c>
      <c r="AB146" s="697">
        <v>1.92642</v>
      </c>
      <c r="AC146" s="704">
        <v>3.39546999</v>
      </c>
      <c r="AD146" s="705">
        <v>-0.0128894532</v>
      </c>
      <c r="AE146" s="705">
        <v>0.0353964334</v>
      </c>
      <c r="AF146" s="705">
        <v>0.000598603397</v>
      </c>
      <c r="AG146" s="705">
        <v>3.775884e-5</v>
      </c>
      <c r="AH146" s="705">
        <v>6.23039754e-7</v>
      </c>
      <c r="AI146" s="709">
        <v>0.2966</v>
      </c>
      <c r="AJ146" s="709">
        <v>0.2376</v>
      </c>
      <c r="AK146" s="709">
        <v>0.5683</v>
      </c>
      <c r="AL146" s="709">
        <v>0.2468</v>
      </c>
      <c r="AM146" s="709">
        <v>0.2348</v>
      </c>
      <c r="AN146" s="709">
        <v>0.5033</v>
      </c>
      <c r="AO146" s="709">
        <v>-0.0023</v>
      </c>
      <c r="AP146" s="709">
        <v>-0.0076</v>
      </c>
      <c r="AQ146" s="709">
        <v>0.0007</v>
      </c>
      <c r="AR146" s="709">
        <v>0.0019</v>
      </c>
      <c r="AS146" s="714">
        <v>1.5</v>
      </c>
      <c r="AT146" s="714">
        <v>1.5</v>
      </c>
      <c r="AU146" s="714">
        <v>1.7</v>
      </c>
      <c r="AV146" s="714">
        <v>1.9</v>
      </c>
      <c r="AW146" s="714">
        <v>2.1</v>
      </c>
      <c r="AX146" s="714">
        <v>2.3</v>
      </c>
      <c r="AY146" s="714">
        <v>2.4</v>
      </c>
      <c r="AZ146" s="714">
        <v>2.5</v>
      </c>
      <c r="BA146" s="714">
        <v>2.5</v>
      </c>
      <c r="BB146" s="714">
        <v>2.7</v>
      </c>
      <c r="BC146" s="714">
        <v>2.9</v>
      </c>
      <c r="BD146" s="714">
        <v>1.7</v>
      </c>
      <c r="BE146" s="714">
        <v>1.8</v>
      </c>
      <c r="BF146" s="714">
        <v>2</v>
      </c>
      <c r="BG146" s="714">
        <v>2.3</v>
      </c>
      <c r="BH146" s="714">
        <v>2.6</v>
      </c>
      <c r="BI146" s="714">
        <v>2.8</v>
      </c>
      <c r="BJ146" s="714">
        <v>3</v>
      </c>
      <c r="BK146" s="714">
        <v>3.2</v>
      </c>
      <c r="BL146" s="714">
        <v>3.3</v>
      </c>
      <c r="BM146" s="714">
        <v>3.3</v>
      </c>
      <c r="BN146" s="714">
        <v>3.5</v>
      </c>
      <c r="BO146" s="714">
        <v>1.8</v>
      </c>
      <c r="BP146" s="714">
        <v>1.9</v>
      </c>
      <c r="BQ146" s="714">
        <v>2.2</v>
      </c>
      <c r="BR146" s="714">
        <v>2.5</v>
      </c>
      <c r="BS146" s="714">
        <v>2.8</v>
      </c>
      <c r="BT146" s="714">
        <v>3.1</v>
      </c>
      <c r="BU146" s="714">
        <v>3.4</v>
      </c>
      <c r="BV146" s="714">
        <v>3.4</v>
      </c>
      <c r="BW146" s="714">
        <v>3.6</v>
      </c>
      <c r="BX146" s="714">
        <v>3.7</v>
      </c>
      <c r="BY146" s="714">
        <v>3.8</v>
      </c>
      <c r="BZ146" s="714">
        <v>1.9</v>
      </c>
      <c r="CA146" s="714">
        <v>2</v>
      </c>
      <c r="CB146" s="714">
        <v>2.3</v>
      </c>
      <c r="CC146" s="714">
        <v>2.6</v>
      </c>
      <c r="CD146" s="714">
        <v>2.9</v>
      </c>
      <c r="CE146" s="714">
        <v>3.2</v>
      </c>
      <c r="CF146" s="714">
        <v>3.4</v>
      </c>
      <c r="CG146" s="714">
        <v>3.5</v>
      </c>
      <c r="CH146" s="714">
        <v>3.6</v>
      </c>
      <c r="CI146" s="714">
        <v>3.8</v>
      </c>
      <c r="CJ146" s="714">
        <v>3.9</v>
      </c>
      <c r="CK146" s="714">
        <v>2</v>
      </c>
      <c r="CL146" s="715">
        <v>2.2</v>
      </c>
      <c r="CM146" s="715">
        <v>2.5</v>
      </c>
      <c r="CN146" s="715">
        <v>2.7</v>
      </c>
      <c r="CO146" s="715">
        <v>3</v>
      </c>
      <c r="CP146" s="715">
        <v>3.3</v>
      </c>
      <c r="CQ146" s="715">
        <v>3.5</v>
      </c>
      <c r="CR146" s="714">
        <v>3.6</v>
      </c>
      <c r="CS146" s="714">
        <v>3.7</v>
      </c>
      <c r="CT146" s="714">
        <v>3.9</v>
      </c>
      <c r="CU146" s="714">
        <v>4</v>
      </c>
      <c r="CV146" s="714">
        <v>2.1</v>
      </c>
      <c r="CW146" s="715">
        <v>2.3</v>
      </c>
      <c r="CX146" s="715">
        <v>2.6</v>
      </c>
      <c r="CY146" s="715">
        <v>2.9</v>
      </c>
      <c r="CZ146" s="715">
        <v>3.3</v>
      </c>
      <c r="DA146" s="715">
        <v>3.5</v>
      </c>
      <c r="DB146" s="715">
        <v>3.8</v>
      </c>
      <c r="DC146" s="714">
        <v>4</v>
      </c>
      <c r="DD146" s="714">
        <v>4.1</v>
      </c>
      <c r="DE146" s="714">
        <v>4.3</v>
      </c>
      <c r="DF146" s="714">
        <v>4.5</v>
      </c>
      <c r="DG146" s="714">
        <v>2.3</v>
      </c>
      <c r="DH146" s="715">
        <v>2.5</v>
      </c>
      <c r="DI146" s="715">
        <v>2.9</v>
      </c>
      <c r="DJ146" s="715">
        <v>3.3</v>
      </c>
      <c r="DK146" s="715">
        <v>3.6</v>
      </c>
      <c r="DL146" s="715">
        <v>4</v>
      </c>
      <c r="DM146" s="715">
        <v>4.3</v>
      </c>
      <c r="DN146" s="714">
        <v>4.5</v>
      </c>
      <c r="DO146" s="714">
        <v>4.7</v>
      </c>
      <c r="DP146" s="714">
        <v>4.9</v>
      </c>
      <c r="DQ146" s="714">
        <v>5.1</v>
      </c>
      <c r="DR146" s="714">
        <v>2.5</v>
      </c>
      <c r="DS146" s="715">
        <v>2.8</v>
      </c>
      <c r="DT146" s="715">
        <v>3.2</v>
      </c>
      <c r="DU146" s="715">
        <v>3.6</v>
      </c>
      <c r="DV146" s="715">
        <v>3.9</v>
      </c>
      <c r="DW146" s="715">
        <v>4.2</v>
      </c>
      <c r="DX146" s="715">
        <v>4.4</v>
      </c>
      <c r="DY146" s="714">
        <v>4.7</v>
      </c>
      <c r="DZ146" s="714">
        <v>4.9</v>
      </c>
      <c r="EA146" s="714">
        <v>5.2</v>
      </c>
      <c r="EB146" s="714">
        <v>5.4</v>
      </c>
      <c r="EC146" s="714">
        <v>2.6</v>
      </c>
      <c r="ED146" s="715">
        <v>2.9</v>
      </c>
      <c r="EE146" s="715">
        <v>3.4</v>
      </c>
      <c r="EF146" s="715">
        <v>3.7</v>
      </c>
      <c r="EG146" s="715">
        <v>4</v>
      </c>
      <c r="EH146" s="715">
        <v>4.3</v>
      </c>
      <c r="EI146" s="715">
        <v>4.5</v>
      </c>
      <c r="EJ146" s="714">
        <v>4.8</v>
      </c>
      <c r="EK146" s="714">
        <v>5</v>
      </c>
      <c r="EL146" s="714">
        <v>5.3</v>
      </c>
      <c r="EM146" s="714">
        <v>5.5</v>
      </c>
      <c r="EN146" s="714">
        <v>3.2</v>
      </c>
      <c r="EO146" s="715">
        <v>3.6</v>
      </c>
      <c r="EP146" s="715">
        <v>4.1</v>
      </c>
      <c r="EQ146" s="715">
        <v>4.6</v>
      </c>
      <c r="ER146" s="715">
        <v>5.1</v>
      </c>
      <c r="ES146" s="715">
        <v>5.5</v>
      </c>
      <c r="ET146" s="715">
        <v>5.8</v>
      </c>
      <c r="EU146" s="714">
        <v>6</v>
      </c>
      <c r="EV146" s="714">
        <v>6.1</v>
      </c>
      <c r="EW146" s="714">
        <v>6.4</v>
      </c>
      <c r="EX146" s="714">
        <v>6.7</v>
      </c>
      <c r="EY146" s="714">
        <v>-1</v>
      </c>
      <c r="EZ146" s="715">
        <v>-0.3</v>
      </c>
      <c r="FA146" s="715">
        <v>0.3</v>
      </c>
      <c r="FB146" s="715">
        <v>0.8</v>
      </c>
      <c r="FC146" s="715">
        <v>1.4</v>
      </c>
      <c r="FD146" s="715">
        <v>1.9</v>
      </c>
      <c r="FE146" s="715">
        <v>2.2</v>
      </c>
      <c r="FF146" s="714">
        <v>2.5</v>
      </c>
      <c r="FG146" s="714">
        <v>2.7</v>
      </c>
      <c r="FH146" s="714">
        <v>3</v>
      </c>
      <c r="FI146" s="714">
        <v>3.2</v>
      </c>
      <c r="FJ146" s="723">
        <v>-2.08e-7</v>
      </c>
      <c r="FK146" s="723">
        <v>1.66e-8</v>
      </c>
      <c r="FL146" s="723">
        <v>-3.59e-11</v>
      </c>
      <c r="FM146" s="723">
        <v>6.54e-7</v>
      </c>
      <c r="FN146" s="723">
        <v>1.08e-9</v>
      </c>
      <c r="FO146" s="723">
        <v>0.191</v>
      </c>
      <c r="FP146" s="729">
        <v>1</v>
      </c>
      <c r="FQ146" s="729">
        <v>1</v>
      </c>
      <c r="FR146" s="729">
        <v>1</v>
      </c>
      <c r="FS146" s="729">
        <v>2</v>
      </c>
      <c r="FT146" s="729">
        <v>1</v>
      </c>
      <c r="FU146" s="729">
        <v>1</v>
      </c>
      <c r="FV146" s="681">
        <v>1</v>
      </c>
      <c r="FW146" s="729"/>
      <c r="FX146" s="729"/>
      <c r="FY146" s="729"/>
      <c r="FZ146" s="746">
        <v>719</v>
      </c>
      <c r="GA146" s="746">
        <v>746</v>
      </c>
      <c r="GB146" s="681">
        <v>689</v>
      </c>
      <c r="GC146" s="681">
        <v>706</v>
      </c>
      <c r="GD146" s="747">
        <v>0.88</v>
      </c>
      <c r="GE146" s="729"/>
      <c r="GF146" s="681">
        <v>68</v>
      </c>
      <c r="GG146" s="681">
        <v>84</v>
      </c>
      <c r="GH146" s="681">
        <v>62</v>
      </c>
      <c r="GI146" s="681">
        <v>62</v>
      </c>
      <c r="GJ146" s="681">
        <v>63</v>
      </c>
      <c r="GK146" s="681">
        <v>66</v>
      </c>
      <c r="GL146" s="681">
        <v>67</v>
      </c>
      <c r="GM146" s="681">
        <v>67</v>
      </c>
      <c r="GN146" s="681">
        <v>69</v>
      </c>
      <c r="GO146" s="681">
        <v>70</v>
      </c>
      <c r="GP146" s="681">
        <v>71</v>
      </c>
      <c r="GQ146" s="681">
        <v>72</v>
      </c>
      <c r="GR146" s="681">
        <v>72</v>
      </c>
      <c r="GS146" s="681">
        <v>72</v>
      </c>
      <c r="GT146" s="681">
        <v>73</v>
      </c>
      <c r="GU146" s="681">
        <v>75</v>
      </c>
      <c r="GV146" s="681">
        <v>76</v>
      </c>
      <c r="GW146" s="681">
        <v>76</v>
      </c>
      <c r="GX146" s="681">
        <v>77</v>
      </c>
      <c r="GY146" s="681">
        <v>77</v>
      </c>
      <c r="GZ146" s="681">
        <v>80</v>
      </c>
      <c r="HA146" s="681">
        <v>81</v>
      </c>
      <c r="HB146" s="681">
        <v>83</v>
      </c>
      <c r="HC146" s="681"/>
      <c r="HD146" s="750">
        <v>130</v>
      </c>
      <c r="HE146" s="681"/>
      <c r="HF146" s="681">
        <v>671</v>
      </c>
      <c r="HG146" s="681">
        <v>91</v>
      </c>
      <c r="HH146" s="714">
        <v>123.4</v>
      </c>
      <c r="HI146" s="714">
        <v>46.9</v>
      </c>
      <c r="HJ146" s="753">
        <v>0.316</v>
      </c>
      <c r="HK146" s="681">
        <v>116</v>
      </c>
      <c r="HL146" s="685">
        <v>0.9</v>
      </c>
      <c r="HM146" s="747">
        <v>4.84</v>
      </c>
      <c r="HN146" s="729" t="s">
        <v>1213</v>
      </c>
      <c r="HO146" s="729" t="s">
        <v>1214</v>
      </c>
      <c r="HP146" s="714">
        <v>-0.8</v>
      </c>
      <c r="HQ146" s="753">
        <v>0.9</v>
      </c>
      <c r="HR146" s="753">
        <v>0.973</v>
      </c>
      <c r="HS146" s="753">
        <v>0.988</v>
      </c>
      <c r="HT146" s="753">
        <v>0.996</v>
      </c>
      <c r="HU146" s="753">
        <v>0.998</v>
      </c>
      <c r="HV146" s="753">
        <v>0.999</v>
      </c>
      <c r="HW146" s="753">
        <v>0.999</v>
      </c>
      <c r="HX146" s="753">
        <v>0.999</v>
      </c>
      <c r="HY146" s="753">
        <v>0.999</v>
      </c>
      <c r="HZ146" s="753">
        <v>0.999</v>
      </c>
      <c r="IA146" s="753">
        <v>0.999</v>
      </c>
      <c r="IB146" s="753">
        <v>0.999</v>
      </c>
      <c r="IC146" s="753">
        <v>0.999</v>
      </c>
      <c r="ID146" s="753">
        <v>0.999</v>
      </c>
      <c r="IE146" s="753">
        <v>0.999</v>
      </c>
      <c r="IF146" s="753">
        <v>0.999</v>
      </c>
      <c r="IG146" s="753">
        <v>0.999</v>
      </c>
      <c r="IH146" s="753">
        <v>0.998</v>
      </c>
      <c r="II146" s="753">
        <v>0.996</v>
      </c>
      <c r="IJ146" s="753">
        <v>0.993</v>
      </c>
      <c r="IK146" s="753">
        <v>0.989</v>
      </c>
      <c r="IL146" s="753">
        <v>0.985</v>
      </c>
      <c r="IM146" s="753">
        <v>0.978</v>
      </c>
      <c r="IN146" s="753">
        <v>0.966</v>
      </c>
      <c r="IO146" s="753">
        <v>0.954</v>
      </c>
      <c r="IP146" s="753">
        <v>0.934</v>
      </c>
      <c r="IQ146" s="753">
        <v>0.902</v>
      </c>
      <c r="IR146" s="753">
        <v>0.853</v>
      </c>
      <c r="IS146" s="753">
        <v>0.773</v>
      </c>
      <c r="IT146" s="753">
        <v>0.645</v>
      </c>
      <c r="IU146" s="753">
        <v>0.427</v>
      </c>
      <c r="IV146" s="753">
        <v>0.164</v>
      </c>
      <c r="IW146" s="753"/>
      <c r="IX146" s="753"/>
      <c r="IY146" s="753"/>
      <c r="IZ146" s="753"/>
      <c r="JA146" s="754">
        <v>0.81</v>
      </c>
      <c r="JB146" s="754">
        <v>0.947</v>
      </c>
      <c r="JC146" s="754">
        <v>0.976</v>
      </c>
      <c r="JD146" s="754">
        <v>0.993</v>
      </c>
      <c r="JE146" s="754">
        <v>0.997</v>
      </c>
      <c r="JF146" s="754">
        <v>0.998</v>
      </c>
      <c r="JG146" s="754">
        <v>0.998</v>
      </c>
      <c r="JH146" s="754">
        <v>0.998</v>
      </c>
      <c r="JI146" s="754">
        <v>0.998</v>
      </c>
      <c r="JJ146" s="754">
        <v>0.998</v>
      </c>
      <c r="JK146" s="754">
        <v>0.998</v>
      </c>
      <c r="JL146" s="754">
        <v>0.998</v>
      </c>
      <c r="JM146" s="754">
        <v>0.998</v>
      </c>
      <c r="JN146" s="754">
        <v>0.998</v>
      </c>
      <c r="JO146" s="754">
        <v>0.998</v>
      </c>
      <c r="JP146" s="754">
        <v>0.998</v>
      </c>
      <c r="JQ146" s="754">
        <v>0.998</v>
      </c>
      <c r="JR146" s="754">
        <v>0.997</v>
      </c>
      <c r="JS146" s="754">
        <v>0.992</v>
      </c>
      <c r="JT146" s="754">
        <v>0.986</v>
      </c>
      <c r="JU146" s="754">
        <v>0.979</v>
      </c>
      <c r="JV146" s="754">
        <v>0.97</v>
      </c>
      <c r="JW146" s="754">
        <v>0.957</v>
      </c>
      <c r="JX146" s="754">
        <v>0.933</v>
      </c>
      <c r="JY146" s="754">
        <v>0.911</v>
      </c>
      <c r="JZ146" s="754">
        <v>0.873</v>
      </c>
      <c r="KA146" s="754">
        <v>0.814</v>
      </c>
      <c r="KB146" s="754">
        <v>0.727</v>
      </c>
      <c r="KC146" s="754">
        <v>0.598</v>
      </c>
      <c r="KD146" s="754">
        <v>0.416</v>
      </c>
      <c r="KE146" s="754">
        <v>0.182</v>
      </c>
      <c r="KF146" s="754">
        <v>0.027</v>
      </c>
      <c r="KG146" s="754"/>
      <c r="KH146" s="754"/>
      <c r="KI146" s="754"/>
      <c r="KJ146" s="754"/>
      <c r="KK146" s="765" t="s">
        <v>281</v>
      </c>
      <c r="KL146" s="738">
        <v>100</v>
      </c>
      <c r="KM146" s="738">
        <v>484</v>
      </c>
      <c r="KN146" s="646" t="s">
        <v>282</v>
      </c>
      <c r="KO146" s="646" t="s">
        <v>1212</v>
      </c>
      <c r="KP146" s="680">
        <v>871407</v>
      </c>
      <c r="KQ146" s="766"/>
      <c r="KR146" s="750"/>
      <c r="KS146" s="769"/>
      <c r="KT146" s="770"/>
      <c r="KU146" s="766" t="s">
        <v>1215</v>
      </c>
      <c r="KV146" s="750">
        <v>871407</v>
      </c>
      <c r="KW146" s="771"/>
      <c r="KX146" s="750"/>
      <c r="KY146" s="769"/>
      <c r="KZ146" s="770"/>
    </row>
    <row r="147" s="628" customFormat="1" customHeight="1" spans="1:312">
      <c r="A147" s="682" t="s">
        <v>374</v>
      </c>
      <c r="B147" s="683">
        <v>143</v>
      </c>
      <c r="C147" s="689" t="s">
        <v>1216</v>
      </c>
      <c r="D147" s="680">
        <v>874306</v>
      </c>
      <c r="E147" s="685">
        <v>30.55</v>
      </c>
      <c r="F147" s="685">
        <v>30.34</v>
      </c>
      <c r="G147" s="688">
        <v>0.02861</v>
      </c>
      <c r="H147" s="686">
        <v>0.029035</v>
      </c>
      <c r="I147" s="696">
        <v>1.82063</v>
      </c>
      <c r="J147" s="696">
        <v>1.82703</v>
      </c>
      <c r="K147" s="696">
        <v>1.83463</v>
      </c>
      <c r="L147" s="696">
        <v>1.84284</v>
      </c>
      <c r="M147" s="696">
        <v>1.84457</v>
      </c>
      <c r="N147" s="696">
        <v>1.84606</v>
      </c>
      <c r="O147" s="696">
        <v>1.85226</v>
      </c>
      <c r="P147" s="696">
        <v>1.85685</v>
      </c>
      <c r="Q147" s="697">
        <v>1.86126</v>
      </c>
      <c r="R147" s="697">
        <v>1.8658</v>
      </c>
      <c r="S147" s="697">
        <v>1.8671</v>
      </c>
      <c r="T147" s="701">
        <v>1.8683</v>
      </c>
      <c r="U147" s="697">
        <v>1.87384</v>
      </c>
      <c r="V147" s="697">
        <v>1.87408</v>
      </c>
      <c r="W147" s="697">
        <v>1.88085</v>
      </c>
      <c r="X147" s="697">
        <v>1.89441</v>
      </c>
      <c r="Y147" s="697">
        <v>1.89614</v>
      </c>
      <c r="Z147" s="697">
        <v>1.91161</v>
      </c>
      <c r="AA147" s="697">
        <v>1.92693</v>
      </c>
      <c r="AB147" s="697">
        <v>1.95549</v>
      </c>
      <c r="AC147" s="704">
        <v>3.37787954</v>
      </c>
      <c r="AD147" s="705">
        <v>-0.0131762604</v>
      </c>
      <c r="AE147" s="705">
        <v>0.0434183952</v>
      </c>
      <c r="AF147" s="705">
        <v>0.00140530101</v>
      </c>
      <c r="AG147" s="705">
        <v>2.38841484e-5</v>
      </c>
      <c r="AH147" s="705">
        <v>1.02947705e-5</v>
      </c>
      <c r="AI147" s="709">
        <v>0.2894</v>
      </c>
      <c r="AJ147" s="709">
        <v>0.2366</v>
      </c>
      <c r="AK147" s="709">
        <v>0.6012</v>
      </c>
      <c r="AL147" s="709">
        <v>0.2404</v>
      </c>
      <c r="AM147" s="709">
        <v>0.2332</v>
      </c>
      <c r="AN147" s="709">
        <v>0.5328</v>
      </c>
      <c r="AO147" s="709">
        <v>0.0006</v>
      </c>
      <c r="AP147" s="709">
        <v>0.0083</v>
      </c>
      <c r="AQ147" s="709">
        <v>0.0018</v>
      </c>
      <c r="AR147" s="709">
        <v>-0.0005</v>
      </c>
      <c r="AS147" s="714">
        <v>2.1</v>
      </c>
      <c r="AT147" s="714">
        <v>2.1</v>
      </c>
      <c r="AU147" s="714">
        <v>2.1</v>
      </c>
      <c r="AV147" s="714">
        <v>2.2</v>
      </c>
      <c r="AW147" s="714">
        <v>2.2</v>
      </c>
      <c r="AX147" s="714">
        <v>2.4</v>
      </c>
      <c r="AY147" s="714">
        <v>2.5</v>
      </c>
      <c r="AZ147" s="714">
        <v>2.6</v>
      </c>
      <c r="BA147" s="714">
        <v>2.7</v>
      </c>
      <c r="BB147" s="714">
        <v>2.9</v>
      </c>
      <c r="BC147" s="714">
        <v>3</v>
      </c>
      <c r="BD147" s="714">
        <v>2.6</v>
      </c>
      <c r="BE147" s="714">
        <v>2.6</v>
      </c>
      <c r="BF147" s="714">
        <v>2.6</v>
      </c>
      <c r="BG147" s="714">
        <v>2.7</v>
      </c>
      <c r="BH147" s="714">
        <v>2.8</v>
      </c>
      <c r="BI147" s="714">
        <v>3</v>
      </c>
      <c r="BJ147" s="714">
        <v>3.1</v>
      </c>
      <c r="BK147" s="714">
        <v>3.2</v>
      </c>
      <c r="BL147" s="714">
        <v>3.4</v>
      </c>
      <c r="BM147" s="714">
        <v>3.6</v>
      </c>
      <c r="BN147" s="714">
        <v>3.7</v>
      </c>
      <c r="BO147" s="714">
        <v>2.9</v>
      </c>
      <c r="BP147" s="714">
        <v>3</v>
      </c>
      <c r="BQ147" s="714">
        <v>3</v>
      </c>
      <c r="BR147" s="714">
        <v>3.1</v>
      </c>
      <c r="BS147" s="714">
        <v>3.1</v>
      </c>
      <c r="BT147" s="714">
        <v>3.3</v>
      </c>
      <c r="BU147" s="714">
        <v>3.5</v>
      </c>
      <c r="BV147" s="714">
        <v>3.7</v>
      </c>
      <c r="BW147" s="714">
        <v>4</v>
      </c>
      <c r="BX147" s="714">
        <v>4.2</v>
      </c>
      <c r="BY147" s="714">
        <v>4.3</v>
      </c>
      <c r="BZ147" s="714">
        <v>3</v>
      </c>
      <c r="CA147" s="714">
        <v>3.1</v>
      </c>
      <c r="CB147" s="714">
        <v>3.1</v>
      </c>
      <c r="CC147" s="714">
        <v>3.2</v>
      </c>
      <c r="CD147" s="714">
        <v>3.2</v>
      </c>
      <c r="CE147" s="714">
        <v>3.4</v>
      </c>
      <c r="CF147" s="714">
        <v>3.6</v>
      </c>
      <c r="CG147" s="714">
        <v>3.8</v>
      </c>
      <c r="CH147" s="714">
        <v>4</v>
      </c>
      <c r="CI147" s="714">
        <v>4.2</v>
      </c>
      <c r="CJ147" s="714">
        <v>4.4</v>
      </c>
      <c r="CK147" s="714">
        <v>3</v>
      </c>
      <c r="CL147" s="715">
        <v>3.1</v>
      </c>
      <c r="CM147" s="715">
        <v>3.2</v>
      </c>
      <c r="CN147" s="715">
        <v>3.2</v>
      </c>
      <c r="CO147" s="715">
        <v>3.3</v>
      </c>
      <c r="CP147" s="715">
        <v>3.5</v>
      </c>
      <c r="CQ147" s="715">
        <v>3.7</v>
      </c>
      <c r="CR147" s="714">
        <v>3.9</v>
      </c>
      <c r="CS147" s="714">
        <v>4.1</v>
      </c>
      <c r="CT147" s="714">
        <v>4.3</v>
      </c>
      <c r="CU147" s="714">
        <v>4.4</v>
      </c>
      <c r="CV147" s="714">
        <v>3.2</v>
      </c>
      <c r="CW147" s="715">
        <v>3.4</v>
      </c>
      <c r="CX147" s="715">
        <v>3.4</v>
      </c>
      <c r="CY147" s="715">
        <v>3.5</v>
      </c>
      <c r="CZ147" s="715">
        <v>3.8</v>
      </c>
      <c r="DA147" s="715">
        <v>4</v>
      </c>
      <c r="DB147" s="715">
        <v>4.3</v>
      </c>
      <c r="DC147" s="714">
        <v>4.5</v>
      </c>
      <c r="DD147" s="714">
        <v>4.6</v>
      </c>
      <c r="DE147" s="714">
        <v>4.9</v>
      </c>
      <c r="DF147" s="714">
        <v>5.1</v>
      </c>
      <c r="DG147" s="714">
        <v>3.8</v>
      </c>
      <c r="DH147" s="715">
        <v>3.8</v>
      </c>
      <c r="DI147" s="715">
        <v>3.9</v>
      </c>
      <c r="DJ147" s="715">
        <v>4.1</v>
      </c>
      <c r="DK147" s="715">
        <v>4.2</v>
      </c>
      <c r="DL147" s="715">
        <v>4.5</v>
      </c>
      <c r="DM147" s="715">
        <v>4.8</v>
      </c>
      <c r="DN147" s="714">
        <v>4.9</v>
      </c>
      <c r="DO147" s="714">
        <v>5.3</v>
      </c>
      <c r="DP147" s="714">
        <v>5.5</v>
      </c>
      <c r="DQ147" s="714">
        <v>5.7</v>
      </c>
      <c r="DR147" s="714">
        <v>4.9</v>
      </c>
      <c r="DS147" s="715">
        <v>5</v>
      </c>
      <c r="DT147" s="715">
        <v>5.1</v>
      </c>
      <c r="DU147" s="715">
        <v>5.3</v>
      </c>
      <c r="DV147" s="715">
        <v>5.5</v>
      </c>
      <c r="DW147" s="715">
        <v>5.8</v>
      </c>
      <c r="DX147" s="715">
        <v>6.1</v>
      </c>
      <c r="DY147" s="714">
        <v>6.3</v>
      </c>
      <c r="DZ147" s="714">
        <v>6.5</v>
      </c>
      <c r="EA147" s="714">
        <v>6.8</v>
      </c>
      <c r="EB147" s="714">
        <v>7</v>
      </c>
      <c r="EC147" s="714">
        <v>5</v>
      </c>
      <c r="ED147" s="715">
        <v>5.1</v>
      </c>
      <c r="EE147" s="715">
        <v>5.2</v>
      </c>
      <c r="EF147" s="715">
        <v>5.4</v>
      </c>
      <c r="EG147" s="715">
        <v>5.6</v>
      </c>
      <c r="EH147" s="715">
        <v>5.9</v>
      </c>
      <c r="EI147" s="715">
        <v>6.1</v>
      </c>
      <c r="EJ147" s="714">
        <v>6.3</v>
      </c>
      <c r="EK147" s="714">
        <v>6.5</v>
      </c>
      <c r="EL147" s="714">
        <v>6.8</v>
      </c>
      <c r="EM147" s="714">
        <v>7.1</v>
      </c>
      <c r="EN147" s="714">
        <v>5.9</v>
      </c>
      <c r="EO147" s="715">
        <v>6.1</v>
      </c>
      <c r="EP147" s="715">
        <v>6.4</v>
      </c>
      <c r="EQ147" s="715">
        <v>6.8</v>
      </c>
      <c r="ER147" s="715">
        <v>7</v>
      </c>
      <c r="ES147" s="715">
        <v>7.5</v>
      </c>
      <c r="ET147" s="715">
        <v>7.7</v>
      </c>
      <c r="EU147" s="714">
        <v>8</v>
      </c>
      <c r="EV147" s="714">
        <v>8.3</v>
      </c>
      <c r="EW147" s="714">
        <v>8.6</v>
      </c>
      <c r="EX147" s="714">
        <v>8.8</v>
      </c>
      <c r="EY147" s="714">
        <v>0</v>
      </c>
      <c r="EZ147" s="715">
        <v>0.6</v>
      </c>
      <c r="FA147" s="715">
        <v>1</v>
      </c>
      <c r="FB147" s="715">
        <v>1.3</v>
      </c>
      <c r="FC147" s="715">
        <v>1.7</v>
      </c>
      <c r="FD147" s="715">
        <v>2.1</v>
      </c>
      <c r="FE147" s="715">
        <v>2.4</v>
      </c>
      <c r="FF147" s="714">
        <v>2.8</v>
      </c>
      <c r="FG147" s="714">
        <v>3.1</v>
      </c>
      <c r="FH147" s="714">
        <v>3.4</v>
      </c>
      <c r="FI147" s="714">
        <v>3.6</v>
      </c>
      <c r="FJ147" s="723">
        <v>1.88e-8</v>
      </c>
      <c r="FK147" s="723">
        <v>1.25e-8</v>
      </c>
      <c r="FL147" s="723">
        <v>-1.43e-11</v>
      </c>
      <c r="FM147" s="723">
        <v>7.76e-7</v>
      </c>
      <c r="FN147" s="723">
        <v>7.48e-10</v>
      </c>
      <c r="FO147" s="723">
        <v>0.289</v>
      </c>
      <c r="FP147" s="729">
        <v>1</v>
      </c>
      <c r="FQ147" s="729">
        <v>1</v>
      </c>
      <c r="FR147" s="729">
        <v>1</v>
      </c>
      <c r="FS147" s="729">
        <v>3</v>
      </c>
      <c r="FT147" s="729">
        <v>1</v>
      </c>
      <c r="FU147" s="729">
        <v>2</v>
      </c>
      <c r="FV147" s="681"/>
      <c r="FW147" s="729"/>
      <c r="FX147" s="729"/>
      <c r="FY147" s="729"/>
      <c r="FZ147" s="746">
        <v>665</v>
      </c>
      <c r="GA147" s="746">
        <v>697</v>
      </c>
      <c r="GB147" s="681">
        <v>625</v>
      </c>
      <c r="GC147" s="681">
        <v>651</v>
      </c>
      <c r="GD147" s="747">
        <v>0.67</v>
      </c>
      <c r="GE147" s="729"/>
      <c r="GF147" s="681">
        <v>82</v>
      </c>
      <c r="GG147" s="681">
        <v>98</v>
      </c>
      <c r="GH147" s="681">
        <v>73</v>
      </c>
      <c r="GI147" s="681">
        <v>76</v>
      </c>
      <c r="GJ147" s="681">
        <v>78</v>
      </c>
      <c r="GK147" s="681">
        <v>80</v>
      </c>
      <c r="GL147" s="681">
        <v>81</v>
      </c>
      <c r="GM147" s="681">
        <v>82</v>
      </c>
      <c r="GN147" s="681">
        <v>83</v>
      </c>
      <c r="GO147" s="681">
        <v>84</v>
      </c>
      <c r="GP147" s="681">
        <v>85</v>
      </c>
      <c r="GQ147" s="681">
        <v>85</v>
      </c>
      <c r="GR147" s="681">
        <v>86</v>
      </c>
      <c r="GS147" s="681">
        <v>86</v>
      </c>
      <c r="GT147" s="681">
        <v>87</v>
      </c>
      <c r="GU147" s="681">
        <v>88</v>
      </c>
      <c r="GV147" s="681">
        <v>89</v>
      </c>
      <c r="GW147" s="681">
        <v>90</v>
      </c>
      <c r="GX147" s="681">
        <v>92</v>
      </c>
      <c r="GY147" s="681">
        <v>92</v>
      </c>
      <c r="GZ147" s="681">
        <v>93</v>
      </c>
      <c r="HA147" s="681">
        <v>94</v>
      </c>
      <c r="HB147" s="681">
        <v>95</v>
      </c>
      <c r="HC147" s="681"/>
      <c r="HD147" s="750">
        <v>180</v>
      </c>
      <c r="HE147" s="681"/>
      <c r="HF147" s="681">
        <v>545</v>
      </c>
      <c r="HG147" s="681">
        <v>136</v>
      </c>
      <c r="HH147" s="714">
        <v>124.8</v>
      </c>
      <c r="HI147" s="714">
        <v>47.6</v>
      </c>
      <c r="HJ147" s="753">
        <v>0.31</v>
      </c>
      <c r="HK147" s="681"/>
      <c r="HL147" s="685">
        <v>1.28</v>
      </c>
      <c r="HM147" s="747">
        <v>4.55</v>
      </c>
      <c r="HN147" s="729" t="s">
        <v>1217</v>
      </c>
      <c r="HO147" s="729" t="s">
        <v>1218</v>
      </c>
      <c r="HP147" s="714">
        <v>-0.7</v>
      </c>
      <c r="HQ147" s="753">
        <v>0.928</v>
      </c>
      <c r="HR147" s="753">
        <v>0.982</v>
      </c>
      <c r="HS147" s="753">
        <v>0.997</v>
      </c>
      <c r="HT147" s="753">
        <v>0.997</v>
      </c>
      <c r="HU147" s="753">
        <v>0.997</v>
      </c>
      <c r="HV147" s="753">
        <v>0.997</v>
      </c>
      <c r="HW147" s="753">
        <v>0.997</v>
      </c>
      <c r="HX147" s="753">
        <v>0.997</v>
      </c>
      <c r="HY147" s="753">
        <v>0.997</v>
      </c>
      <c r="HZ147" s="753">
        <v>0.997</v>
      </c>
      <c r="IA147" s="753">
        <v>0.997</v>
      </c>
      <c r="IB147" s="753">
        <v>0.997</v>
      </c>
      <c r="IC147" s="753">
        <v>0.997</v>
      </c>
      <c r="ID147" s="753">
        <v>0.997</v>
      </c>
      <c r="IE147" s="753">
        <v>0.997</v>
      </c>
      <c r="IF147" s="753">
        <v>0.997</v>
      </c>
      <c r="IG147" s="753">
        <v>0.995</v>
      </c>
      <c r="IH147" s="753">
        <v>0.993</v>
      </c>
      <c r="II147" s="753">
        <v>0.985</v>
      </c>
      <c r="IJ147" s="753">
        <v>0.979</v>
      </c>
      <c r="IK147" s="753">
        <v>0.973</v>
      </c>
      <c r="IL147" s="753">
        <v>0.964</v>
      </c>
      <c r="IM147" s="753">
        <v>0.944</v>
      </c>
      <c r="IN147" s="753">
        <v>0.896</v>
      </c>
      <c r="IO147" s="753">
        <v>0.846</v>
      </c>
      <c r="IP147" s="753">
        <v>0.75</v>
      </c>
      <c r="IQ147" s="753">
        <v>0.555</v>
      </c>
      <c r="IR147" s="753">
        <v>0.213</v>
      </c>
      <c r="IS147" s="753"/>
      <c r="IT147" s="753"/>
      <c r="IU147" s="753"/>
      <c r="IV147" s="753"/>
      <c r="IW147" s="753"/>
      <c r="IX147" s="753"/>
      <c r="IY147" s="753"/>
      <c r="IZ147" s="753"/>
      <c r="JA147" s="754">
        <v>0.861</v>
      </c>
      <c r="JB147" s="754">
        <v>0.964</v>
      </c>
      <c r="JC147" s="754">
        <v>0.994</v>
      </c>
      <c r="JD147" s="754">
        <v>0.994</v>
      </c>
      <c r="JE147" s="754">
        <v>0.994</v>
      </c>
      <c r="JF147" s="754">
        <v>0.994</v>
      </c>
      <c r="JG147" s="754">
        <v>0.994</v>
      </c>
      <c r="JH147" s="754">
        <v>0.994</v>
      </c>
      <c r="JI147" s="754">
        <v>0.994</v>
      </c>
      <c r="JJ147" s="754">
        <v>0.994</v>
      </c>
      <c r="JK147" s="754">
        <v>0.994</v>
      </c>
      <c r="JL147" s="754">
        <v>0.994</v>
      </c>
      <c r="JM147" s="754">
        <v>0.994</v>
      </c>
      <c r="JN147" s="754">
        <v>0.994</v>
      </c>
      <c r="JO147" s="754">
        <v>0.994</v>
      </c>
      <c r="JP147" s="754">
        <v>0.994</v>
      </c>
      <c r="JQ147" s="754">
        <v>0.99</v>
      </c>
      <c r="JR147" s="754">
        <v>0.985</v>
      </c>
      <c r="JS147" s="754">
        <v>0.967</v>
      </c>
      <c r="JT147" s="754">
        <v>0.956</v>
      </c>
      <c r="JU147" s="754">
        <v>0.943</v>
      </c>
      <c r="JV147" s="754">
        <v>0.926</v>
      </c>
      <c r="JW147" s="754">
        <v>0.892</v>
      </c>
      <c r="JX147" s="754">
        <v>0.805</v>
      </c>
      <c r="JY147" s="754">
        <v>0.718</v>
      </c>
      <c r="JZ147" s="754">
        <v>0.568</v>
      </c>
      <c r="KA147" s="754">
        <v>0.316</v>
      </c>
      <c r="KB147" s="754">
        <v>0.051</v>
      </c>
      <c r="KC147" s="754"/>
      <c r="KD147" s="754"/>
      <c r="KE147" s="754"/>
      <c r="KF147" s="754"/>
      <c r="KG147" s="754"/>
      <c r="KH147" s="754"/>
      <c r="KI147" s="754"/>
      <c r="KJ147" s="754"/>
      <c r="KK147" s="765" t="s">
        <v>281</v>
      </c>
      <c r="KL147" s="738">
        <v>100</v>
      </c>
      <c r="KM147" s="738">
        <v>455</v>
      </c>
      <c r="KN147" s="646" t="s">
        <v>303</v>
      </c>
      <c r="KO147" s="646" t="s">
        <v>1216</v>
      </c>
      <c r="KP147" s="680">
        <v>874306</v>
      </c>
      <c r="KQ147" s="766"/>
      <c r="KR147" s="750"/>
      <c r="KS147" s="769"/>
      <c r="KT147" s="770"/>
      <c r="KU147" s="766"/>
      <c r="KV147" s="750"/>
      <c r="KW147" s="771"/>
      <c r="KX147" s="750"/>
      <c r="KY147" s="769"/>
      <c r="KZ147" s="770"/>
    </row>
    <row r="148" s="628" customFormat="1" customHeight="1" spans="1:312">
      <c r="A148" s="682" t="s">
        <v>277</v>
      </c>
      <c r="B148" s="683">
        <v>144</v>
      </c>
      <c r="C148" s="689" t="s">
        <v>1219</v>
      </c>
      <c r="D148" s="680">
        <v>801350</v>
      </c>
      <c r="E148" s="685">
        <v>34.97</v>
      </c>
      <c r="F148" s="685">
        <v>34.72</v>
      </c>
      <c r="G148" s="688">
        <v>0.022907</v>
      </c>
      <c r="H148" s="686">
        <v>0.023227</v>
      </c>
      <c r="I148" s="696">
        <v>1.7544</v>
      </c>
      <c r="J148" s="696">
        <v>1.76062</v>
      </c>
      <c r="K148" s="696">
        <v>1.76782</v>
      </c>
      <c r="L148" s="696">
        <v>1.77518</v>
      </c>
      <c r="M148" s="696">
        <v>1.77667</v>
      </c>
      <c r="N148" s="696">
        <v>1.77795</v>
      </c>
      <c r="O148" s="696">
        <v>1.78317</v>
      </c>
      <c r="P148" s="696">
        <v>1.78697</v>
      </c>
      <c r="Q148" s="697">
        <v>1.79058</v>
      </c>
      <c r="R148" s="697">
        <v>1.79427</v>
      </c>
      <c r="S148" s="697">
        <v>1.79533</v>
      </c>
      <c r="T148" s="701">
        <v>1.79632</v>
      </c>
      <c r="U148" s="697">
        <v>1.80079</v>
      </c>
      <c r="V148" s="697">
        <v>1.801</v>
      </c>
      <c r="W148" s="697">
        <v>1.80642</v>
      </c>
      <c r="X148" s="697">
        <v>1.81718</v>
      </c>
      <c r="Y148" s="697">
        <v>1.81855</v>
      </c>
      <c r="Z148" s="697">
        <v>1.83064</v>
      </c>
      <c r="AA148" s="697">
        <v>1.84242</v>
      </c>
      <c r="AB148" s="697">
        <v>1.86397</v>
      </c>
      <c r="AC148" s="704">
        <v>3.14021962</v>
      </c>
      <c r="AD148" s="705">
        <v>-0.012681279</v>
      </c>
      <c r="AE148" s="705">
        <v>0.0337217299</v>
      </c>
      <c r="AF148" s="705">
        <v>0.00119133791</v>
      </c>
      <c r="AG148" s="705">
        <v>-2.0390936e-5</v>
      </c>
      <c r="AH148" s="705">
        <v>7.64423823e-6</v>
      </c>
      <c r="AI148" s="709">
        <v>0.2938</v>
      </c>
      <c r="AJ148" s="709">
        <v>0.2366</v>
      </c>
      <c r="AK148" s="709">
        <v>0.5876</v>
      </c>
      <c r="AL148" s="709">
        <v>0.2441</v>
      </c>
      <c r="AM148" s="709">
        <v>0.2333</v>
      </c>
      <c r="AN148" s="709">
        <v>0.5205</v>
      </c>
      <c r="AO148" s="709">
        <v>-0.0012</v>
      </c>
      <c r="AP148" s="709">
        <v>0.0021</v>
      </c>
      <c r="AQ148" s="709">
        <v>0.0029</v>
      </c>
      <c r="AR148" s="709">
        <v>0.0002</v>
      </c>
      <c r="AS148" s="714">
        <v>3.2</v>
      </c>
      <c r="AT148" s="714">
        <v>3.3</v>
      </c>
      <c r="AU148" s="714">
        <v>3.3</v>
      </c>
      <c r="AV148" s="714">
        <v>3.4</v>
      </c>
      <c r="AW148" s="714">
        <v>3.6</v>
      </c>
      <c r="AX148" s="714">
        <v>3.7</v>
      </c>
      <c r="AY148" s="714">
        <v>3.8</v>
      </c>
      <c r="AZ148" s="714">
        <v>3.8</v>
      </c>
      <c r="BA148" s="714">
        <v>4</v>
      </c>
      <c r="BB148" s="714">
        <v>4.1</v>
      </c>
      <c r="BC148" s="714">
        <v>4.3</v>
      </c>
      <c r="BD148" s="714">
        <v>3.8</v>
      </c>
      <c r="BE148" s="714">
        <v>3.9</v>
      </c>
      <c r="BF148" s="714">
        <v>3.8</v>
      </c>
      <c r="BG148" s="714">
        <v>4</v>
      </c>
      <c r="BH148" s="714">
        <v>4.1</v>
      </c>
      <c r="BI148" s="714">
        <v>4.3</v>
      </c>
      <c r="BJ148" s="714">
        <v>4.5</v>
      </c>
      <c r="BK148" s="714">
        <v>4.5</v>
      </c>
      <c r="BL148" s="714">
        <v>4.7</v>
      </c>
      <c r="BM148" s="714">
        <v>4.8</v>
      </c>
      <c r="BN148" s="714">
        <v>4.9</v>
      </c>
      <c r="BO148" s="714">
        <v>4.1</v>
      </c>
      <c r="BP148" s="714">
        <v>4.2</v>
      </c>
      <c r="BQ148" s="714">
        <v>4.3</v>
      </c>
      <c r="BR148" s="714">
        <v>4.4</v>
      </c>
      <c r="BS148" s="714">
        <v>4.6</v>
      </c>
      <c r="BT148" s="714">
        <v>4.8</v>
      </c>
      <c r="BU148" s="714">
        <v>4.8</v>
      </c>
      <c r="BV148" s="714">
        <v>4.9</v>
      </c>
      <c r="BW148" s="714">
        <v>5</v>
      </c>
      <c r="BX148" s="714">
        <v>5.2</v>
      </c>
      <c r="BY148" s="714">
        <v>5.4</v>
      </c>
      <c r="BZ148" s="714">
        <v>4.2</v>
      </c>
      <c r="CA148" s="714">
        <v>4.3</v>
      </c>
      <c r="CB148" s="714">
        <v>4.4</v>
      </c>
      <c r="CC148" s="714">
        <v>4.5</v>
      </c>
      <c r="CD148" s="714">
        <v>4.6</v>
      </c>
      <c r="CE148" s="714">
        <v>4.8</v>
      </c>
      <c r="CF148" s="714">
        <v>4.9</v>
      </c>
      <c r="CG148" s="714">
        <v>5</v>
      </c>
      <c r="CH148" s="714">
        <v>5.1</v>
      </c>
      <c r="CI148" s="714">
        <v>5.3</v>
      </c>
      <c r="CJ148" s="714">
        <v>5.5</v>
      </c>
      <c r="CK148" s="714">
        <v>4.3</v>
      </c>
      <c r="CL148" s="715">
        <v>4.3</v>
      </c>
      <c r="CM148" s="715">
        <v>4.4</v>
      </c>
      <c r="CN148" s="715">
        <v>4.6</v>
      </c>
      <c r="CO148" s="715">
        <v>4.7</v>
      </c>
      <c r="CP148" s="715">
        <v>4.8</v>
      </c>
      <c r="CQ148" s="715">
        <v>4.9</v>
      </c>
      <c r="CR148" s="714">
        <v>5.1</v>
      </c>
      <c r="CS148" s="714">
        <v>5.2</v>
      </c>
      <c r="CT148" s="714">
        <v>5.3</v>
      </c>
      <c r="CU148" s="714">
        <v>5.5</v>
      </c>
      <c r="CV148" s="714">
        <v>4.5</v>
      </c>
      <c r="CW148" s="715">
        <v>4.6</v>
      </c>
      <c r="CX148" s="715">
        <v>4.8</v>
      </c>
      <c r="CY148" s="715">
        <v>5</v>
      </c>
      <c r="CZ148" s="715">
        <v>5</v>
      </c>
      <c r="DA148" s="715">
        <v>5.3</v>
      </c>
      <c r="DB148" s="715">
        <v>5.4</v>
      </c>
      <c r="DC148" s="714">
        <v>5.5</v>
      </c>
      <c r="DD148" s="714">
        <v>5.6</v>
      </c>
      <c r="DE148" s="714">
        <v>5.8</v>
      </c>
      <c r="DF148" s="714">
        <v>6</v>
      </c>
      <c r="DG148" s="714">
        <v>4.8</v>
      </c>
      <c r="DH148" s="715">
        <v>5.1</v>
      </c>
      <c r="DI148" s="715">
        <v>5.4</v>
      </c>
      <c r="DJ148" s="715">
        <v>5.7</v>
      </c>
      <c r="DK148" s="715">
        <v>5.8</v>
      </c>
      <c r="DL148" s="715">
        <v>5.9</v>
      </c>
      <c r="DM148" s="715">
        <v>6.1</v>
      </c>
      <c r="DN148" s="714">
        <v>6.1</v>
      </c>
      <c r="DO148" s="714">
        <v>6.3</v>
      </c>
      <c r="DP148" s="714">
        <v>6.4</v>
      </c>
      <c r="DQ148" s="714">
        <v>6.6</v>
      </c>
      <c r="DR148" s="714">
        <v>5.5</v>
      </c>
      <c r="DS148" s="715">
        <v>5.7</v>
      </c>
      <c r="DT148" s="715">
        <v>5.9</v>
      </c>
      <c r="DU148" s="715">
        <v>6.1</v>
      </c>
      <c r="DV148" s="715">
        <v>6.3</v>
      </c>
      <c r="DW148" s="715">
        <v>6.4</v>
      </c>
      <c r="DX148" s="715">
        <v>6.6</v>
      </c>
      <c r="DY148" s="714">
        <v>6.8</v>
      </c>
      <c r="DZ148" s="714">
        <v>7.1</v>
      </c>
      <c r="EA148" s="714">
        <v>7.2</v>
      </c>
      <c r="EB148" s="714">
        <v>7.3</v>
      </c>
      <c r="EC148" s="714">
        <v>5.6</v>
      </c>
      <c r="ED148" s="715">
        <v>5.8</v>
      </c>
      <c r="EE148" s="715">
        <v>6</v>
      </c>
      <c r="EF148" s="715">
        <v>6.1</v>
      </c>
      <c r="EG148" s="715">
        <v>6.3</v>
      </c>
      <c r="EH148" s="715">
        <v>6.5</v>
      </c>
      <c r="EI148" s="715">
        <v>6.6</v>
      </c>
      <c r="EJ148" s="714">
        <v>6.9</v>
      </c>
      <c r="EK148" s="714">
        <v>7.1</v>
      </c>
      <c r="EL148" s="714">
        <v>7.2</v>
      </c>
      <c r="EM148" s="714">
        <v>7.4</v>
      </c>
      <c r="EN148" s="714">
        <v>6.5</v>
      </c>
      <c r="EO148" s="715">
        <v>6.9</v>
      </c>
      <c r="EP148" s="715">
        <v>7</v>
      </c>
      <c r="EQ148" s="715">
        <v>7.4</v>
      </c>
      <c r="ER148" s="715">
        <v>7.6</v>
      </c>
      <c r="ES148" s="715">
        <v>8</v>
      </c>
      <c r="ET148" s="715">
        <v>8.1</v>
      </c>
      <c r="EU148" s="714">
        <v>8.4</v>
      </c>
      <c r="EV148" s="714">
        <v>8.6</v>
      </c>
      <c r="EW148" s="714">
        <v>8.8</v>
      </c>
      <c r="EX148" s="714">
        <v>9</v>
      </c>
      <c r="EY148" s="714">
        <v>1.4</v>
      </c>
      <c r="EZ148" s="715">
        <v>1.9</v>
      </c>
      <c r="FA148" s="715">
        <v>2.3</v>
      </c>
      <c r="FB148" s="715">
        <v>2.8</v>
      </c>
      <c r="FC148" s="715">
        <v>3.1</v>
      </c>
      <c r="FD148" s="715">
        <v>3.4</v>
      </c>
      <c r="FE148" s="715">
        <v>3.7</v>
      </c>
      <c r="FF148" s="714">
        <v>4</v>
      </c>
      <c r="FG148" s="714">
        <v>4.2</v>
      </c>
      <c r="FH148" s="714">
        <v>4.4</v>
      </c>
      <c r="FI148" s="714">
        <v>4.7</v>
      </c>
      <c r="FJ148" s="723">
        <v>2.52e-6</v>
      </c>
      <c r="FK148" s="723">
        <v>1.35e-8</v>
      </c>
      <c r="FL148" s="723">
        <v>-2.56e-11</v>
      </c>
      <c r="FM148" s="723">
        <v>7.53e-7</v>
      </c>
      <c r="FN148" s="723">
        <v>7.09e-10</v>
      </c>
      <c r="FO148" s="723">
        <v>0.267</v>
      </c>
      <c r="FP148" s="729">
        <v>1</v>
      </c>
      <c r="FQ148" s="729">
        <v>1</v>
      </c>
      <c r="FR148" s="729">
        <v>1</v>
      </c>
      <c r="FS148" s="729">
        <v>2</v>
      </c>
      <c r="FT148" s="729">
        <v>1</v>
      </c>
      <c r="FU148" s="729">
        <v>1</v>
      </c>
      <c r="FV148" s="681">
        <v>1</v>
      </c>
      <c r="FW148" s="729"/>
      <c r="FX148" s="729"/>
      <c r="FY148" s="729"/>
      <c r="FZ148" s="746">
        <v>677</v>
      </c>
      <c r="GA148" s="746">
        <v>719</v>
      </c>
      <c r="GB148" s="681">
        <v>618</v>
      </c>
      <c r="GC148" s="681">
        <v>668</v>
      </c>
      <c r="GD148" s="747">
        <v>1.15</v>
      </c>
      <c r="GE148" s="729"/>
      <c r="GF148" s="681">
        <v>76</v>
      </c>
      <c r="GG148" s="681">
        <v>93</v>
      </c>
      <c r="GH148" s="681">
        <v>66</v>
      </c>
      <c r="GI148" s="681">
        <v>69</v>
      </c>
      <c r="GJ148" s="681">
        <v>71</v>
      </c>
      <c r="GK148" s="681">
        <v>72</v>
      </c>
      <c r="GL148" s="681">
        <v>74</v>
      </c>
      <c r="GM148" s="681">
        <v>74</v>
      </c>
      <c r="GN148" s="681">
        <v>75</v>
      </c>
      <c r="GO148" s="681">
        <v>76</v>
      </c>
      <c r="GP148" s="681">
        <v>77</v>
      </c>
      <c r="GQ148" s="681">
        <v>78</v>
      </c>
      <c r="GR148" s="681">
        <v>78</v>
      </c>
      <c r="GS148" s="681">
        <v>79</v>
      </c>
      <c r="GT148" s="681">
        <v>79</v>
      </c>
      <c r="GU148" s="681">
        <v>80</v>
      </c>
      <c r="GV148" s="681">
        <v>81</v>
      </c>
      <c r="GW148" s="681">
        <v>82</v>
      </c>
      <c r="GX148" s="681">
        <v>83</v>
      </c>
      <c r="GY148" s="681">
        <v>85</v>
      </c>
      <c r="GZ148" s="681">
        <v>86</v>
      </c>
      <c r="HA148" s="681">
        <v>87</v>
      </c>
      <c r="HB148" s="681">
        <v>88</v>
      </c>
      <c r="HC148" s="681"/>
      <c r="HD148" s="750">
        <v>160</v>
      </c>
      <c r="HE148" s="681"/>
      <c r="HF148" s="681">
        <v>640</v>
      </c>
      <c r="HG148" s="681">
        <v>128</v>
      </c>
      <c r="HH148" s="714">
        <v>111.6</v>
      </c>
      <c r="HI148" s="714">
        <v>42.1</v>
      </c>
      <c r="HJ148" s="753">
        <v>0.324</v>
      </c>
      <c r="HK148" s="681">
        <v>87</v>
      </c>
      <c r="HL148" s="685">
        <v>1.64</v>
      </c>
      <c r="HM148" s="747">
        <v>3.76</v>
      </c>
      <c r="HN148" s="729" t="s">
        <v>1220</v>
      </c>
      <c r="HO148" s="729" t="s">
        <v>1221</v>
      </c>
      <c r="HP148" s="714">
        <v>-1.3</v>
      </c>
      <c r="HQ148" s="753">
        <v>0.936</v>
      </c>
      <c r="HR148" s="753">
        <v>0.979</v>
      </c>
      <c r="HS148" s="753">
        <v>0.991</v>
      </c>
      <c r="HT148" s="753">
        <v>0.996</v>
      </c>
      <c r="HU148" s="753">
        <v>0.998</v>
      </c>
      <c r="HV148" s="753">
        <v>0.998</v>
      </c>
      <c r="HW148" s="753">
        <v>0.998</v>
      </c>
      <c r="HX148" s="753">
        <v>0.998</v>
      </c>
      <c r="HY148" s="753">
        <v>0.998</v>
      </c>
      <c r="HZ148" s="753">
        <v>0.998</v>
      </c>
      <c r="IA148" s="753">
        <v>0.998</v>
      </c>
      <c r="IB148" s="753">
        <v>0.998</v>
      </c>
      <c r="IC148" s="753">
        <v>0.998</v>
      </c>
      <c r="ID148" s="753">
        <v>0.998</v>
      </c>
      <c r="IE148" s="753">
        <v>0.998</v>
      </c>
      <c r="IF148" s="753">
        <v>0.998</v>
      </c>
      <c r="IG148" s="753">
        <v>0.998</v>
      </c>
      <c r="IH148" s="753">
        <v>0.997</v>
      </c>
      <c r="II148" s="753">
        <v>0.994</v>
      </c>
      <c r="IJ148" s="753">
        <v>0.991</v>
      </c>
      <c r="IK148" s="753">
        <v>0.987</v>
      </c>
      <c r="IL148" s="753">
        <v>0.982</v>
      </c>
      <c r="IM148" s="753">
        <v>0.97</v>
      </c>
      <c r="IN148" s="753">
        <v>0.946</v>
      </c>
      <c r="IO148" s="753">
        <v>0.92</v>
      </c>
      <c r="IP148" s="753">
        <v>0.866</v>
      </c>
      <c r="IQ148" s="753">
        <v>0.748</v>
      </c>
      <c r="IR148" s="753">
        <v>0.491</v>
      </c>
      <c r="IS148" s="753">
        <v>0.155</v>
      </c>
      <c r="IT148" s="753"/>
      <c r="IU148" s="753"/>
      <c r="IV148" s="753"/>
      <c r="IW148" s="753"/>
      <c r="IX148" s="753"/>
      <c r="IY148" s="753"/>
      <c r="IZ148" s="753"/>
      <c r="JA148" s="754">
        <v>0.876</v>
      </c>
      <c r="JB148" s="754">
        <v>0.958</v>
      </c>
      <c r="JC148" s="754">
        <v>0.983</v>
      </c>
      <c r="JD148" s="754">
        <v>0.992</v>
      </c>
      <c r="JE148" s="754">
        <v>0.996</v>
      </c>
      <c r="JF148" s="754">
        <v>0.996</v>
      </c>
      <c r="JG148" s="754">
        <v>0.996</v>
      </c>
      <c r="JH148" s="754">
        <v>0.996</v>
      </c>
      <c r="JI148" s="754">
        <v>0.996</v>
      </c>
      <c r="JJ148" s="754">
        <v>0.996</v>
      </c>
      <c r="JK148" s="754">
        <v>0.996</v>
      </c>
      <c r="JL148" s="754">
        <v>0.996</v>
      </c>
      <c r="JM148" s="754">
        <v>0.996</v>
      </c>
      <c r="JN148" s="754">
        <v>0.996</v>
      </c>
      <c r="JO148" s="754">
        <v>0.996</v>
      </c>
      <c r="JP148" s="754">
        <v>0.996</v>
      </c>
      <c r="JQ148" s="754">
        <v>0.996</v>
      </c>
      <c r="JR148" s="754">
        <v>0.994</v>
      </c>
      <c r="JS148" s="754">
        <v>0.989</v>
      </c>
      <c r="JT148" s="754">
        <v>0.983</v>
      </c>
      <c r="JU148" s="754">
        <v>0.975</v>
      </c>
      <c r="JV148" s="754">
        <v>0.963</v>
      </c>
      <c r="JW148" s="754">
        <v>0.942</v>
      </c>
      <c r="JX148" s="754">
        <v>0.895</v>
      </c>
      <c r="JY148" s="754">
        <v>0.845</v>
      </c>
      <c r="JZ148" s="754">
        <v>0.751</v>
      </c>
      <c r="KA148" s="754">
        <v>0.558</v>
      </c>
      <c r="KB148" s="754">
        <v>0.241</v>
      </c>
      <c r="KC148" s="754">
        <v>0.024</v>
      </c>
      <c r="KD148" s="754"/>
      <c r="KE148" s="754"/>
      <c r="KF148" s="754"/>
      <c r="KG148" s="754"/>
      <c r="KH148" s="754"/>
      <c r="KI148" s="754"/>
      <c r="KJ148" s="754"/>
      <c r="KK148" s="765" t="s">
        <v>281</v>
      </c>
      <c r="KL148" s="738">
        <v>45</v>
      </c>
      <c r="KM148" s="738">
        <v>169</v>
      </c>
      <c r="KN148" s="646" t="s">
        <v>282</v>
      </c>
      <c r="KO148" s="646" t="s">
        <v>1219</v>
      </c>
      <c r="KP148" s="680">
        <v>801350</v>
      </c>
      <c r="KQ148" s="766" t="s">
        <v>1222</v>
      </c>
      <c r="KR148" s="750" t="s">
        <v>1223</v>
      </c>
      <c r="KS148" s="769" t="s">
        <v>1224</v>
      </c>
      <c r="KT148" s="770" t="s">
        <v>1223</v>
      </c>
      <c r="KU148" s="766"/>
      <c r="KV148" s="750"/>
      <c r="KW148" s="771"/>
      <c r="KX148" s="750"/>
      <c r="KY148" s="769" t="s">
        <v>1225</v>
      </c>
      <c r="KZ148" s="770" t="s">
        <v>1223</v>
      </c>
    </row>
    <row r="149" s="628" customFormat="1" customHeight="1" spans="1:312">
      <c r="A149" s="682" t="s">
        <v>374</v>
      </c>
      <c r="B149" s="683">
        <v>145</v>
      </c>
      <c r="C149" s="689" t="s">
        <v>1226</v>
      </c>
      <c r="D149" s="680">
        <v>881401</v>
      </c>
      <c r="E149" s="685">
        <v>40.13</v>
      </c>
      <c r="F149" s="685">
        <v>39.9</v>
      </c>
      <c r="G149" s="688">
        <v>0.021952</v>
      </c>
      <c r="H149" s="686">
        <v>0.022209</v>
      </c>
      <c r="I149" s="696">
        <v>1.83527</v>
      </c>
      <c r="J149" s="696">
        <v>1.84141</v>
      </c>
      <c r="K149" s="696">
        <v>1.84851</v>
      </c>
      <c r="L149" s="696">
        <v>1.85576</v>
      </c>
      <c r="M149" s="696">
        <v>1.85723</v>
      </c>
      <c r="N149" s="696">
        <v>1.85849</v>
      </c>
      <c r="O149" s="696">
        <v>1.86362</v>
      </c>
      <c r="P149" s="696">
        <v>1.86735</v>
      </c>
      <c r="Q149" s="697">
        <v>1.87088</v>
      </c>
      <c r="R149" s="697">
        <v>1.8745</v>
      </c>
      <c r="S149" s="697">
        <v>1.87552</v>
      </c>
      <c r="T149" s="701">
        <v>1.87648</v>
      </c>
      <c r="U149" s="697">
        <v>1.88081</v>
      </c>
      <c r="V149" s="697">
        <v>1.881</v>
      </c>
      <c r="W149" s="697">
        <v>1.88622</v>
      </c>
      <c r="X149" s="697">
        <v>1.89645</v>
      </c>
      <c r="Y149" s="697">
        <v>1.89773</v>
      </c>
      <c r="Z149" s="697">
        <v>1.90896</v>
      </c>
      <c r="AA149" s="697">
        <v>1.91961</v>
      </c>
      <c r="AB149" s="697">
        <v>1.93853</v>
      </c>
      <c r="AC149" s="704">
        <v>3.43263393</v>
      </c>
      <c r="AD149" s="705">
        <v>-0.0131007856</v>
      </c>
      <c r="AE149" s="705">
        <v>0.0345483476</v>
      </c>
      <c r="AF149" s="705">
        <v>0.00134177704</v>
      </c>
      <c r="AG149" s="705">
        <v>-7.37786129e-5</v>
      </c>
      <c r="AH149" s="705">
        <v>7.34356017e-6</v>
      </c>
      <c r="AI149" s="709">
        <v>0.2961</v>
      </c>
      <c r="AJ149" s="709">
        <v>0.2378</v>
      </c>
      <c r="AK149" s="709">
        <v>0.5699</v>
      </c>
      <c r="AL149" s="709">
        <v>0.2467</v>
      </c>
      <c r="AM149" s="709">
        <v>0.235</v>
      </c>
      <c r="AN149" s="709">
        <v>0.5057</v>
      </c>
      <c r="AO149" s="709">
        <v>-0.002</v>
      </c>
      <c r="AP149" s="709">
        <v>-0.0071</v>
      </c>
      <c r="AQ149" s="709">
        <v>-0.0053</v>
      </c>
      <c r="AR149" s="709">
        <v>-0.0011</v>
      </c>
      <c r="AS149" s="714">
        <v>4.1</v>
      </c>
      <c r="AT149" s="714">
        <v>4.1</v>
      </c>
      <c r="AU149" s="714">
        <v>4</v>
      </c>
      <c r="AV149" s="714">
        <v>4</v>
      </c>
      <c r="AW149" s="714">
        <v>4</v>
      </c>
      <c r="AX149" s="714">
        <v>4.1</v>
      </c>
      <c r="AY149" s="714">
        <v>4.3</v>
      </c>
      <c r="AZ149" s="714">
        <v>4.4</v>
      </c>
      <c r="BA149" s="714">
        <v>4.5</v>
      </c>
      <c r="BB149" s="714">
        <v>4.5</v>
      </c>
      <c r="BC149" s="714">
        <v>4.7</v>
      </c>
      <c r="BD149" s="714">
        <v>4.7</v>
      </c>
      <c r="BE149" s="714">
        <v>4.7</v>
      </c>
      <c r="BF149" s="714">
        <v>4.7</v>
      </c>
      <c r="BG149" s="714">
        <v>4.7</v>
      </c>
      <c r="BH149" s="714">
        <v>4.8</v>
      </c>
      <c r="BI149" s="714">
        <v>4.9</v>
      </c>
      <c r="BJ149" s="714">
        <v>5</v>
      </c>
      <c r="BK149" s="714">
        <v>5.1</v>
      </c>
      <c r="BL149" s="714">
        <v>5.2</v>
      </c>
      <c r="BM149" s="714">
        <v>5.3</v>
      </c>
      <c r="BN149" s="714">
        <v>5.4</v>
      </c>
      <c r="BO149" s="714">
        <v>5</v>
      </c>
      <c r="BP149" s="714">
        <v>5</v>
      </c>
      <c r="BQ149" s="714">
        <v>5.1</v>
      </c>
      <c r="BR149" s="714">
        <v>5.1</v>
      </c>
      <c r="BS149" s="714">
        <v>5.1</v>
      </c>
      <c r="BT149" s="714">
        <v>5.2</v>
      </c>
      <c r="BU149" s="714">
        <v>5.4</v>
      </c>
      <c r="BV149" s="714">
        <v>5.5</v>
      </c>
      <c r="BW149" s="714">
        <v>5.6</v>
      </c>
      <c r="BX149" s="714">
        <v>5.7</v>
      </c>
      <c r="BY149" s="714">
        <v>5.8</v>
      </c>
      <c r="BZ149" s="714">
        <v>5.1</v>
      </c>
      <c r="CA149" s="714">
        <v>5.1</v>
      </c>
      <c r="CB149" s="714">
        <v>5.1</v>
      </c>
      <c r="CC149" s="714">
        <v>5.1</v>
      </c>
      <c r="CD149" s="714">
        <v>5.2</v>
      </c>
      <c r="CE149" s="714">
        <v>5.3</v>
      </c>
      <c r="CF149" s="714">
        <v>5.4</v>
      </c>
      <c r="CG149" s="714">
        <v>5.5</v>
      </c>
      <c r="CH149" s="714">
        <v>5.7</v>
      </c>
      <c r="CI149" s="714">
        <v>5.8</v>
      </c>
      <c r="CJ149" s="714">
        <v>5.9</v>
      </c>
      <c r="CK149" s="714">
        <v>5.2</v>
      </c>
      <c r="CL149" s="715">
        <v>5.2</v>
      </c>
      <c r="CM149" s="715">
        <v>5.2</v>
      </c>
      <c r="CN149" s="715">
        <v>5.2</v>
      </c>
      <c r="CO149" s="715">
        <v>5.2</v>
      </c>
      <c r="CP149" s="715">
        <v>5.3</v>
      </c>
      <c r="CQ149" s="715">
        <v>5.5</v>
      </c>
      <c r="CR149" s="714">
        <v>5.6</v>
      </c>
      <c r="CS149" s="714">
        <v>5.8</v>
      </c>
      <c r="CT149" s="714">
        <v>5.9</v>
      </c>
      <c r="CU149" s="714">
        <v>6</v>
      </c>
      <c r="CV149" s="714">
        <v>5.4</v>
      </c>
      <c r="CW149" s="715">
        <v>5.5</v>
      </c>
      <c r="CX149" s="715">
        <v>5.5</v>
      </c>
      <c r="CY149" s="715">
        <v>5.5</v>
      </c>
      <c r="CZ149" s="715">
        <v>5.6</v>
      </c>
      <c r="DA149" s="715">
        <v>5.7</v>
      </c>
      <c r="DB149" s="715">
        <v>5.8</v>
      </c>
      <c r="DC149" s="714">
        <v>6</v>
      </c>
      <c r="DD149" s="714">
        <v>6.2</v>
      </c>
      <c r="DE149" s="714">
        <v>6.2</v>
      </c>
      <c r="DF149" s="714">
        <v>6.4</v>
      </c>
      <c r="DG149" s="714">
        <v>5.7</v>
      </c>
      <c r="DH149" s="715">
        <v>5.8</v>
      </c>
      <c r="DI149" s="715">
        <v>5.8</v>
      </c>
      <c r="DJ149" s="715">
        <v>5.9</v>
      </c>
      <c r="DK149" s="715">
        <v>5.8</v>
      </c>
      <c r="DL149" s="715">
        <v>6</v>
      </c>
      <c r="DM149" s="715">
        <v>6.2</v>
      </c>
      <c r="DN149" s="714">
        <v>6.2</v>
      </c>
      <c r="DO149" s="714">
        <v>6.5</v>
      </c>
      <c r="DP149" s="714">
        <v>6.6</v>
      </c>
      <c r="DQ149" s="714">
        <v>6.7</v>
      </c>
      <c r="DR149" s="714">
        <v>6.5</v>
      </c>
      <c r="DS149" s="715">
        <v>6.6</v>
      </c>
      <c r="DT149" s="715">
        <v>6.7</v>
      </c>
      <c r="DU149" s="715">
        <v>6.8</v>
      </c>
      <c r="DV149" s="715">
        <v>6.9</v>
      </c>
      <c r="DW149" s="715">
        <v>7</v>
      </c>
      <c r="DX149" s="715">
        <v>7.1</v>
      </c>
      <c r="DY149" s="714">
        <v>7.3</v>
      </c>
      <c r="DZ149" s="714">
        <v>7.3</v>
      </c>
      <c r="EA149" s="714">
        <v>7.4</v>
      </c>
      <c r="EB149" s="714">
        <v>7.6</v>
      </c>
      <c r="EC149" s="714">
        <v>6.6</v>
      </c>
      <c r="ED149" s="715">
        <v>6.7</v>
      </c>
      <c r="EE149" s="715">
        <v>6.8</v>
      </c>
      <c r="EF149" s="715">
        <v>6.9</v>
      </c>
      <c r="EG149" s="715">
        <v>6.9</v>
      </c>
      <c r="EH149" s="715">
        <v>7</v>
      </c>
      <c r="EI149" s="715">
        <v>7.1</v>
      </c>
      <c r="EJ149" s="714">
        <v>7.3</v>
      </c>
      <c r="EK149" s="714">
        <v>7.4</v>
      </c>
      <c r="EL149" s="714">
        <v>7.5</v>
      </c>
      <c r="EM149" s="714">
        <v>7.7</v>
      </c>
      <c r="EN149" s="714">
        <v>7.5</v>
      </c>
      <c r="EO149" s="715">
        <v>7.6</v>
      </c>
      <c r="EP149" s="715">
        <v>7.7</v>
      </c>
      <c r="EQ149" s="715">
        <v>7.7</v>
      </c>
      <c r="ER149" s="715">
        <v>7.9</v>
      </c>
      <c r="ES149" s="715">
        <v>8</v>
      </c>
      <c r="ET149" s="715">
        <v>8.3</v>
      </c>
      <c r="EU149" s="714">
        <v>8.4</v>
      </c>
      <c r="EV149" s="714">
        <v>8.6</v>
      </c>
      <c r="EW149" s="714">
        <v>8.7</v>
      </c>
      <c r="EX149" s="714">
        <v>8.9</v>
      </c>
      <c r="EY149" s="714">
        <v>2.2</v>
      </c>
      <c r="EZ149" s="715">
        <v>2.7</v>
      </c>
      <c r="FA149" s="715">
        <v>3</v>
      </c>
      <c r="FB149" s="715">
        <v>3.3</v>
      </c>
      <c r="FC149" s="715">
        <v>3.6</v>
      </c>
      <c r="FD149" s="715">
        <v>3.9</v>
      </c>
      <c r="FE149" s="715">
        <v>4.2</v>
      </c>
      <c r="FF149" s="714">
        <v>4.5</v>
      </c>
      <c r="FG149" s="714">
        <v>4.8</v>
      </c>
      <c r="FH149" s="714">
        <v>5</v>
      </c>
      <c r="FI149" s="714">
        <v>5.2</v>
      </c>
      <c r="FJ149" s="723">
        <v>3.08e-6</v>
      </c>
      <c r="FK149" s="723">
        <v>1.15e-8</v>
      </c>
      <c r="FL149" s="723">
        <v>-1.54e-11</v>
      </c>
      <c r="FM149" s="723">
        <v>7.31e-7</v>
      </c>
      <c r="FN149" s="723">
        <v>3.03e-10</v>
      </c>
      <c r="FO149" s="723">
        <v>0.244</v>
      </c>
      <c r="FP149" s="729">
        <v>1</v>
      </c>
      <c r="FQ149" s="729">
        <v>2</v>
      </c>
      <c r="FR149" s="729">
        <v>1</v>
      </c>
      <c r="FS149" s="729">
        <v>2</v>
      </c>
      <c r="FT149" s="729">
        <v>1</v>
      </c>
      <c r="FU149" s="729">
        <v>1</v>
      </c>
      <c r="FV149" s="681">
        <v>1</v>
      </c>
      <c r="FW149" s="729"/>
      <c r="FX149" s="729"/>
      <c r="FY149" s="729"/>
      <c r="FZ149" s="746">
        <v>715</v>
      </c>
      <c r="GA149" s="746">
        <v>754</v>
      </c>
      <c r="GB149" s="681">
        <v>647</v>
      </c>
      <c r="GC149" s="681">
        <v>677</v>
      </c>
      <c r="GD149" s="747">
        <v>0.84</v>
      </c>
      <c r="GE149" s="729"/>
      <c r="GF149" s="681">
        <v>71</v>
      </c>
      <c r="GG149" s="681">
        <v>86</v>
      </c>
      <c r="GH149" s="681">
        <v>64</v>
      </c>
      <c r="GI149" s="681">
        <v>66</v>
      </c>
      <c r="GJ149" s="681">
        <v>68</v>
      </c>
      <c r="GK149" s="681">
        <v>69</v>
      </c>
      <c r="GL149" s="681">
        <v>70</v>
      </c>
      <c r="GM149" s="681">
        <v>71</v>
      </c>
      <c r="GN149" s="681">
        <v>73</v>
      </c>
      <c r="GO149" s="681">
        <v>74</v>
      </c>
      <c r="GP149" s="681">
        <v>74</v>
      </c>
      <c r="GQ149" s="681">
        <v>75</v>
      </c>
      <c r="GR149" s="681">
        <v>75</v>
      </c>
      <c r="GS149" s="681">
        <v>76</v>
      </c>
      <c r="GT149" s="681">
        <v>76</v>
      </c>
      <c r="GU149" s="681">
        <v>77</v>
      </c>
      <c r="GV149" s="681">
        <v>78</v>
      </c>
      <c r="GW149" s="681">
        <v>79</v>
      </c>
      <c r="GX149" s="681">
        <v>80</v>
      </c>
      <c r="GY149" s="681">
        <v>81</v>
      </c>
      <c r="GZ149" s="681">
        <v>82</v>
      </c>
      <c r="HA149" s="681">
        <v>84</v>
      </c>
      <c r="HB149" s="681">
        <v>85</v>
      </c>
      <c r="HC149" s="681"/>
      <c r="HD149" s="750">
        <v>105</v>
      </c>
      <c r="HE149" s="681"/>
      <c r="HF149" s="681">
        <v>710</v>
      </c>
      <c r="HG149" s="681">
        <v>71</v>
      </c>
      <c r="HH149" s="714">
        <v>122</v>
      </c>
      <c r="HI149" s="714">
        <v>46.9</v>
      </c>
      <c r="HJ149" s="753">
        <v>0.3</v>
      </c>
      <c r="HK149" s="681">
        <v>92</v>
      </c>
      <c r="HL149" s="685">
        <v>1.09</v>
      </c>
      <c r="HM149" s="747">
        <v>5.2</v>
      </c>
      <c r="HN149" s="729" t="s">
        <v>1227</v>
      </c>
      <c r="HO149" s="729" t="s">
        <v>1228</v>
      </c>
      <c r="HP149" s="714">
        <v>-0.5</v>
      </c>
      <c r="HQ149" s="753">
        <v>0.945</v>
      </c>
      <c r="HR149" s="753">
        <v>0.98</v>
      </c>
      <c r="HS149" s="753">
        <v>0.994</v>
      </c>
      <c r="HT149" s="753">
        <v>0.999</v>
      </c>
      <c r="HU149" s="753">
        <v>0.999</v>
      </c>
      <c r="HV149" s="753">
        <v>0.999</v>
      </c>
      <c r="HW149" s="753">
        <v>0.999</v>
      </c>
      <c r="HX149" s="753">
        <v>0.999</v>
      </c>
      <c r="HY149" s="753">
        <v>0.999</v>
      </c>
      <c r="HZ149" s="753">
        <v>0.999</v>
      </c>
      <c r="IA149" s="753">
        <v>0.999</v>
      </c>
      <c r="IB149" s="753">
        <v>0.999</v>
      </c>
      <c r="IC149" s="753">
        <v>0.999</v>
      </c>
      <c r="ID149" s="753">
        <v>0.999</v>
      </c>
      <c r="IE149" s="753">
        <v>0.999</v>
      </c>
      <c r="IF149" s="753">
        <v>0.999</v>
      </c>
      <c r="IG149" s="753">
        <v>0.999</v>
      </c>
      <c r="IH149" s="753">
        <v>0.999</v>
      </c>
      <c r="II149" s="753">
        <v>0.994</v>
      </c>
      <c r="IJ149" s="753">
        <v>0.99</v>
      </c>
      <c r="IK149" s="753">
        <v>0.985</v>
      </c>
      <c r="IL149" s="753">
        <v>0.977</v>
      </c>
      <c r="IM149" s="753">
        <v>0.97</v>
      </c>
      <c r="IN149" s="753">
        <v>0.95</v>
      </c>
      <c r="IO149" s="753">
        <v>0.928</v>
      </c>
      <c r="IP149" s="753">
        <v>0.891</v>
      </c>
      <c r="IQ149" s="753">
        <v>0.839</v>
      </c>
      <c r="IR149" s="753">
        <v>0.753</v>
      </c>
      <c r="IS149" s="753">
        <v>0.604</v>
      </c>
      <c r="IT149" s="753">
        <v>0.361</v>
      </c>
      <c r="IU149" s="753">
        <v>0.102</v>
      </c>
      <c r="IV149" s="753"/>
      <c r="IW149" s="753"/>
      <c r="IX149" s="753"/>
      <c r="IY149" s="753"/>
      <c r="IZ149" s="753"/>
      <c r="JA149" s="754">
        <v>0.893</v>
      </c>
      <c r="JB149" s="754">
        <v>0.972</v>
      </c>
      <c r="JC149" s="754">
        <v>0.989</v>
      </c>
      <c r="JD149" s="754">
        <v>0.998</v>
      </c>
      <c r="JE149" s="754">
        <v>0.998</v>
      </c>
      <c r="JF149" s="754">
        <v>0.998</v>
      </c>
      <c r="JG149" s="754">
        <v>0.998</v>
      </c>
      <c r="JH149" s="754">
        <v>0.998</v>
      </c>
      <c r="JI149" s="754">
        <v>0.998</v>
      </c>
      <c r="JJ149" s="754">
        <v>0.998</v>
      </c>
      <c r="JK149" s="754">
        <v>0.998</v>
      </c>
      <c r="JL149" s="754">
        <v>0.998</v>
      </c>
      <c r="JM149" s="754">
        <v>0.998</v>
      </c>
      <c r="JN149" s="754">
        <v>0.998</v>
      </c>
      <c r="JO149" s="754">
        <v>0.998</v>
      </c>
      <c r="JP149" s="754">
        <v>0.998</v>
      </c>
      <c r="JQ149" s="754">
        <v>0.998</v>
      </c>
      <c r="JR149" s="754">
        <v>0.998</v>
      </c>
      <c r="JS149" s="754">
        <v>0.989</v>
      </c>
      <c r="JT149" s="754">
        <v>0.981</v>
      </c>
      <c r="JU149" s="754">
        <v>0.969</v>
      </c>
      <c r="JV149" s="754">
        <v>0.956</v>
      </c>
      <c r="JW149" s="754">
        <v>0.94</v>
      </c>
      <c r="JX149" s="754">
        <v>0.903</v>
      </c>
      <c r="JY149" s="754">
        <v>0.862</v>
      </c>
      <c r="JZ149" s="754">
        <v>0.794</v>
      </c>
      <c r="KA149" s="754">
        <v>0.704</v>
      </c>
      <c r="KB149" s="754">
        <v>0.567</v>
      </c>
      <c r="KC149" s="754">
        <v>0.364</v>
      </c>
      <c r="KD149" s="754">
        <v>0.13</v>
      </c>
      <c r="KE149" s="754">
        <v>0.01</v>
      </c>
      <c r="KF149" s="754"/>
      <c r="KG149" s="754"/>
      <c r="KH149" s="754"/>
      <c r="KI149" s="754"/>
      <c r="KJ149" s="754"/>
      <c r="KK149" s="765" t="s">
        <v>281</v>
      </c>
      <c r="KL149" s="738">
        <v>347</v>
      </c>
      <c r="KM149" s="738">
        <v>1804</v>
      </c>
      <c r="KN149" s="646" t="s">
        <v>339</v>
      </c>
      <c r="KO149" s="646" t="s">
        <v>1226</v>
      </c>
      <c r="KP149" s="680">
        <v>881401</v>
      </c>
      <c r="KQ149" s="766" t="s">
        <v>1229</v>
      </c>
      <c r="KR149" s="750" t="s">
        <v>1230</v>
      </c>
      <c r="KS149" s="769" t="s">
        <v>1231</v>
      </c>
      <c r="KT149" s="770" t="s">
        <v>1232</v>
      </c>
      <c r="KU149" s="766" t="s">
        <v>1233</v>
      </c>
      <c r="KV149" s="750">
        <v>881401</v>
      </c>
      <c r="KW149" s="771" t="s">
        <v>1234</v>
      </c>
      <c r="KX149" s="750" t="s">
        <v>1230</v>
      </c>
      <c r="KY149" s="769" t="s">
        <v>1235</v>
      </c>
      <c r="KZ149" s="770" t="s">
        <v>1230</v>
      </c>
    </row>
    <row r="150" s="628" customFormat="1" customHeight="1" spans="1:312">
      <c r="A150" s="682" t="s">
        <v>277</v>
      </c>
      <c r="B150" s="683">
        <v>146</v>
      </c>
      <c r="C150" s="689" t="s">
        <v>1236</v>
      </c>
      <c r="D150" s="680">
        <v>883408</v>
      </c>
      <c r="E150" s="685">
        <v>40.79</v>
      </c>
      <c r="F150" s="685">
        <v>40.56</v>
      </c>
      <c r="G150" s="688">
        <v>0.021645</v>
      </c>
      <c r="H150" s="686">
        <v>0.021897</v>
      </c>
      <c r="I150" s="696">
        <v>1.83774</v>
      </c>
      <c r="J150" s="696">
        <v>1.84375</v>
      </c>
      <c r="K150" s="696">
        <v>1.85077</v>
      </c>
      <c r="L150" s="696">
        <v>1.85799</v>
      </c>
      <c r="M150" s="696">
        <v>1.85944</v>
      </c>
      <c r="N150" s="696">
        <v>1.86069</v>
      </c>
      <c r="O150" s="696">
        <v>1.86579</v>
      </c>
      <c r="P150" s="696">
        <v>1.8695</v>
      </c>
      <c r="Q150" s="697">
        <v>1.87299</v>
      </c>
      <c r="R150" s="697">
        <v>1.87657</v>
      </c>
      <c r="S150" s="697">
        <v>1.87758</v>
      </c>
      <c r="T150" s="701">
        <v>1.87853</v>
      </c>
      <c r="U150" s="697">
        <v>1.88281</v>
      </c>
      <c r="V150" s="697">
        <v>1.883</v>
      </c>
      <c r="W150" s="697">
        <v>1.88815</v>
      </c>
      <c r="X150" s="697">
        <v>1.89821</v>
      </c>
      <c r="Y150" s="697">
        <v>1.89948</v>
      </c>
      <c r="Z150" s="697">
        <v>1.91053</v>
      </c>
      <c r="AA150" s="697">
        <v>1.92097</v>
      </c>
      <c r="AB150" s="697">
        <v>1.93924</v>
      </c>
      <c r="AC150" s="704">
        <v>3.43996305</v>
      </c>
      <c r="AD150" s="705">
        <v>-0.0128171243</v>
      </c>
      <c r="AE150" s="705">
        <v>0.0356469712</v>
      </c>
      <c r="AF150" s="705">
        <v>0.000718879378</v>
      </c>
      <c r="AG150" s="705">
        <v>3.46401317e-5</v>
      </c>
      <c r="AH150" s="705">
        <v>-9.501018e-8</v>
      </c>
      <c r="AI150" s="709">
        <v>0.2971</v>
      </c>
      <c r="AJ150" s="709">
        <v>0.2379</v>
      </c>
      <c r="AK150" s="709">
        <v>0.5692</v>
      </c>
      <c r="AL150" s="709">
        <v>0.2475</v>
      </c>
      <c r="AM150" s="709">
        <v>0.2352</v>
      </c>
      <c r="AN150" s="709">
        <v>0.5046</v>
      </c>
      <c r="AO150" s="709">
        <v>-0.0029</v>
      </c>
      <c r="AP150" s="709">
        <v>-0.0067</v>
      </c>
      <c r="AQ150" s="709">
        <v>-0.0041</v>
      </c>
      <c r="AR150" s="709">
        <v>-0.0003</v>
      </c>
      <c r="AS150" s="714">
        <v>4.7</v>
      </c>
      <c r="AT150" s="714">
        <v>4.7</v>
      </c>
      <c r="AU150" s="714">
        <v>4.7</v>
      </c>
      <c r="AV150" s="714">
        <v>4.7</v>
      </c>
      <c r="AW150" s="714">
        <v>4.7</v>
      </c>
      <c r="AX150" s="714">
        <v>4.8</v>
      </c>
      <c r="AY150" s="714">
        <v>4.9</v>
      </c>
      <c r="AZ150" s="714">
        <v>4.9</v>
      </c>
      <c r="BA150" s="714">
        <v>5</v>
      </c>
      <c r="BB150" s="714">
        <v>5.1</v>
      </c>
      <c r="BC150" s="714">
        <v>5.3</v>
      </c>
      <c r="BD150" s="714">
        <v>5.2</v>
      </c>
      <c r="BE150" s="714">
        <v>5.2</v>
      </c>
      <c r="BF150" s="714">
        <v>5.2</v>
      </c>
      <c r="BG150" s="714">
        <v>5.2</v>
      </c>
      <c r="BH150" s="714">
        <v>5.2</v>
      </c>
      <c r="BI150" s="714">
        <v>5.3</v>
      </c>
      <c r="BJ150" s="714">
        <v>5.6</v>
      </c>
      <c r="BK150" s="714">
        <v>5.9</v>
      </c>
      <c r="BL150" s="714">
        <v>6.1</v>
      </c>
      <c r="BM150" s="714">
        <v>6.3</v>
      </c>
      <c r="BN150" s="714">
        <v>6.5</v>
      </c>
      <c r="BO150" s="714">
        <v>5.5</v>
      </c>
      <c r="BP150" s="714">
        <v>5.5</v>
      </c>
      <c r="BQ150" s="714">
        <v>5.5</v>
      </c>
      <c r="BR150" s="714">
        <v>5.5</v>
      </c>
      <c r="BS150" s="714">
        <v>5.5</v>
      </c>
      <c r="BT150" s="714">
        <v>5.6</v>
      </c>
      <c r="BU150" s="714">
        <v>5.8</v>
      </c>
      <c r="BV150" s="714">
        <v>6</v>
      </c>
      <c r="BW150" s="714">
        <v>6.3</v>
      </c>
      <c r="BX150" s="714">
        <v>6.5</v>
      </c>
      <c r="BY150" s="714">
        <v>6.7</v>
      </c>
      <c r="BZ150" s="714">
        <v>5.6</v>
      </c>
      <c r="CA150" s="714">
        <v>5.6</v>
      </c>
      <c r="CB150" s="714">
        <v>5.6</v>
      </c>
      <c r="CC150" s="714">
        <v>5.6</v>
      </c>
      <c r="CD150" s="714">
        <v>5.6</v>
      </c>
      <c r="CE150" s="714">
        <v>5.7</v>
      </c>
      <c r="CF150" s="714">
        <v>6</v>
      </c>
      <c r="CG150" s="714">
        <v>6.2</v>
      </c>
      <c r="CH150" s="714">
        <v>6.5</v>
      </c>
      <c r="CI150" s="714">
        <v>6.6</v>
      </c>
      <c r="CJ150" s="714">
        <v>6.8</v>
      </c>
      <c r="CK150" s="714">
        <v>5.7</v>
      </c>
      <c r="CL150" s="715">
        <v>5.7</v>
      </c>
      <c r="CM150" s="715">
        <v>5.7</v>
      </c>
      <c r="CN150" s="715">
        <v>5.7</v>
      </c>
      <c r="CO150" s="715">
        <v>5.7</v>
      </c>
      <c r="CP150" s="715">
        <v>5.8</v>
      </c>
      <c r="CQ150" s="715">
        <v>6.1</v>
      </c>
      <c r="CR150" s="714">
        <v>6.3</v>
      </c>
      <c r="CS150" s="714">
        <v>6.5</v>
      </c>
      <c r="CT150" s="714">
        <v>6.7</v>
      </c>
      <c r="CU150" s="714">
        <v>6.9</v>
      </c>
      <c r="CV150" s="714">
        <v>6</v>
      </c>
      <c r="CW150" s="715">
        <v>6</v>
      </c>
      <c r="CX150" s="715">
        <v>6</v>
      </c>
      <c r="CY150" s="715">
        <v>6</v>
      </c>
      <c r="CZ150" s="715">
        <v>6</v>
      </c>
      <c r="DA150" s="715">
        <v>6.1</v>
      </c>
      <c r="DB150" s="715">
        <v>6.4</v>
      </c>
      <c r="DC150" s="714">
        <v>6.6</v>
      </c>
      <c r="DD150" s="714">
        <v>6.8</v>
      </c>
      <c r="DE150" s="714">
        <v>6.9</v>
      </c>
      <c r="DF150" s="714">
        <v>7.1</v>
      </c>
      <c r="DG150" s="714">
        <v>6.5</v>
      </c>
      <c r="DH150" s="715">
        <v>6.4</v>
      </c>
      <c r="DI150" s="715">
        <v>6.5</v>
      </c>
      <c r="DJ150" s="715">
        <v>6.4</v>
      </c>
      <c r="DK150" s="715">
        <v>6.5</v>
      </c>
      <c r="DL150" s="715">
        <v>6.6</v>
      </c>
      <c r="DM150" s="715">
        <v>6.9</v>
      </c>
      <c r="DN150" s="714">
        <v>7</v>
      </c>
      <c r="DO150" s="714">
        <v>7.4</v>
      </c>
      <c r="DP150" s="714">
        <v>7.6</v>
      </c>
      <c r="DQ150" s="714">
        <v>7.8</v>
      </c>
      <c r="DR150" s="714">
        <v>7.1</v>
      </c>
      <c r="DS150" s="715">
        <v>7.2</v>
      </c>
      <c r="DT150" s="715">
        <v>7.3</v>
      </c>
      <c r="DU150" s="715">
        <v>7.3</v>
      </c>
      <c r="DV150" s="715">
        <v>7.4</v>
      </c>
      <c r="DW150" s="715">
        <v>7.5</v>
      </c>
      <c r="DX150" s="715">
        <v>7.7</v>
      </c>
      <c r="DY150" s="714">
        <v>8</v>
      </c>
      <c r="DZ150" s="714">
        <v>8.1</v>
      </c>
      <c r="EA150" s="714">
        <v>8.3</v>
      </c>
      <c r="EB150" s="714">
        <v>8.5</v>
      </c>
      <c r="EC150" s="714">
        <v>7.2</v>
      </c>
      <c r="ED150" s="715">
        <v>7.3</v>
      </c>
      <c r="EE150" s="715">
        <v>7.4</v>
      </c>
      <c r="EF150" s="715">
        <v>7.4</v>
      </c>
      <c r="EG150" s="715">
        <v>7.4</v>
      </c>
      <c r="EH150" s="715">
        <v>7.5</v>
      </c>
      <c r="EI150" s="715">
        <v>7.8</v>
      </c>
      <c r="EJ150" s="714">
        <v>8.1</v>
      </c>
      <c r="EK150" s="714">
        <v>8.2</v>
      </c>
      <c r="EL150" s="714">
        <v>8.4</v>
      </c>
      <c r="EM150" s="714">
        <v>8.6</v>
      </c>
      <c r="EN150" s="714">
        <v>7.9</v>
      </c>
      <c r="EO150" s="715">
        <v>8</v>
      </c>
      <c r="EP150" s="715">
        <v>8.1</v>
      </c>
      <c r="EQ150" s="715">
        <v>8.2</v>
      </c>
      <c r="ER150" s="715">
        <v>8.3</v>
      </c>
      <c r="ES150" s="715">
        <v>8.4</v>
      </c>
      <c r="ET150" s="715">
        <v>8.7</v>
      </c>
      <c r="EU150" s="714">
        <v>9</v>
      </c>
      <c r="EV150" s="714">
        <v>9.2</v>
      </c>
      <c r="EW150" s="714">
        <v>9.4</v>
      </c>
      <c r="EX150" s="714">
        <v>9.6</v>
      </c>
      <c r="EY150" s="714">
        <v>2.7</v>
      </c>
      <c r="EZ150" s="715">
        <v>3.2</v>
      </c>
      <c r="FA150" s="715">
        <v>3.5</v>
      </c>
      <c r="FB150" s="715">
        <v>3.8</v>
      </c>
      <c r="FC150" s="715">
        <v>4.1</v>
      </c>
      <c r="FD150" s="715">
        <v>4.4</v>
      </c>
      <c r="FE150" s="715">
        <v>4.8</v>
      </c>
      <c r="FF150" s="714">
        <v>5.2</v>
      </c>
      <c r="FG150" s="714">
        <v>5.5</v>
      </c>
      <c r="FH150" s="714">
        <v>5.8</v>
      </c>
      <c r="FI150" s="714">
        <v>6.1</v>
      </c>
      <c r="FJ150" s="723">
        <v>3.73e-6</v>
      </c>
      <c r="FK150" s="723">
        <v>1.16e-8</v>
      </c>
      <c r="FL150" s="723">
        <v>-5.36e-12</v>
      </c>
      <c r="FM150" s="723">
        <v>8.04e-7</v>
      </c>
      <c r="FN150" s="723">
        <v>3.83e-10</v>
      </c>
      <c r="FO150" s="723">
        <v>0.213</v>
      </c>
      <c r="FP150" s="729">
        <v>1</v>
      </c>
      <c r="FQ150" s="729">
        <v>1</v>
      </c>
      <c r="FR150" s="729">
        <v>1</v>
      </c>
      <c r="FS150" s="729">
        <v>2</v>
      </c>
      <c r="FT150" s="729">
        <v>1</v>
      </c>
      <c r="FU150" s="729">
        <v>1</v>
      </c>
      <c r="FV150" s="681">
        <v>1</v>
      </c>
      <c r="FW150" s="729"/>
      <c r="FX150" s="729"/>
      <c r="FY150" s="729"/>
      <c r="FZ150" s="746">
        <v>698</v>
      </c>
      <c r="GA150" s="746">
        <v>746</v>
      </c>
      <c r="GB150" s="681">
        <v>629</v>
      </c>
      <c r="GC150" s="681">
        <v>667</v>
      </c>
      <c r="GD150" s="747">
        <v>0.98</v>
      </c>
      <c r="GE150" s="729"/>
      <c r="GF150" s="681">
        <v>68</v>
      </c>
      <c r="GG150" s="681">
        <v>83</v>
      </c>
      <c r="GH150" s="681">
        <v>61</v>
      </c>
      <c r="GI150" s="681">
        <v>62</v>
      </c>
      <c r="GJ150" s="681">
        <v>64</v>
      </c>
      <c r="GK150" s="681">
        <v>65</v>
      </c>
      <c r="GL150" s="681">
        <v>66</v>
      </c>
      <c r="GM150" s="681">
        <v>67</v>
      </c>
      <c r="GN150" s="681">
        <v>68</v>
      </c>
      <c r="GO150" s="681">
        <v>69</v>
      </c>
      <c r="GP150" s="681">
        <v>70</v>
      </c>
      <c r="GQ150" s="681">
        <v>70</v>
      </c>
      <c r="GR150" s="681">
        <v>71</v>
      </c>
      <c r="GS150" s="681">
        <v>71</v>
      </c>
      <c r="GT150" s="681">
        <v>72</v>
      </c>
      <c r="GU150" s="681">
        <v>73</v>
      </c>
      <c r="GV150" s="681">
        <v>74</v>
      </c>
      <c r="GW150" s="681">
        <v>75</v>
      </c>
      <c r="GX150" s="681">
        <v>76</v>
      </c>
      <c r="GY150" s="681">
        <v>77</v>
      </c>
      <c r="GZ150" s="681">
        <v>78</v>
      </c>
      <c r="HA150" s="681">
        <v>79</v>
      </c>
      <c r="HB150" s="681">
        <v>80</v>
      </c>
      <c r="HC150" s="681"/>
      <c r="HD150" s="750">
        <v>100</v>
      </c>
      <c r="HE150" s="681"/>
      <c r="HF150" s="681">
        <v>682</v>
      </c>
      <c r="HG150" s="681">
        <v>58</v>
      </c>
      <c r="HH150" s="714">
        <v>120.9</v>
      </c>
      <c r="HI150" s="714">
        <v>46.5</v>
      </c>
      <c r="HJ150" s="753">
        <v>0.301</v>
      </c>
      <c r="HK150" s="681">
        <v>95</v>
      </c>
      <c r="HL150" s="685">
        <v>1.32</v>
      </c>
      <c r="HM150" s="747">
        <v>5.47</v>
      </c>
      <c r="HN150" s="729" t="s">
        <v>1237</v>
      </c>
      <c r="HO150" s="729" t="s">
        <v>1238</v>
      </c>
      <c r="HP150" s="714">
        <v>-2.1</v>
      </c>
      <c r="HQ150" s="753">
        <v>0.949</v>
      </c>
      <c r="HR150" s="753">
        <v>0.993</v>
      </c>
      <c r="HS150" s="753">
        <v>0.999</v>
      </c>
      <c r="HT150" s="753">
        <v>0.999</v>
      </c>
      <c r="HU150" s="753">
        <v>0.999</v>
      </c>
      <c r="HV150" s="753">
        <v>0.999</v>
      </c>
      <c r="HW150" s="753">
        <v>0.999</v>
      </c>
      <c r="HX150" s="753">
        <v>0.999</v>
      </c>
      <c r="HY150" s="753">
        <v>0.999</v>
      </c>
      <c r="HZ150" s="753">
        <v>0.999</v>
      </c>
      <c r="IA150" s="753">
        <v>0.999</v>
      </c>
      <c r="IB150" s="753">
        <v>0.999</v>
      </c>
      <c r="IC150" s="753">
        <v>0.999</v>
      </c>
      <c r="ID150" s="753">
        <v>0.999</v>
      </c>
      <c r="IE150" s="753">
        <v>0.999</v>
      </c>
      <c r="IF150" s="753">
        <v>0.999</v>
      </c>
      <c r="IG150" s="753">
        <v>0.999</v>
      </c>
      <c r="IH150" s="753">
        <v>0.997</v>
      </c>
      <c r="II150" s="753">
        <v>0.994</v>
      </c>
      <c r="IJ150" s="753">
        <v>0.991</v>
      </c>
      <c r="IK150" s="753">
        <v>0.988</v>
      </c>
      <c r="IL150" s="753">
        <v>0.984</v>
      </c>
      <c r="IM150" s="753">
        <v>0.98</v>
      </c>
      <c r="IN150" s="753">
        <v>0.97</v>
      </c>
      <c r="IO150" s="753">
        <v>0.956</v>
      </c>
      <c r="IP150" s="753">
        <v>0.937</v>
      </c>
      <c r="IQ150" s="753">
        <v>0.903</v>
      </c>
      <c r="IR150" s="753">
        <v>0.857</v>
      </c>
      <c r="IS150" s="753">
        <v>0.785</v>
      </c>
      <c r="IT150" s="753">
        <v>0.695</v>
      </c>
      <c r="IU150" s="753">
        <v>0.572</v>
      </c>
      <c r="IV150" s="753">
        <v>0.401</v>
      </c>
      <c r="IW150" s="753"/>
      <c r="IX150" s="753"/>
      <c r="IY150" s="753"/>
      <c r="IZ150" s="753"/>
      <c r="JA150" s="754">
        <v>0.9</v>
      </c>
      <c r="JB150" s="754">
        <v>0.985</v>
      </c>
      <c r="JC150" s="754">
        <v>0.998</v>
      </c>
      <c r="JD150" s="754">
        <v>0.998</v>
      </c>
      <c r="JE150" s="754">
        <v>0.998</v>
      </c>
      <c r="JF150" s="754">
        <v>0.998</v>
      </c>
      <c r="JG150" s="754">
        <v>0.998</v>
      </c>
      <c r="JH150" s="754">
        <v>0.998</v>
      </c>
      <c r="JI150" s="754">
        <v>0.998</v>
      </c>
      <c r="JJ150" s="754">
        <v>0.998</v>
      </c>
      <c r="JK150" s="754">
        <v>0.998</v>
      </c>
      <c r="JL150" s="754">
        <v>0.998</v>
      </c>
      <c r="JM150" s="754">
        <v>0.998</v>
      </c>
      <c r="JN150" s="754">
        <v>0.998</v>
      </c>
      <c r="JO150" s="754">
        <v>0.998</v>
      </c>
      <c r="JP150" s="754">
        <v>0.998</v>
      </c>
      <c r="JQ150" s="754">
        <v>0.998</v>
      </c>
      <c r="JR150" s="754">
        <v>0.995</v>
      </c>
      <c r="JS150" s="754">
        <v>0.992</v>
      </c>
      <c r="JT150" s="754">
        <v>0.989</v>
      </c>
      <c r="JU150" s="754">
        <v>0.985</v>
      </c>
      <c r="JV150" s="754">
        <v>0.981</v>
      </c>
      <c r="JW150" s="754">
        <v>0.96</v>
      </c>
      <c r="JX150" s="754">
        <v>0.937</v>
      </c>
      <c r="JY150" s="754">
        <v>0.909</v>
      </c>
      <c r="JZ150" s="754">
        <v>0.873</v>
      </c>
      <c r="KA150" s="754">
        <v>0.815</v>
      </c>
      <c r="KB150" s="754">
        <v>0.73</v>
      </c>
      <c r="KC150" s="754">
        <v>0.607</v>
      </c>
      <c r="KD150" s="754">
        <v>0.476</v>
      </c>
      <c r="KE150" s="754">
        <v>0.318</v>
      </c>
      <c r="KF150" s="754">
        <v>0.155</v>
      </c>
      <c r="KG150" s="754"/>
      <c r="KH150" s="754"/>
      <c r="KI150" s="754"/>
      <c r="KJ150" s="754"/>
      <c r="KK150" s="765" t="s">
        <v>281</v>
      </c>
      <c r="KL150" s="738">
        <v>429</v>
      </c>
      <c r="KM150" s="738">
        <v>2347</v>
      </c>
      <c r="KN150" s="646" t="s">
        <v>282</v>
      </c>
      <c r="KO150" s="646" t="s">
        <v>1236</v>
      </c>
      <c r="KP150" s="680">
        <v>883408</v>
      </c>
      <c r="KQ150" s="766" t="s">
        <v>1239</v>
      </c>
      <c r="KR150" s="750" t="s">
        <v>1230</v>
      </c>
      <c r="KS150" s="769" t="s">
        <v>1240</v>
      </c>
      <c r="KT150" s="770" t="s">
        <v>1230</v>
      </c>
      <c r="KU150" s="766" t="s">
        <v>1241</v>
      </c>
      <c r="KV150" s="750">
        <v>883408</v>
      </c>
      <c r="KW150" s="771" t="s">
        <v>1242</v>
      </c>
      <c r="KX150" s="750" t="s">
        <v>1230</v>
      </c>
      <c r="KY150" s="769" t="s">
        <v>1243</v>
      </c>
      <c r="KZ150" s="770" t="s">
        <v>1230</v>
      </c>
    </row>
    <row r="151" s="628" customFormat="1" customHeight="1" spans="1:312">
      <c r="A151" s="682" t="s">
        <v>374</v>
      </c>
      <c r="B151" s="683">
        <v>147</v>
      </c>
      <c r="C151" s="689" t="s">
        <v>1244</v>
      </c>
      <c r="D151" s="680">
        <v>883392</v>
      </c>
      <c r="E151" s="685">
        <v>39.22</v>
      </c>
      <c r="F151" s="685">
        <v>38.97</v>
      </c>
      <c r="G151" s="688">
        <v>0.022515</v>
      </c>
      <c r="H151" s="686">
        <v>0.022798</v>
      </c>
      <c r="I151" s="696"/>
      <c r="J151" s="696"/>
      <c r="K151" s="696">
        <v>1.84942</v>
      </c>
      <c r="L151" s="696">
        <v>1.85707</v>
      </c>
      <c r="M151" s="696">
        <v>1.85859</v>
      </c>
      <c r="N151" s="696">
        <v>1.8599</v>
      </c>
      <c r="O151" s="696">
        <v>1.86519</v>
      </c>
      <c r="P151" s="696">
        <v>1.86902</v>
      </c>
      <c r="Q151" s="697">
        <v>1.87265</v>
      </c>
      <c r="R151" s="697">
        <v>1.87635</v>
      </c>
      <c r="S151" s="697">
        <v>1.8774</v>
      </c>
      <c r="T151" s="701">
        <v>1.87837</v>
      </c>
      <c r="U151" s="697">
        <v>1.88281</v>
      </c>
      <c r="V151" s="697">
        <v>1.883</v>
      </c>
      <c r="W151" s="697">
        <v>1.88835</v>
      </c>
      <c r="X151" s="697">
        <v>1.89887</v>
      </c>
      <c r="Y151" s="697">
        <v>1.90019</v>
      </c>
      <c r="Z151" s="697">
        <v>1.9117</v>
      </c>
      <c r="AA151" s="697">
        <v>1.9227</v>
      </c>
      <c r="AB151" s="697">
        <v>1.9422</v>
      </c>
      <c r="AC151" s="704">
        <v>3.43867274</v>
      </c>
      <c r="AD151" s="705">
        <v>-0.0143248055</v>
      </c>
      <c r="AE151" s="705">
        <v>0.0349115425</v>
      </c>
      <c r="AF151" s="705">
        <v>0.0014530167</v>
      </c>
      <c r="AG151" s="705">
        <v>-7.62581625e-5</v>
      </c>
      <c r="AH151" s="705">
        <v>7.4766879e-6</v>
      </c>
      <c r="AI151" s="709">
        <v>0.2954</v>
      </c>
      <c r="AJ151" s="709">
        <v>0.2376</v>
      </c>
      <c r="AK151" s="709">
        <v>0.5698</v>
      </c>
      <c r="AL151" s="709">
        <v>0.2456</v>
      </c>
      <c r="AM151" s="709">
        <v>0.2347</v>
      </c>
      <c r="AN151" s="709">
        <v>0.5049</v>
      </c>
      <c r="AO151" s="709">
        <v>-0.0013</v>
      </c>
      <c r="AP151" s="709">
        <v>-0.0086</v>
      </c>
      <c r="AQ151" s="709">
        <v>0.0005</v>
      </c>
      <c r="AR151" s="709">
        <v>0.0011</v>
      </c>
      <c r="AS151" s="714">
        <v>0.9</v>
      </c>
      <c r="AT151" s="714">
        <v>0.9</v>
      </c>
      <c r="AU151" s="714">
        <v>1</v>
      </c>
      <c r="AV151" s="714">
        <v>1.2</v>
      </c>
      <c r="AW151" s="714">
        <v>1.3</v>
      </c>
      <c r="AX151" s="714">
        <v>1.5</v>
      </c>
      <c r="AY151" s="714">
        <v>1.6</v>
      </c>
      <c r="AZ151" s="714">
        <v>1.6</v>
      </c>
      <c r="BA151" s="714">
        <v>1.8</v>
      </c>
      <c r="BB151" s="714">
        <v>1.9</v>
      </c>
      <c r="BC151" s="714">
        <v>1.9</v>
      </c>
      <c r="BD151" s="714">
        <v>1.4</v>
      </c>
      <c r="BE151" s="714">
        <v>1.6</v>
      </c>
      <c r="BF151" s="714">
        <v>1.6</v>
      </c>
      <c r="BG151" s="714">
        <v>1.7</v>
      </c>
      <c r="BH151" s="714">
        <v>1.7</v>
      </c>
      <c r="BI151" s="714">
        <v>1.9</v>
      </c>
      <c r="BJ151" s="714">
        <v>2.1</v>
      </c>
      <c r="BK151" s="714">
        <v>2.3</v>
      </c>
      <c r="BL151" s="714">
        <v>2.3</v>
      </c>
      <c r="BM151" s="714">
        <v>2.4</v>
      </c>
      <c r="BN151" s="714">
        <v>2.6</v>
      </c>
      <c r="BO151" s="714">
        <v>1.9</v>
      </c>
      <c r="BP151" s="714">
        <v>2</v>
      </c>
      <c r="BQ151" s="714">
        <v>2.1</v>
      </c>
      <c r="BR151" s="714">
        <v>2.3</v>
      </c>
      <c r="BS151" s="714">
        <v>2.4</v>
      </c>
      <c r="BT151" s="714">
        <v>2.4</v>
      </c>
      <c r="BU151" s="714">
        <v>2.6</v>
      </c>
      <c r="BV151" s="714">
        <v>2.8</v>
      </c>
      <c r="BW151" s="714">
        <v>2.9</v>
      </c>
      <c r="BX151" s="714">
        <v>3</v>
      </c>
      <c r="BY151" s="714">
        <v>3.1</v>
      </c>
      <c r="BZ151" s="714">
        <v>2</v>
      </c>
      <c r="CA151" s="714">
        <v>2</v>
      </c>
      <c r="CB151" s="714">
        <v>2.2</v>
      </c>
      <c r="CC151" s="714">
        <v>2.4</v>
      </c>
      <c r="CD151" s="714">
        <v>2.4</v>
      </c>
      <c r="CE151" s="714">
        <v>2.6</v>
      </c>
      <c r="CF151" s="714">
        <v>2.8</v>
      </c>
      <c r="CG151" s="714">
        <v>2.9</v>
      </c>
      <c r="CH151" s="714">
        <v>3</v>
      </c>
      <c r="CI151" s="714">
        <v>3.1</v>
      </c>
      <c r="CJ151" s="714">
        <v>3.2</v>
      </c>
      <c r="CK151" s="714">
        <v>2.2</v>
      </c>
      <c r="CL151" s="715">
        <v>2.3</v>
      </c>
      <c r="CM151" s="715">
        <v>2.5</v>
      </c>
      <c r="CN151" s="715">
        <v>2.6</v>
      </c>
      <c r="CO151" s="715">
        <v>2.6</v>
      </c>
      <c r="CP151" s="715">
        <v>2.8</v>
      </c>
      <c r="CQ151" s="715">
        <v>2.9</v>
      </c>
      <c r="CR151" s="714">
        <v>3</v>
      </c>
      <c r="CS151" s="714">
        <v>3.2</v>
      </c>
      <c r="CT151" s="714">
        <v>3.3</v>
      </c>
      <c r="CU151" s="714">
        <v>3.4</v>
      </c>
      <c r="CV151" s="714">
        <v>2.5</v>
      </c>
      <c r="CW151" s="715">
        <v>2.7</v>
      </c>
      <c r="CX151" s="715">
        <v>2.7</v>
      </c>
      <c r="CY151" s="715">
        <v>2.8</v>
      </c>
      <c r="CZ151" s="715">
        <v>2.9</v>
      </c>
      <c r="DA151" s="715">
        <v>3</v>
      </c>
      <c r="DB151" s="715">
        <v>3.3</v>
      </c>
      <c r="DC151" s="714">
        <v>3.5</v>
      </c>
      <c r="DD151" s="714">
        <v>3.5</v>
      </c>
      <c r="DE151" s="714">
        <v>3.7</v>
      </c>
      <c r="DF151" s="714">
        <v>3.9</v>
      </c>
      <c r="DG151" s="714">
        <v>3.2</v>
      </c>
      <c r="DH151" s="715">
        <v>3.3</v>
      </c>
      <c r="DI151" s="715">
        <v>3.5</v>
      </c>
      <c r="DJ151" s="715">
        <v>3.7</v>
      </c>
      <c r="DK151" s="715">
        <v>3.8</v>
      </c>
      <c r="DL151" s="715">
        <v>3.9</v>
      </c>
      <c r="DM151" s="715">
        <v>4.1</v>
      </c>
      <c r="DN151" s="714">
        <v>4.2</v>
      </c>
      <c r="DO151" s="714">
        <v>4.4</v>
      </c>
      <c r="DP151" s="714">
        <v>4.4</v>
      </c>
      <c r="DQ151" s="714">
        <v>4.6</v>
      </c>
      <c r="DR151" s="714">
        <v>3.4</v>
      </c>
      <c r="DS151" s="715">
        <v>3.6</v>
      </c>
      <c r="DT151" s="715">
        <v>3.6</v>
      </c>
      <c r="DU151" s="715">
        <v>3.8</v>
      </c>
      <c r="DV151" s="715">
        <v>4.1</v>
      </c>
      <c r="DW151" s="715">
        <v>4.1</v>
      </c>
      <c r="DX151" s="715">
        <v>4.3</v>
      </c>
      <c r="DY151" s="714">
        <v>4.5</v>
      </c>
      <c r="DZ151" s="714">
        <v>4.6</v>
      </c>
      <c r="EA151" s="714">
        <v>4.7</v>
      </c>
      <c r="EB151" s="714">
        <v>4.9</v>
      </c>
      <c r="EC151" s="714">
        <v>3.7</v>
      </c>
      <c r="ED151" s="715">
        <v>3.9</v>
      </c>
      <c r="EE151" s="715">
        <v>4</v>
      </c>
      <c r="EF151" s="715">
        <v>4.2</v>
      </c>
      <c r="EG151" s="715">
        <v>4.3</v>
      </c>
      <c r="EH151" s="715">
        <v>4.4</v>
      </c>
      <c r="EI151" s="715">
        <v>4.5</v>
      </c>
      <c r="EJ151" s="714">
        <v>4.6</v>
      </c>
      <c r="EK151" s="714">
        <v>4.7</v>
      </c>
      <c r="EL151" s="714">
        <v>4.8</v>
      </c>
      <c r="EM151" s="714">
        <v>5.1</v>
      </c>
      <c r="EN151" s="714">
        <v>4.9</v>
      </c>
      <c r="EO151" s="715">
        <v>5</v>
      </c>
      <c r="EP151" s="715">
        <v>5.1</v>
      </c>
      <c r="EQ151" s="715">
        <v>5.3</v>
      </c>
      <c r="ER151" s="715">
        <v>5.4</v>
      </c>
      <c r="ES151" s="715">
        <v>5.5</v>
      </c>
      <c r="ET151" s="715">
        <v>5.6</v>
      </c>
      <c r="EU151" s="714">
        <v>5.7</v>
      </c>
      <c r="EV151" s="714">
        <v>5.9</v>
      </c>
      <c r="EW151" s="714">
        <v>6.1</v>
      </c>
      <c r="EX151" s="714">
        <v>6.4</v>
      </c>
      <c r="EY151" s="714">
        <v>-0.8</v>
      </c>
      <c r="EZ151" s="715">
        <v>-0.2</v>
      </c>
      <c r="FA151" s="715">
        <v>0.3</v>
      </c>
      <c r="FB151" s="715">
        <v>0.7</v>
      </c>
      <c r="FC151" s="715">
        <v>1</v>
      </c>
      <c r="FD151" s="715">
        <v>1.4</v>
      </c>
      <c r="FE151" s="715">
        <v>1.6</v>
      </c>
      <c r="FF151" s="714">
        <v>1.9</v>
      </c>
      <c r="FG151" s="714">
        <v>2.2</v>
      </c>
      <c r="FH151" s="714">
        <v>2.4</v>
      </c>
      <c r="FI151" s="714">
        <v>2.6</v>
      </c>
      <c r="FJ151" s="723">
        <v>-1.77e-6</v>
      </c>
      <c r="FK151" s="723">
        <v>1.42e-8</v>
      </c>
      <c r="FL151" s="723">
        <v>-2.29e-11</v>
      </c>
      <c r="FM151" s="723">
        <v>1.13e-6</v>
      </c>
      <c r="FN151" s="723">
        <v>1.17e-10</v>
      </c>
      <c r="FO151" s="723">
        <v>0.138</v>
      </c>
      <c r="FP151" s="729">
        <v>1</v>
      </c>
      <c r="FQ151" s="729">
        <v>1</v>
      </c>
      <c r="FR151" s="729">
        <v>1</v>
      </c>
      <c r="FS151" s="729">
        <v>2</v>
      </c>
      <c r="FT151" s="729">
        <v>1</v>
      </c>
      <c r="FU151" s="729">
        <v>1</v>
      </c>
      <c r="FV151" s="681">
        <v>1</v>
      </c>
      <c r="FW151" s="729"/>
      <c r="FX151" s="729"/>
      <c r="FY151" s="729"/>
      <c r="FZ151" s="746">
        <v>720</v>
      </c>
      <c r="GA151" s="746">
        <v>748</v>
      </c>
      <c r="GB151" s="681">
        <v>673</v>
      </c>
      <c r="GC151" s="681">
        <v>703</v>
      </c>
      <c r="GD151" s="747">
        <v>0.78</v>
      </c>
      <c r="GE151" s="729"/>
      <c r="GF151" s="681">
        <v>71</v>
      </c>
      <c r="GG151" s="681">
        <v>83</v>
      </c>
      <c r="GH151" s="681">
        <v>63</v>
      </c>
      <c r="GI151" s="681">
        <v>65</v>
      </c>
      <c r="GJ151" s="681">
        <v>67</v>
      </c>
      <c r="GK151" s="681">
        <v>68</v>
      </c>
      <c r="GL151" s="681">
        <v>69</v>
      </c>
      <c r="GM151" s="681">
        <v>70</v>
      </c>
      <c r="GN151" s="681">
        <v>71</v>
      </c>
      <c r="GO151" s="681">
        <v>72</v>
      </c>
      <c r="GP151" s="681">
        <v>73</v>
      </c>
      <c r="GQ151" s="681">
        <v>73</v>
      </c>
      <c r="GR151" s="681">
        <v>74</v>
      </c>
      <c r="GS151" s="681">
        <v>75</v>
      </c>
      <c r="GT151" s="681">
        <v>76</v>
      </c>
      <c r="GU151" s="681">
        <v>77</v>
      </c>
      <c r="GV151" s="681">
        <v>78</v>
      </c>
      <c r="GW151" s="681">
        <v>79</v>
      </c>
      <c r="GX151" s="681">
        <v>80</v>
      </c>
      <c r="GY151" s="681">
        <v>81</v>
      </c>
      <c r="GZ151" s="681">
        <v>82</v>
      </c>
      <c r="HA151" s="681">
        <v>84</v>
      </c>
      <c r="HB151" s="681">
        <v>85</v>
      </c>
      <c r="HC151" s="681"/>
      <c r="HD151" s="750">
        <v>124</v>
      </c>
      <c r="HE151" s="681"/>
      <c r="HF151" s="681">
        <v>700</v>
      </c>
      <c r="HG151" s="681">
        <v>74</v>
      </c>
      <c r="HH151" s="714">
        <v>124.4</v>
      </c>
      <c r="HI151" s="714">
        <v>46.7</v>
      </c>
      <c r="HJ151" s="753">
        <v>0.333</v>
      </c>
      <c r="HK151" s="681">
        <v>125</v>
      </c>
      <c r="HL151" s="685">
        <v>0.93</v>
      </c>
      <c r="HM151" s="747">
        <v>5.12</v>
      </c>
      <c r="HN151" s="729" t="s">
        <v>1192</v>
      </c>
      <c r="HO151" s="729" t="s">
        <v>1245</v>
      </c>
      <c r="HP151" s="714">
        <v>-0.5</v>
      </c>
      <c r="HQ151" s="753">
        <v>0.898</v>
      </c>
      <c r="HR151" s="753">
        <v>0.97</v>
      </c>
      <c r="HS151" s="753">
        <v>0.988</v>
      </c>
      <c r="HT151" s="753">
        <v>0.995</v>
      </c>
      <c r="HU151" s="753">
        <v>0.998</v>
      </c>
      <c r="HV151" s="753">
        <v>0.999</v>
      </c>
      <c r="HW151" s="753">
        <v>0.999</v>
      </c>
      <c r="HX151" s="753">
        <v>0.999</v>
      </c>
      <c r="HY151" s="753">
        <v>0.999</v>
      </c>
      <c r="HZ151" s="753">
        <v>0.999</v>
      </c>
      <c r="IA151" s="753">
        <v>0.999</v>
      </c>
      <c r="IB151" s="753">
        <v>0.999</v>
      </c>
      <c r="IC151" s="753">
        <v>0.999</v>
      </c>
      <c r="ID151" s="753">
        <v>0.999</v>
      </c>
      <c r="IE151" s="753">
        <v>0.999</v>
      </c>
      <c r="IF151" s="753">
        <v>0.999</v>
      </c>
      <c r="IG151" s="753">
        <v>0.999</v>
      </c>
      <c r="IH151" s="753">
        <v>0.998</v>
      </c>
      <c r="II151" s="753">
        <v>0.995</v>
      </c>
      <c r="IJ151" s="753">
        <v>0.991</v>
      </c>
      <c r="IK151" s="753">
        <v>0.987</v>
      </c>
      <c r="IL151" s="753">
        <v>0.982</v>
      </c>
      <c r="IM151" s="753">
        <v>0.974</v>
      </c>
      <c r="IN151" s="753">
        <v>0.957</v>
      </c>
      <c r="IO151" s="753">
        <v>0.939</v>
      </c>
      <c r="IP151" s="753">
        <v>0.91</v>
      </c>
      <c r="IQ151" s="753">
        <v>0.861</v>
      </c>
      <c r="IR151" s="753">
        <v>0.771</v>
      </c>
      <c r="IS151" s="753">
        <v>0.605</v>
      </c>
      <c r="IT151" s="753">
        <v>0.333</v>
      </c>
      <c r="IU151" s="753"/>
      <c r="IV151" s="753"/>
      <c r="IW151" s="753"/>
      <c r="IX151" s="753"/>
      <c r="IY151" s="753"/>
      <c r="IZ151" s="753"/>
      <c r="JA151" s="754">
        <v>0.807</v>
      </c>
      <c r="JB151" s="754">
        <v>0.94</v>
      </c>
      <c r="JC151" s="754">
        <v>0.976</v>
      </c>
      <c r="JD151" s="754">
        <v>0.991</v>
      </c>
      <c r="JE151" s="754">
        <v>0.996</v>
      </c>
      <c r="JF151" s="754">
        <v>0.998</v>
      </c>
      <c r="JG151" s="754">
        <v>0.998</v>
      </c>
      <c r="JH151" s="754">
        <v>0.998</v>
      </c>
      <c r="JI151" s="754">
        <v>0.998</v>
      </c>
      <c r="JJ151" s="754">
        <v>0.998</v>
      </c>
      <c r="JK151" s="754">
        <v>0.998</v>
      </c>
      <c r="JL151" s="754">
        <v>0.998</v>
      </c>
      <c r="JM151" s="754">
        <v>0.998</v>
      </c>
      <c r="JN151" s="754">
        <v>0.998</v>
      </c>
      <c r="JO151" s="754">
        <v>0.998</v>
      </c>
      <c r="JP151" s="754">
        <v>0.998</v>
      </c>
      <c r="JQ151" s="754">
        <v>0.998</v>
      </c>
      <c r="JR151" s="754">
        <v>0.996</v>
      </c>
      <c r="JS151" s="754">
        <v>0.99</v>
      </c>
      <c r="JT151" s="754">
        <v>0.983</v>
      </c>
      <c r="JU151" s="754">
        <v>0.975</v>
      </c>
      <c r="JV151" s="754">
        <v>0.964</v>
      </c>
      <c r="JW151" s="754">
        <v>0.949</v>
      </c>
      <c r="JX151" s="754">
        <v>0.915</v>
      </c>
      <c r="JY151" s="754">
        <v>0.881</v>
      </c>
      <c r="JZ151" s="754">
        <v>0.828</v>
      </c>
      <c r="KA151" s="754">
        <v>0.741</v>
      </c>
      <c r="KB151" s="754">
        <v>0.594</v>
      </c>
      <c r="KC151" s="754">
        <v>0.366</v>
      </c>
      <c r="KD151" s="754">
        <v>0.111</v>
      </c>
      <c r="KE151" s="754"/>
      <c r="KF151" s="754"/>
      <c r="KG151" s="754"/>
      <c r="KH151" s="754"/>
      <c r="KI151" s="754"/>
      <c r="KJ151" s="754"/>
      <c r="KK151" s="765" t="s">
        <v>281</v>
      </c>
      <c r="KL151" s="738">
        <v>155</v>
      </c>
      <c r="KM151" s="738">
        <v>794</v>
      </c>
      <c r="KN151" s="646" t="s">
        <v>282</v>
      </c>
      <c r="KO151" s="646" t="s">
        <v>1244</v>
      </c>
      <c r="KP151" s="680">
        <v>883392</v>
      </c>
      <c r="KQ151" s="766"/>
      <c r="KR151" s="750"/>
      <c r="KS151" s="769" t="s">
        <v>1246</v>
      </c>
      <c r="KT151" s="770" t="s">
        <v>1247</v>
      </c>
      <c r="KU151" s="766"/>
      <c r="KV151" s="750"/>
      <c r="KW151" s="771"/>
      <c r="KX151" s="750"/>
      <c r="KY151" s="769"/>
      <c r="KZ151" s="770"/>
    </row>
    <row r="152" s="628" customFormat="1" customHeight="1" spans="1:312">
      <c r="A152" s="682" t="s">
        <v>374</v>
      </c>
      <c r="B152" s="683">
        <v>148</v>
      </c>
      <c r="C152" s="689" t="s">
        <v>1248</v>
      </c>
      <c r="D152" s="680">
        <v>904313</v>
      </c>
      <c r="E152" s="685">
        <v>31.32</v>
      </c>
      <c r="F152" s="685">
        <v>31.08</v>
      </c>
      <c r="G152" s="688">
        <v>0.028857</v>
      </c>
      <c r="H152" s="686">
        <v>0.029295</v>
      </c>
      <c r="I152" s="696">
        <v>1.84663</v>
      </c>
      <c r="J152" s="696">
        <v>1.85408</v>
      </c>
      <c r="K152" s="696">
        <v>1.86274</v>
      </c>
      <c r="L152" s="696">
        <v>1.87166</v>
      </c>
      <c r="M152" s="696">
        <v>1.87348</v>
      </c>
      <c r="N152" s="696">
        <v>1.87504</v>
      </c>
      <c r="O152" s="696">
        <v>1.88144</v>
      </c>
      <c r="P152" s="696">
        <v>1.88615</v>
      </c>
      <c r="Q152" s="697">
        <v>1.89065</v>
      </c>
      <c r="R152" s="697">
        <v>1.89526</v>
      </c>
      <c r="S152" s="697">
        <v>1.89657</v>
      </c>
      <c r="T152" s="701">
        <v>1.89781</v>
      </c>
      <c r="U152" s="697">
        <v>1.90341</v>
      </c>
      <c r="V152" s="697">
        <v>1.90366</v>
      </c>
      <c r="W152" s="697">
        <v>1.91048</v>
      </c>
      <c r="X152" s="697">
        <v>1.92412</v>
      </c>
      <c r="Y152" s="697">
        <v>1.92587</v>
      </c>
      <c r="Z152" s="697">
        <v>1.94128</v>
      </c>
      <c r="AA152" s="697">
        <v>1.95645</v>
      </c>
      <c r="AB152" s="697">
        <v>1.98472</v>
      </c>
      <c r="AC152" s="704">
        <v>3.48854243</v>
      </c>
      <c r="AD152" s="705">
        <v>-0.0159982726</v>
      </c>
      <c r="AE152" s="705">
        <v>0.0428443509</v>
      </c>
      <c r="AF152" s="705">
        <v>0.00218903241</v>
      </c>
      <c r="AG152" s="705">
        <v>-0.000115672643</v>
      </c>
      <c r="AH152" s="705">
        <v>1.78697063e-5</v>
      </c>
      <c r="AI152" s="709">
        <v>0.2911</v>
      </c>
      <c r="AJ152" s="709">
        <v>0.2363</v>
      </c>
      <c r="AK152" s="709">
        <v>0.5947</v>
      </c>
      <c r="AL152" s="709">
        <v>0.242</v>
      </c>
      <c r="AM152" s="709">
        <v>0.2328</v>
      </c>
      <c r="AN152" s="709">
        <v>0.526</v>
      </c>
      <c r="AO152" s="709">
        <v>-0.0002</v>
      </c>
      <c r="AP152" s="709">
        <v>0.0031</v>
      </c>
      <c r="AQ152" s="709">
        <v>0.0088</v>
      </c>
      <c r="AR152" s="709">
        <v>0.0033</v>
      </c>
      <c r="AS152" s="714">
        <v>2.4</v>
      </c>
      <c r="AT152" s="714">
        <v>2.4</v>
      </c>
      <c r="AU152" s="714">
        <v>2.4</v>
      </c>
      <c r="AV152" s="714">
        <v>2.5</v>
      </c>
      <c r="AW152" s="714">
        <v>2.6</v>
      </c>
      <c r="AX152" s="714">
        <v>2.7</v>
      </c>
      <c r="AY152" s="714">
        <v>2.7</v>
      </c>
      <c r="AZ152" s="714">
        <v>2.9</v>
      </c>
      <c r="BA152" s="714">
        <v>3.1</v>
      </c>
      <c r="BB152" s="714">
        <v>3.3</v>
      </c>
      <c r="BC152" s="714">
        <v>3.5</v>
      </c>
      <c r="BD152" s="714">
        <v>2.8</v>
      </c>
      <c r="BE152" s="714">
        <v>2.9</v>
      </c>
      <c r="BF152" s="714">
        <v>3.1</v>
      </c>
      <c r="BG152" s="714">
        <v>3.3</v>
      </c>
      <c r="BH152" s="714">
        <v>3.4</v>
      </c>
      <c r="BI152" s="714">
        <v>3.4</v>
      </c>
      <c r="BJ152" s="714">
        <v>3.5</v>
      </c>
      <c r="BK152" s="714">
        <v>3.5</v>
      </c>
      <c r="BL152" s="714">
        <v>3.7</v>
      </c>
      <c r="BM152" s="714">
        <v>3.9</v>
      </c>
      <c r="BN152" s="714">
        <v>4</v>
      </c>
      <c r="BO152" s="714">
        <v>3.3</v>
      </c>
      <c r="BP152" s="714">
        <v>3.4</v>
      </c>
      <c r="BQ152" s="714">
        <v>3.5</v>
      </c>
      <c r="BR152" s="714">
        <v>3.6</v>
      </c>
      <c r="BS152" s="714">
        <v>3.7</v>
      </c>
      <c r="BT152" s="714">
        <v>3.8</v>
      </c>
      <c r="BU152" s="714">
        <v>4</v>
      </c>
      <c r="BV152" s="714">
        <v>4.1</v>
      </c>
      <c r="BW152" s="714">
        <v>4.2</v>
      </c>
      <c r="BX152" s="714">
        <v>4.3</v>
      </c>
      <c r="BY152" s="714">
        <v>4.4</v>
      </c>
      <c r="BZ152" s="714">
        <v>3.4</v>
      </c>
      <c r="CA152" s="714">
        <v>3.4</v>
      </c>
      <c r="CB152" s="714">
        <v>3.5</v>
      </c>
      <c r="CC152" s="714">
        <v>3.6</v>
      </c>
      <c r="CD152" s="714">
        <v>3.7</v>
      </c>
      <c r="CE152" s="714">
        <v>3.9</v>
      </c>
      <c r="CF152" s="714">
        <v>4</v>
      </c>
      <c r="CG152" s="714">
        <v>4.1</v>
      </c>
      <c r="CH152" s="714">
        <v>4.2</v>
      </c>
      <c r="CI152" s="714">
        <v>4.4</v>
      </c>
      <c r="CJ152" s="714">
        <v>4.4</v>
      </c>
      <c r="CK152" s="714">
        <v>3.4</v>
      </c>
      <c r="CL152" s="715">
        <v>3.5</v>
      </c>
      <c r="CM152" s="715">
        <v>3.6</v>
      </c>
      <c r="CN152" s="715">
        <v>3.7</v>
      </c>
      <c r="CO152" s="715">
        <v>3.8</v>
      </c>
      <c r="CP152" s="715">
        <v>3.9</v>
      </c>
      <c r="CQ152" s="715">
        <v>4.1</v>
      </c>
      <c r="CR152" s="714">
        <v>4.2</v>
      </c>
      <c r="CS152" s="714">
        <v>4.4</v>
      </c>
      <c r="CT152" s="714">
        <v>4.6</v>
      </c>
      <c r="CU152" s="714">
        <v>4.6</v>
      </c>
      <c r="CV152" s="714">
        <v>3.6</v>
      </c>
      <c r="CW152" s="715">
        <v>3.8</v>
      </c>
      <c r="CX152" s="715">
        <v>4</v>
      </c>
      <c r="CY152" s="715">
        <v>4.1</v>
      </c>
      <c r="CZ152" s="715">
        <v>4.2</v>
      </c>
      <c r="DA152" s="715">
        <v>4.3</v>
      </c>
      <c r="DB152" s="715">
        <v>4.6</v>
      </c>
      <c r="DC152" s="714">
        <v>4.8</v>
      </c>
      <c r="DD152" s="714">
        <v>4.9</v>
      </c>
      <c r="DE152" s="714">
        <v>5.1</v>
      </c>
      <c r="DF152" s="714">
        <v>5.3</v>
      </c>
      <c r="DG152" s="714">
        <v>4</v>
      </c>
      <c r="DH152" s="715">
        <v>4.3</v>
      </c>
      <c r="DI152" s="715">
        <v>4.5</v>
      </c>
      <c r="DJ152" s="715">
        <v>4.6</v>
      </c>
      <c r="DK152" s="715">
        <v>4.7</v>
      </c>
      <c r="DL152" s="715">
        <v>4.9</v>
      </c>
      <c r="DM152" s="715">
        <v>5.1</v>
      </c>
      <c r="DN152" s="714">
        <v>5.2</v>
      </c>
      <c r="DO152" s="714">
        <v>5.2</v>
      </c>
      <c r="DP152" s="714">
        <v>5.4</v>
      </c>
      <c r="DQ152" s="714">
        <v>5.6</v>
      </c>
      <c r="DR152" s="714">
        <v>5.1</v>
      </c>
      <c r="DS152" s="715">
        <v>5.2</v>
      </c>
      <c r="DT152" s="715">
        <v>5.4</v>
      </c>
      <c r="DU152" s="715">
        <v>5.6</v>
      </c>
      <c r="DV152" s="715">
        <v>5.9</v>
      </c>
      <c r="DW152" s="715">
        <v>6.2</v>
      </c>
      <c r="DX152" s="715">
        <v>6.5</v>
      </c>
      <c r="DY152" s="714">
        <v>6.8</v>
      </c>
      <c r="DZ152" s="714">
        <v>7</v>
      </c>
      <c r="EA152" s="714">
        <v>7.1</v>
      </c>
      <c r="EB152" s="714">
        <v>7.2</v>
      </c>
      <c r="EC152" s="714">
        <v>5.1</v>
      </c>
      <c r="ED152" s="715">
        <v>5.3</v>
      </c>
      <c r="EE152" s="715">
        <v>5.5</v>
      </c>
      <c r="EF152" s="715">
        <v>5.7</v>
      </c>
      <c r="EG152" s="715">
        <v>6</v>
      </c>
      <c r="EH152" s="715">
        <v>6.2</v>
      </c>
      <c r="EI152" s="715">
        <v>6.5</v>
      </c>
      <c r="EJ152" s="714">
        <v>6.8</v>
      </c>
      <c r="EK152" s="714">
        <v>7</v>
      </c>
      <c r="EL152" s="714">
        <v>7.2</v>
      </c>
      <c r="EM152" s="714">
        <v>7.3</v>
      </c>
      <c r="EN152" s="714">
        <v>6.4</v>
      </c>
      <c r="EO152" s="715">
        <v>6.5</v>
      </c>
      <c r="EP152" s="715">
        <v>6.8</v>
      </c>
      <c r="EQ152" s="715">
        <v>7.1</v>
      </c>
      <c r="ER152" s="715">
        <v>7.5</v>
      </c>
      <c r="ES152" s="715">
        <v>7.7</v>
      </c>
      <c r="ET152" s="715">
        <v>8</v>
      </c>
      <c r="EU152" s="714">
        <v>8.2</v>
      </c>
      <c r="EV152" s="714">
        <v>8.3</v>
      </c>
      <c r="EW152" s="714">
        <v>8.4</v>
      </c>
      <c r="EX152" s="714">
        <v>8.6</v>
      </c>
      <c r="EY152" s="714">
        <v>0.3</v>
      </c>
      <c r="EZ152" s="715">
        <v>0.9</v>
      </c>
      <c r="FA152" s="715">
        <v>1.4</v>
      </c>
      <c r="FB152" s="715">
        <v>1.8</v>
      </c>
      <c r="FC152" s="715">
        <v>2.1</v>
      </c>
      <c r="FD152" s="715">
        <v>2.4</v>
      </c>
      <c r="FE152" s="715">
        <v>2.8</v>
      </c>
      <c r="FF152" s="714">
        <v>3.1</v>
      </c>
      <c r="FG152" s="714">
        <v>3.4</v>
      </c>
      <c r="FH152" s="714">
        <v>3.7</v>
      </c>
      <c r="FI152" s="714">
        <v>3.8</v>
      </c>
      <c r="FJ152" s="723">
        <v>6.13e-7</v>
      </c>
      <c r="FK152" s="723">
        <v>1.29e-8</v>
      </c>
      <c r="FL152" s="723">
        <v>-2.38e-11</v>
      </c>
      <c r="FM152" s="723">
        <v>7.62e-7</v>
      </c>
      <c r="FN152" s="723">
        <v>6.31e-10</v>
      </c>
      <c r="FO152" s="723">
        <v>0.284</v>
      </c>
      <c r="FP152" s="729">
        <v>1</v>
      </c>
      <c r="FQ152" s="729">
        <v>2</v>
      </c>
      <c r="FR152" s="729">
        <v>1</v>
      </c>
      <c r="FS152" s="729">
        <v>2</v>
      </c>
      <c r="FT152" s="729">
        <v>1</v>
      </c>
      <c r="FU152" s="729">
        <v>1</v>
      </c>
      <c r="FV152" s="681">
        <v>1</v>
      </c>
      <c r="FW152" s="729"/>
      <c r="FX152" s="729"/>
      <c r="FY152" s="729"/>
      <c r="FZ152" s="746">
        <v>679</v>
      </c>
      <c r="GA152" s="746">
        <v>707</v>
      </c>
      <c r="GB152" s="681">
        <v>595</v>
      </c>
      <c r="GC152" s="681">
        <v>643</v>
      </c>
      <c r="GD152" s="747">
        <v>1.04</v>
      </c>
      <c r="GE152" s="729"/>
      <c r="GF152" s="681">
        <v>66</v>
      </c>
      <c r="GG152" s="681">
        <v>82</v>
      </c>
      <c r="GH152" s="681">
        <v>59</v>
      </c>
      <c r="GI152" s="681">
        <v>61</v>
      </c>
      <c r="GJ152" s="681">
        <v>62</v>
      </c>
      <c r="GK152" s="681">
        <v>64</v>
      </c>
      <c r="GL152" s="681">
        <v>65</v>
      </c>
      <c r="GM152" s="681">
        <v>66</v>
      </c>
      <c r="GN152" s="681">
        <v>66</v>
      </c>
      <c r="GO152" s="681">
        <v>67</v>
      </c>
      <c r="GP152" s="681">
        <v>68</v>
      </c>
      <c r="GQ152" s="681">
        <v>68</v>
      </c>
      <c r="GR152" s="681">
        <v>69</v>
      </c>
      <c r="GS152" s="681">
        <v>70</v>
      </c>
      <c r="GT152" s="681">
        <v>70</v>
      </c>
      <c r="GU152" s="681">
        <v>71</v>
      </c>
      <c r="GV152" s="681">
        <v>71</v>
      </c>
      <c r="GW152" s="681">
        <v>73</v>
      </c>
      <c r="GX152" s="681">
        <v>74</v>
      </c>
      <c r="GY152" s="681">
        <v>75</v>
      </c>
      <c r="GZ152" s="681">
        <v>76</v>
      </c>
      <c r="HA152" s="681">
        <v>77</v>
      </c>
      <c r="HB152" s="681">
        <v>77</v>
      </c>
      <c r="HC152" s="681"/>
      <c r="HD152" s="750">
        <v>185</v>
      </c>
      <c r="HE152" s="681"/>
      <c r="HF152" s="681">
        <v>640</v>
      </c>
      <c r="HG152" s="681">
        <v>80</v>
      </c>
      <c r="HH152" s="714">
        <v>117.6</v>
      </c>
      <c r="HI152" s="714">
        <v>45.6</v>
      </c>
      <c r="HJ152" s="753">
        <v>0.288</v>
      </c>
      <c r="HK152" s="681">
        <v>63</v>
      </c>
      <c r="HL152" s="685">
        <v>2.01</v>
      </c>
      <c r="HM152" s="747">
        <v>4.54</v>
      </c>
      <c r="HN152" s="729" t="s">
        <v>1249</v>
      </c>
      <c r="HO152" s="729" t="s">
        <v>1250</v>
      </c>
      <c r="HP152" s="714">
        <v>-0.8</v>
      </c>
      <c r="HQ152" s="753">
        <v>0.904</v>
      </c>
      <c r="HR152" s="753">
        <v>0.979</v>
      </c>
      <c r="HS152" s="753">
        <v>0.998</v>
      </c>
      <c r="HT152" s="753">
        <v>0.998</v>
      </c>
      <c r="HU152" s="753">
        <v>0.998</v>
      </c>
      <c r="HV152" s="753">
        <v>0.998</v>
      </c>
      <c r="HW152" s="753">
        <v>0.998</v>
      </c>
      <c r="HX152" s="753">
        <v>0.998</v>
      </c>
      <c r="HY152" s="753">
        <v>0.998</v>
      </c>
      <c r="HZ152" s="753">
        <v>0.998</v>
      </c>
      <c r="IA152" s="753">
        <v>0.998</v>
      </c>
      <c r="IB152" s="753">
        <v>0.998</v>
      </c>
      <c r="IC152" s="753">
        <v>0.998</v>
      </c>
      <c r="ID152" s="753">
        <v>0.998</v>
      </c>
      <c r="IE152" s="753">
        <v>0.998</v>
      </c>
      <c r="IF152" s="753">
        <v>0.998</v>
      </c>
      <c r="IG152" s="753">
        <v>0.998</v>
      </c>
      <c r="IH152" s="753">
        <v>0.996</v>
      </c>
      <c r="II152" s="753">
        <v>0.99</v>
      </c>
      <c r="IJ152" s="753">
        <v>0.984</v>
      </c>
      <c r="IK152" s="753">
        <v>0.977</v>
      </c>
      <c r="IL152" s="753">
        <v>0.968</v>
      </c>
      <c r="IM152" s="753">
        <v>0.95</v>
      </c>
      <c r="IN152" s="753">
        <v>0.914</v>
      </c>
      <c r="IO152" s="753">
        <v>0.874</v>
      </c>
      <c r="IP152" s="753">
        <v>0.79</v>
      </c>
      <c r="IQ152" s="753">
        <v>0.591</v>
      </c>
      <c r="IR152" s="753">
        <v>0.229</v>
      </c>
      <c r="IS152" s="753"/>
      <c r="IT152" s="753"/>
      <c r="IU152" s="753"/>
      <c r="IV152" s="753"/>
      <c r="IW152" s="753"/>
      <c r="IX152" s="753"/>
      <c r="IY152" s="753"/>
      <c r="IZ152" s="753"/>
      <c r="JA152" s="754">
        <v>0.817</v>
      </c>
      <c r="JB152" s="754">
        <v>0.958</v>
      </c>
      <c r="JC152" s="754">
        <v>0.996</v>
      </c>
      <c r="JD152" s="754">
        <v>0.996</v>
      </c>
      <c r="JE152" s="754">
        <v>0.996</v>
      </c>
      <c r="JF152" s="754">
        <v>0.996</v>
      </c>
      <c r="JG152" s="754">
        <v>0.996</v>
      </c>
      <c r="JH152" s="754">
        <v>0.996</v>
      </c>
      <c r="JI152" s="754">
        <v>0.996</v>
      </c>
      <c r="JJ152" s="754">
        <v>0.996</v>
      </c>
      <c r="JK152" s="754">
        <v>0.996</v>
      </c>
      <c r="JL152" s="754">
        <v>0.996</v>
      </c>
      <c r="JM152" s="754">
        <v>0.996</v>
      </c>
      <c r="JN152" s="754">
        <v>0.996</v>
      </c>
      <c r="JO152" s="754">
        <v>0.996</v>
      </c>
      <c r="JP152" s="754">
        <v>0.996</v>
      </c>
      <c r="JQ152" s="754">
        <v>0.996</v>
      </c>
      <c r="JR152" s="754">
        <v>0.994</v>
      </c>
      <c r="JS152" s="754">
        <v>0.984</v>
      </c>
      <c r="JT152" s="754">
        <v>0.977</v>
      </c>
      <c r="JU152" s="754">
        <v>0.969</v>
      </c>
      <c r="JV152" s="754">
        <v>0.954</v>
      </c>
      <c r="JW152" s="754">
        <v>0.927</v>
      </c>
      <c r="JX152" s="754">
        <v>0.859</v>
      </c>
      <c r="JY152" s="754">
        <v>0.784</v>
      </c>
      <c r="JZ152" s="754">
        <v>0.635</v>
      </c>
      <c r="KA152" s="754">
        <v>0.348</v>
      </c>
      <c r="KB152" s="754">
        <v>0.053</v>
      </c>
      <c r="KC152" s="754"/>
      <c r="KD152" s="754"/>
      <c r="KE152" s="754"/>
      <c r="KF152" s="754"/>
      <c r="KG152" s="754"/>
      <c r="KH152" s="754"/>
      <c r="KI152" s="754"/>
      <c r="KJ152" s="754"/>
      <c r="KK152" s="765" t="s">
        <v>281</v>
      </c>
      <c r="KL152" s="738">
        <v>60</v>
      </c>
      <c r="KM152" s="738">
        <v>272</v>
      </c>
      <c r="KN152" s="646" t="s">
        <v>339</v>
      </c>
      <c r="KO152" s="646" t="s">
        <v>1248</v>
      </c>
      <c r="KP152" s="680">
        <v>904313</v>
      </c>
      <c r="KQ152" s="766" t="s">
        <v>1251</v>
      </c>
      <c r="KR152" s="750" t="s">
        <v>1252</v>
      </c>
      <c r="KS152" s="769" t="s">
        <v>1253</v>
      </c>
      <c r="KT152" s="770" t="s">
        <v>1252</v>
      </c>
      <c r="KU152" s="766" t="s">
        <v>1254</v>
      </c>
      <c r="KV152" s="750">
        <v>904313</v>
      </c>
      <c r="KW152" s="771"/>
      <c r="KX152" s="750"/>
      <c r="KY152" s="769" t="s">
        <v>1255</v>
      </c>
      <c r="KZ152" s="770" t="s">
        <v>1252</v>
      </c>
    </row>
    <row r="153" s="628" customFormat="1" customHeight="1" spans="1:312">
      <c r="A153" s="682" t="s">
        <v>277</v>
      </c>
      <c r="B153" s="683">
        <v>149</v>
      </c>
      <c r="C153" s="689" t="s">
        <v>1256</v>
      </c>
      <c r="D153" s="680">
        <v>904313</v>
      </c>
      <c r="E153" s="685">
        <v>31.32</v>
      </c>
      <c r="F153" s="685">
        <v>31.08</v>
      </c>
      <c r="G153" s="688">
        <v>0.028857</v>
      </c>
      <c r="H153" s="686">
        <v>0.029295</v>
      </c>
      <c r="I153" s="696">
        <v>1.84663</v>
      </c>
      <c r="J153" s="696">
        <v>1.85408</v>
      </c>
      <c r="K153" s="696">
        <v>1.86274</v>
      </c>
      <c r="L153" s="696">
        <v>1.87166</v>
      </c>
      <c r="M153" s="696">
        <v>1.87348</v>
      </c>
      <c r="N153" s="696">
        <v>1.87504</v>
      </c>
      <c r="O153" s="696">
        <v>1.88144</v>
      </c>
      <c r="P153" s="696">
        <v>1.88615</v>
      </c>
      <c r="Q153" s="697">
        <v>1.89065</v>
      </c>
      <c r="R153" s="697">
        <v>1.89526</v>
      </c>
      <c r="S153" s="697">
        <v>1.89657</v>
      </c>
      <c r="T153" s="701">
        <v>1.89781</v>
      </c>
      <c r="U153" s="697">
        <v>1.90341</v>
      </c>
      <c r="V153" s="697">
        <v>1.90366</v>
      </c>
      <c r="W153" s="697">
        <v>1.91048</v>
      </c>
      <c r="X153" s="697">
        <v>1.92412</v>
      </c>
      <c r="Y153" s="697">
        <v>1.92587</v>
      </c>
      <c r="Z153" s="697">
        <v>1.94128</v>
      </c>
      <c r="AA153" s="697">
        <v>1.95645</v>
      </c>
      <c r="AB153" s="697">
        <v>1.98472</v>
      </c>
      <c r="AC153" s="704">
        <v>3.48854243</v>
      </c>
      <c r="AD153" s="705">
        <v>-0.0159982726</v>
      </c>
      <c r="AE153" s="705">
        <v>0.0428443509</v>
      </c>
      <c r="AF153" s="705">
        <v>0.00218903241</v>
      </c>
      <c r="AG153" s="705">
        <v>-0.000115672643</v>
      </c>
      <c r="AH153" s="705">
        <v>1.78697063e-5</v>
      </c>
      <c r="AI153" s="709">
        <v>0.2911</v>
      </c>
      <c r="AJ153" s="709">
        <v>0.2363</v>
      </c>
      <c r="AK153" s="709">
        <v>0.5947</v>
      </c>
      <c r="AL153" s="709">
        <v>0.242</v>
      </c>
      <c r="AM153" s="709">
        <v>0.2328</v>
      </c>
      <c r="AN153" s="709">
        <v>0.526</v>
      </c>
      <c r="AO153" s="709">
        <v>-0.0002</v>
      </c>
      <c r="AP153" s="709">
        <v>0.0031</v>
      </c>
      <c r="AQ153" s="709">
        <v>0.0088</v>
      </c>
      <c r="AR153" s="709">
        <v>0.0033</v>
      </c>
      <c r="AS153" s="714">
        <v>2.4</v>
      </c>
      <c r="AT153" s="714">
        <v>2.4</v>
      </c>
      <c r="AU153" s="714">
        <v>2.4</v>
      </c>
      <c r="AV153" s="714">
        <v>2.5</v>
      </c>
      <c r="AW153" s="714">
        <v>2.6</v>
      </c>
      <c r="AX153" s="714">
        <v>2.7</v>
      </c>
      <c r="AY153" s="714">
        <v>2.7</v>
      </c>
      <c r="AZ153" s="714">
        <v>2.9</v>
      </c>
      <c r="BA153" s="714">
        <v>3.1</v>
      </c>
      <c r="BB153" s="714">
        <v>3.3</v>
      </c>
      <c r="BC153" s="714">
        <v>3.5</v>
      </c>
      <c r="BD153" s="714">
        <v>2.8</v>
      </c>
      <c r="BE153" s="714">
        <v>2.9</v>
      </c>
      <c r="BF153" s="714">
        <v>3.1</v>
      </c>
      <c r="BG153" s="714">
        <v>3.3</v>
      </c>
      <c r="BH153" s="714">
        <v>3.4</v>
      </c>
      <c r="BI153" s="714">
        <v>3.4</v>
      </c>
      <c r="BJ153" s="714">
        <v>3.5</v>
      </c>
      <c r="BK153" s="714">
        <v>3.5</v>
      </c>
      <c r="BL153" s="714">
        <v>3.7</v>
      </c>
      <c r="BM153" s="714">
        <v>3.9</v>
      </c>
      <c r="BN153" s="714">
        <v>4</v>
      </c>
      <c r="BO153" s="714">
        <v>3.3</v>
      </c>
      <c r="BP153" s="714">
        <v>3.4</v>
      </c>
      <c r="BQ153" s="714">
        <v>3.5</v>
      </c>
      <c r="BR153" s="714">
        <v>3.6</v>
      </c>
      <c r="BS153" s="714">
        <v>3.7</v>
      </c>
      <c r="BT153" s="714">
        <v>3.8</v>
      </c>
      <c r="BU153" s="714">
        <v>4</v>
      </c>
      <c r="BV153" s="714">
        <v>4.1</v>
      </c>
      <c r="BW153" s="714">
        <v>4.2</v>
      </c>
      <c r="BX153" s="714">
        <v>4.3</v>
      </c>
      <c r="BY153" s="714">
        <v>4.4</v>
      </c>
      <c r="BZ153" s="714">
        <v>3.4</v>
      </c>
      <c r="CA153" s="714">
        <v>3.4</v>
      </c>
      <c r="CB153" s="714">
        <v>3.5</v>
      </c>
      <c r="CC153" s="714">
        <v>3.6</v>
      </c>
      <c r="CD153" s="714">
        <v>3.7</v>
      </c>
      <c r="CE153" s="714">
        <v>3.9</v>
      </c>
      <c r="CF153" s="714">
        <v>4</v>
      </c>
      <c r="CG153" s="714">
        <v>4.1</v>
      </c>
      <c r="CH153" s="714">
        <v>4.2</v>
      </c>
      <c r="CI153" s="714">
        <v>4.4</v>
      </c>
      <c r="CJ153" s="714">
        <v>4.4</v>
      </c>
      <c r="CK153" s="714">
        <v>3.4</v>
      </c>
      <c r="CL153" s="715">
        <v>3.5</v>
      </c>
      <c r="CM153" s="715">
        <v>3.6</v>
      </c>
      <c r="CN153" s="715">
        <v>3.7</v>
      </c>
      <c r="CO153" s="715">
        <v>3.8</v>
      </c>
      <c r="CP153" s="715">
        <v>3.9</v>
      </c>
      <c r="CQ153" s="715">
        <v>4.1</v>
      </c>
      <c r="CR153" s="714">
        <v>4.2</v>
      </c>
      <c r="CS153" s="714">
        <v>4.4</v>
      </c>
      <c r="CT153" s="714">
        <v>4.6</v>
      </c>
      <c r="CU153" s="714">
        <v>4.6</v>
      </c>
      <c r="CV153" s="714">
        <v>3.6</v>
      </c>
      <c r="CW153" s="715">
        <v>3.8</v>
      </c>
      <c r="CX153" s="715">
        <v>4</v>
      </c>
      <c r="CY153" s="715">
        <v>4.1</v>
      </c>
      <c r="CZ153" s="715">
        <v>4.2</v>
      </c>
      <c r="DA153" s="715">
        <v>4.3</v>
      </c>
      <c r="DB153" s="715">
        <v>4.6</v>
      </c>
      <c r="DC153" s="714">
        <v>4.8</v>
      </c>
      <c r="DD153" s="714">
        <v>4.9</v>
      </c>
      <c r="DE153" s="714">
        <v>5.1</v>
      </c>
      <c r="DF153" s="714">
        <v>5.3</v>
      </c>
      <c r="DG153" s="714">
        <v>4</v>
      </c>
      <c r="DH153" s="715">
        <v>4.3</v>
      </c>
      <c r="DI153" s="715">
        <v>4.5</v>
      </c>
      <c r="DJ153" s="715">
        <v>4.6</v>
      </c>
      <c r="DK153" s="715">
        <v>4.7</v>
      </c>
      <c r="DL153" s="715">
        <v>4.9</v>
      </c>
      <c r="DM153" s="715">
        <v>5.1</v>
      </c>
      <c r="DN153" s="714">
        <v>5.2</v>
      </c>
      <c r="DO153" s="714">
        <v>5.2</v>
      </c>
      <c r="DP153" s="714">
        <v>5.4</v>
      </c>
      <c r="DQ153" s="714">
        <v>5.6</v>
      </c>
      <c r="DR153" s="714">
        <v>5.1</v>
      </c>
      <c r="DS153" s="715">
        <v>5.2</v>
      </c>
      <c r="DT153" s="715">
        <v>5.4</v>
      </c>
      <c r="DU153" s="715">
        <v>5.6</v>
      </c>
      <c r="DV153" s="715">
        <v>5.9</v>
      </c>
      <c r="DW153" s="715">
        <v>6.2</v>
      </c>
      <c r="DX153" s="715">
        <v>6.5</v>
      </c>
      <c r="DY153" s="714">
        <v>6.8</v>
      </c>
      <c r="DZ153" s="714">
        <v>7</v>
      </c>
      <c r="EA153" s="714">
        <v>7.1</v>
      </c>
      <c r="EB153" s="714">
        <v>7.2</v>
      </c>
      <c r="EC153" s="714">
        <v>5.1</v>
      </c>
      <c r="ED153" s="715">
        <v>5.3</v>
      </c>
      <c r="EE153" s="715">
        <v>5.5</v>
      </c>
      <c r="EF153" s="715">
        <v>5.7</v>
      </c>
      <c r="EG153" s="715">
        <v>6</v>
      </c>
      <c r="EH153" s="715">
        <v>6.2</v>
      </c>
      <c r="EI153" s="715">
        <v>6.5</v>
      </c>
      <c r="EJ153" s="714">
        <v>6.8</v>
      </c>
      <c r="EK153" s="714">
        <v>7</v>
      </c>
      <c r="EL153" s="714">
        <v>7.2</v>
      </c>
      <c r="EM153" s="714">
        <v>7.3</v>
      </c>
      <c r="EN153" s="714">
        <v>6.4</v>
      </c>
      <c r="EO153" s="715">
        <v>6.5</v>
      </c>
      <c r="EP153" s="715">
        <v>6.8</v>
      </c>
      <c r="EQ153" s="715">
        <v>7.1</v>
      </c>
      <c r="ER153" s="715">
        <v>7.5</v>
      </c>
      <c r="ES153" s="715">
        <v>7.7</v>
      </c>
      <c r="ET153" s="715">
        <v>8</v>
      </c>
      <c r="EU153" s="714">
        <v>8.2</v>
      </c>
      <c r="EV153" s="714">
        <v>8.3</v>
      </c>
      <c r="EW153" s="714">
        <v>8.4</v>
      </c>
      <c r="EX153" s="714">
        <v>8.6</v>
      </c>
      <c r="EY153" s="714">
        <v>0.3</v>
      </c>
      <c r="EZ153" s="715">
        <v>0.9</v>
      </c>
      <c r="FA153" s="715">
        <v>1.4</v>
      </c>
      <c r="FB153" s="715">
        <v>1.8</v>
      </c>
      <c r="FC153" s="715">
        <v>2.1</v>
      </c>
      <c r="FD153" s="715">
        <v>2.4</v>
      </c>
      <c r="FE153" s="715">
        <v>2.8</v>
      </c>
      <c r="FF153" s="714">
        <v>3.1</v>
      </c>
      <c r="FG153" s="714">
        <v>3.4</v>
      </c>
      <c r="FH153" s="714">
        <v>3.7</v>
      </c>
      <c r="FI153" s="714">
        <v>3.8</v>
      </c>
      <c r="FJ153" s="723">
        <v>6.13e-7</v>
      </c>
      <c r="FK153" s="723">
        <v>1.29e-8</v>
      </c>
      <c r="FL153" s="723">
        <v>-2.38e-11</v>
      </c>
      <c r="FM153" s="723">
        <v>7.62e-7</v>
      </c>
      <c r="FN153" s="723">
        <v>6.31e-10</v>
      </c>
      <c r="FO153" s="723">
        <v>0.284</v>
      </c>
      <c r="FP153" s="729">
        <v>1</v>
      </c>
      <c r="FQ153" s="729">
        <v>2</v>
      </c>
      <c r="FR153" s="729">
        <v>1</v>
      </c>
      <c r="FS153" s="729">
        <v>2</v>
      </c>
      <c r="FT153" s="729">
        <v>1</v>
      </c>
      <c r="FU153" s="729">
        <v>1</v>
      </c>
      <c r="FV153" s="681">
        <v>1</v>
      </c>
      <c r="FW153" s="729"/>
      <c r="FX153" s="729"/>
      <c r="FY153" s="729"/>
      <c r="FZ153" s="746">
        <v>679</v>
      </c>
      <c r="GA153" s="746">
        <v>707</v>
      </c>
      <c r="GB153" s="681">
        <v>595</v>
      </c>
      <c r="GC153" s="681">
        <v>643</v>
      </c>
      <c r="GD153" s="747">
        <v>1.04</v>
      </c>
      <c r="GE153" s="729"/>
      <c r="GF153" s="681">
        <v>66</v>
      </c>
      <c r="GG153" s="681">
        <v>82</v>
      </c>
      <c r="GH153" s="681">
        <v>59</v>
      </c>
      <c r="GI153" s="681">
        <v>61</v>
      </c>
      <c r="GJ153" s="681">
        <v>62</v>
      </c>
      <c r="GK153" s="681">
        <v>64</v>
      </c>
      <c r="GL153" s="681">
        <v>65</v>
      </c>
      <c r="GM153" s="681">
        <v>66</v>
      </c>
      <c r="GN153" s="681">
        <v>66</v>
      </c>
      <c r="GO153" s="681">
        <v>67</v>
      </c>
      <c r="GP153" s="681">
        <v>68</v>
      </c>
      <c r="GQ153" s="681">
        <v>68</v>
      </c>
      <c r="GR153" s="681">
        <v>69</v>
      </c>
      <c r="GS153" s="681">
        <v>70</v>
      </c>
      <c r="GT153" s="681">
        <v>70</v>
      </c>
      <c r="GU153" s="681">
        <v>71</v>
      </c>
      <c r="GV153" s="681">
        <v>71</v>
      </c>
      <c r="GW153" s="681">
        <v>73</v>
      </c>
      <c r="GX153" s="681">
        <v>74</v>
      </c>
      <c r="GY153" s="681">
        <v>75</v>
      </c>
      <c r="GZ153" s="681">
        <v>76</v>
      </c>
      <c r="HA153" s="681">
        <v>77</v>
      </c>
      <c r="HB153" s="681">
        <v>77</v>
      </c>
      <c r="HC153" s="681"/>
      <c r="HD153" s="750">
        <v>185</v>
      </c>
      <c r="HE153" s="681"/>
      <c r="HF153" s="681">
        <v>640</v>
      </c>
      <c r="HG153" s="681">
        <v>80</v>
      </c>
      <c r="HH153" s="714">
        <v>117.6</v>
      </c>
      <c r="HI153" s="714">
        <v>45.6</v>
      </c>
      <c r="HJ153" s="753">
        <v>0.288</v>
      </c>
      <c r="HK153" s="681">
        <v>63</v>
      </c>
      <c r="HL153" s="685">
        <v>2.01</v>
      </c>
      <c r="HM153" s="747">
        <v>4.54</v>
      </c>
      <c r="HN153" s="729" t="s">
        <v>1257</v>
      </c>
      <c r="HO153" s="729" t="s">
        <v>1258</v>
      </c>
      <c r="HP153" s="714">
        <v>-0.4</v>
      </c>
      <c r="HQ153" s="753">
        <v>0.867</v>
      </c>
      <c r="HR153" s="753">
        <v>0.947</v>
      </c>
      <c r="HS153" s="753">
        <v>0.982</v>
      </c>
      <c r="HT153" s="753">
        <v>0.992</v>
      </c>
      <c r="HU153" s="753">
        <v>0.997</v>
      </c>
      <c r="HV153" s="753">
        <v>0.998</v>
      </c>
      <c r="HW153" s="753">
        <v>0.999</v>
      </c>
      <c r="HX153" s="753">
        <v>0.999</v>
      </c>
      <c r="HY153" s="753">
        <v>0.999</v>
      </c>
      <c r="HZ153" s="753">
        <v>0.999</v>
      </c>
      <c r="IA153" s="753">
        <v>0.999</v>
      </c>
      <c r="IB153" s="753">
        <v>0.999</v>
      </c>
      <c r="IC153" s="753">
        <v>0.999</v>
      </c>
      <c r="ID153" s="753">
        <v>0.999</v>
      </c>
      <c r="IE153" s="753">
        <v>0.999</v>
      </c>
      <c r="IF153" s="753">
        <v>0.999</v>
      </c>
      <c r="IG153" s="753">
        <v>0.998</v>
      </c>
      <c r="IH153" s="753">
        <v>0.997</v>
      </c>
      <c r="II153" s="753">
        <v>0.994</v>
      </c>
      <c r="IJ153" s="753">
        <v>0.991</v>
      </c>
      <c r="IK153" s="753">
        <v>0.987</v>
      </c>
      <c r="IL153" s="753">
        <v>0.982</v>
      </c>
      <c r="IM153" s="753">
        <v>0.971</v>
      </c>
      <c r="IN153" s="753">
        <v>0.941</v>
      </c>
      <c r="IO153" s="753">
        <v>0.904</v>
      </c>
      <c r="IP153" s="753">
        <v>0.817</v>
      </c>
      <c r="IQ153" s="753">
        <v>0.611</v>
      </c>
      <c r="IR153" s="753">
        <v>0.268</v>
      </c>
      <c r="IS153" s="753"/>
      <c r="IT153" s="753"/>
      <c r="IU153" s="753"/>
      <c r="IV153" s="753"/>
      <c r="IW153" s="753"/>
      <c r="IX153" s="753"/>
      <c r="IY153" s="753"/>
      <c r="IZ153" s="753"/>
      <c r="JA153" s="754">
        <v>0.751</v>
      </c>
      <c r="JB153" s="754">
        <v>0.897</v>
      </c>
      <c r="JC153" s="754">
        <v>0.964</v>
      </c>
      <c r="JD153" s="754">
        <v>0.984</v>
      </c>
      <c r="JE153" s="754">
        <v>0.995</v>
      </c>
      <c r="JF153" s="754">
        <v>0.996</v>
      </c>
      <c r="JG153" s="754">
        <v>0.997</v>
      </c>
      <c r="JH153" s="754">
        <v>0.998</v>
      </c>
      <c r="JI153" s="754">
        <v>0.998</v>
      </c>
      <c r="JJ153" s="754">
        <v>0.998</v>
      </c>
      <c r="JK153" s="754">
        <v>0.998</v>
      </c>
      <c r="JL153" s="754">
        <v>0.998</v>
      </c>
      <c r="JM153" s="754">
        <v>0.998</v>
      </c>
      <c r="JN153" s="754">
        <v>0.998</v>
      </c>
      <c r="JO153" s="754">
        <v>0.998</v>
      </c>
      <c r="JP153" s="754">
        <v>0.998</v>
      </c>
      <c r="JQ153" s="754">
        <v>0.997</v>
      </c>
      <c r="JR153" s="754">
        <v>0.995</v>
      </c>
      <c r="JS153" s="754">
        <v>0.988</v>
      </c>
      <c r="JT153" s="754">
        <v>0.983</v>
      </c>
      <c r="JU153" s="754">
        <v>0.975</v>
      </c>
      <c r="JV153" s="754">
        <v>0.964</v>
      </c>
      <c r="JW153" s="754">
        <v>0.942</v>
      </c>
      <c r="JX153" s="754">
        <v>0.886</v>
      </c>
      <c r="JY153" s="754">
        <v>0.817</v>
      </c>
      <c r="JZ153" s="754">
        <v>0.668</v>
      </c>
      <c r="KA153" s="754">
        <v>0.374</v>
      </c>
      <c r="KB153" s="754">
        <v>0.073</v>
      </c>
      <c r="KC153" s="754"/>
      <c r="KD153" s="754"/>
      <c r="KE153" s="754"/>
      <c r="KF153" s="754"/>
      <c r="KG153" s="754"/>
      <c r="KH153" s="754"/>
      <c r="KI153" s="754"/>
      <c r="KJ153" s="754"/>
      <c r="KK153" s="765" t="s">
        <v>281</v>
      </c>
      <c r="KL153" s="738">
        <v>68</v>
      </c>
      <c r="KM153" s="738">
        <v>309</v>
      </c>
      <c r="KN153" s="646" t="s">
        <v>282</v>
      </c>
      <c r="KO153" s="646" t="s">
        <v>1256</v>
      </c>
      <c r="KP153" s="680">
        <v>904313</v>
      </c>
      <c r="KQ153" s="766"/>
      <c r="KR153" s="750"/>
      <c r="KS153" s="769"/>
      <c r="KT153" s="770"/>
      <c r="KU153" s="766"/>
      <c r="KV153" s="750"/>
      <c r="KW153" s="771"/>
      <c r="KX153" s="750"/>
      <c r="KY153" s="769"/>
      <c r="KZ153" s="770"/>
    </row>
    <row r="154" s="628" customFormat="1" customHeight="1" spans="1:312">
      <c r="A154" s="682" t="s">
        <v>277</v>
      </c>
      <c r="B154" s="683">
        <v>150</v>
      </c>
      <c r="C154" s="689" t="s">
        <v>1259</v>
      </c>
      <c r="D154" s="680">
        <v>904313</v>
      </c>
      <c r="E154" s="685">
        <v>31.32</v>
      </c>
      <c r="F154" s="685">
        <v>31.08</v>
      </c>
      <c r="G154" s="688">
        <v>0.028857</v>
      </c>
      <c r="H154" s="686">
        <v>0.029295</v>
      </c>
      <c r="I154" s="696"/>
      <c r="J154" s="696"/>
      <c r="K154" s="696"/>
      <c r="L154" s="696">
        <v>1.87171</v>
      </c>
      <c r="M154" s="696">
        <v>1.87351</v>
      </c>
      <c r="N154" s="696">
        <v>1.87507</v>
      </c>
      <c r="O154" s="696">
        <v>1.88146</v>
      </c>
      <c r="P154" s="696">
        <v>1.88615</v>
      </c>
      <c r="Q154" s="697">
        <v>1.89064</v>
      </c>
      <c r="R154" s="697">
        <v>1.89526</v>
      </c>
      <c r="S154" s="697">
        <v>1.89657</v>
      </c>
      <c r="T154" s="701">
        <v>1.89779</v>
      </c>
      <c r="U154" s="697">
        <v>1.9034</v>
      </c>
      <c r="V154" s="697">
        <v>1.90366</v>
      </c>
      <c r="W154" s="697">
        <v>1.91048</v>
      </c>
      <c r="X154" s="697">
        <v>1.92412</v>
      </c>
      <c r="Y154" s="697">
        <v>1.92587</v>
      </c>
      <c r="Z154" s="697">
        <v>1.94134</v>
      </c>
      <c r="AA154" s="697">
        <v>1.95653</v>
      </c>
      <c r="AB154" s="697">
        <v>1.98473</v>
      </c>
      <c r="AC154" s="704">
        <v>3.48732094</v>
      </c>
      <c r="AD154" s="705">
        <v>-0.0153300569</v>
      </c>
      <c r="AE154" s="705">
        <v>0.0438552114</v>
      </c>
      <c r="AF154" s="705">
        <v>0.00176295737</v>
      </c>
      <c r="AG154" s="705">
        <v>-3.48293322e-5</v>
      </c>
      <c r="AH154" s="705">
        <v>1.26414315e-5</v>
      </c>
      <c r="AI154" s="709">
        <v>0.2911</v>
      </c>
      <c r="AJ154" s="709">
        <v>0.2363</v>
      </c>
      <c r="AK154" s="709">
        <v>0.5967</v>
      </c>
      <c r="AL154" s="709">
        <v>0.242</v>
      </c>
      <c r="AM154" s="709">
        <v>0.2328</v>
      </c>
      <c r="AN154" s="709">
        <v>0.5281</v>
      </c>
      <c r="AO154" s="709">
        <v>-0.0002</v>
      </c>
      <c r="AP154" s="709">
        <v>0.0052</v>
      </c>
      <c r="AQ154" s="709">
        <v>0.0078</v>
      </c>
      <c r="AR154" s="709">
        <v>0.0027</v>
      </c>
      <c r="AS154" s="714">
        <v>1</v>
      </c>
      <c r="AT154" s="714">
        <v>1</v>
      </c>
      <c r="AU154" s="714">
        <v>1.2</v>
      </c>
      <c r="AV154" s="714">
        <v>1.2</v>
      </c>
      <c r="AW154" s="714">
        <v>1.2</v>
      </c>
      <c r="AX154" s="714">
        <v>1.3</v>
      </c>
      <c r="AY154" s="714">
        <v>1.5</v>
      </c>
      <c r="AZ154" s="714">
        <v>1.6</v>
      </c>
      <c r="BA154" s="714">
        <v>1.7</v>
      </c>
      <c r="BB154" s="714">
        <v>1.8</v>
      </c>
      <c r="BC154" s="714">
        <v>1.9</v>
      </c>
      <c r="BD154" s="714">
        <v>1.2</v>
      </c>
      <c r="BE154" s="714">
        <v>1.3</v>
      </c>
      <c r="BF154" s="714">
        <v>1.4</v>
      </c>
      <c r="BG154" s="714">
        <v>1.6</v>
      </c>
      <c r="BH154" s="714">
        <v>1.7</v>
      </c>
      <c r="BI154" s="714">
        <v>1.8</v>
      </c>
      <c r="BJ154" s="714">
        <v>2</v>
      </c>
      <c r="BK154" s="714">
        <v>2.1</v>
      </c>
      <c r="BL154" s="714">
        <v>2.2</v>
      </c>
      <c r="BM154" s="714">
        <v>2.4</v>
      </c>
      <c r="BN154" s="714">
        <v>2.6</v>
      </c>
      <c r="BO154" s="714">
        <v>1.6</v>
      </c>
      <c r="BP154" s="714">
        <v>1.7</v>
      </c>
      <c r="BQ154" s="714">
        <v>1.8</v>
      </c>
      <c r="BR154" s="714">
        <v>2</v>
      </c>
      <c r="BS154" s="714">
        <v>2.1</v>
      </c>
      <c r="BT154" s="714">
        <v>2.1</v>
      </c>
      <c r="BU154" s="714">
        <v>2.4</v>
      </c>
      <c r="BV154" s="714">
        <v>2.4</v>
      </c>
      <c r="BW154" s="714">
        <v>2.5</v>
      </c>
      <c r="BX154" s="714">
        <v>2.7</v>
      </c>
      <c r="BY154" s="714">
        <v>2.9</v>
      </c>
      <c r="BZ154" s="714">
        <v>1.7</v>
      </c>
      <c r="CA154" s="714">
        <v>1.8</v>
      </c>
      <c r="CB154" s="714">
        <v>1.9</v>
      </c>
      <c r="CC154" s="714">
        <v>2.1</v>
      </c>
      <c r="CD154" s="714">
        <v>2.2</v>
      </c>
      <c r="CE154" s="714">
        <v>2.2</v>
      </c>
      <c r="CF154" s="714">
        <v>2.5</v>
      </c>
      <c r="CG154" s="714">
        <v>2.6</v>
      </c>
      <c r="CH154" s="714">
        <v>2.6</v>
      </c>
      <c r="CI154" s="714">
        <v>2.7</v>
      </c>
      <c r="CJ154" s="714">
        <v>3</v>
      </c>
      <c r="CK154" s="714">
        <v>1.8</v>
      </c>
      <c r="CL154" s="715">
        <v>1.9</v>
      </c>
      <c r="CM154" s="715">
        <v>2</v>
      </c>
      <c r="CN154" s="715">
        <v>2.2</v>
      </c>
      <c r="CO154" s="715">
        <v>2.3</v>
      </c>
      <c r="CP154" s="715">
        <v>2.4</v>
      </c>
      <c r="CQ154" s="715">
        <v>2.6</v>
      </c>
      <c r="CR154" s="714">
        <v>2.7</v>
      </c>
      <c r="CS154" s="714">
        <v>2.7</v>
      </c>
      <c r="CT154" s="714">
        <v>2.9</v>
      </c>
      <c r="CU154" s="714">
        <v>3.2</v>
      </c>
      <c r="CV154" s="714">
        <v>1.9</v>
      </c>
      <c r="CW154" s="715">
        <v>2.2</v>
      </c>
      <c r="CX154" s="715">
        <v>2.4</v>
      </c>
      <c r="CY154" s="715">
        <v>2.5</v>
      </c>
      <c r="CZ154" s="715">
        <v>2.7</v>
      </c>
      <c r="DA154" s="715">
        <v>2.8</v>
      </c>
      <c r="DB154" s="715">
        <v>3</v>
      </c>
      <c r="DC154" s="714">
        <v>3.2</v>
      </c>
      <c r="DD154" s="714">
        <v>3.4</v>
      </c>
      <c r="DE154" s="714">
        <v>3.4</v>
      </c>
      <c r="DF154" s="714">
        <v>3.6</v>
      </c>
      <c r="DG154" s="714">
        <v>2.3</v>
      </c>
      <c r="DH154" s="715">
        <v>2.6</v>
      </c>
      <c r="DI154" s="715">
        <v>2.7</v>
      </c>
      <c r="DJ154" s="715">
        <v>2.9</v>
      </c>
      <c r="DK154" s="715">
        <v>3.1</v>
      </c>
      <c r="DL154" s="715">
        <v>3.3</v>
      </c>
      <c r="DM154" s="715">
        <v>3.5</v>
      </c>
      <c r="DN154" s="714">
        <v>3.6</v>
      </c>
      <c r="DO154" s="714">
        <v>3.7</v>
      </c>
      <c r="DP154" s="714">
        <v>3.8</v>
      </c>
      <c r="DQ154" s="714">
        <v>4</v>
      </c>
      <c r="DR154" s="714">
        <v>2.5</v>
      </c>
      <c r="DS154" s="715">
        <v>2.9</v>
      </c>
      <c r="DT154" s="715">
        <v>3</v>
      </c>
      <c r="DU154" s="715">
        <v>3.1</v>
      </c>
      <c r="DV154" s="715">
        <v>3.3</v>
      </c>
      <c r="DW154" s="715">
        <v>3.5</v>
      </c>
      <c r="DX154" s="715">
        <v>3.8</v>
      </c>
      <c r="DY154" s="714">
        <v>3.9</v>
      </c>
      <c r="DZ154" s="714">
        <v>4</v>
      </c>
      <c r="EA154" s="714">
        <v>4.1</v>
      </c>
      <c r="EB154" s="714">
        <v>4.3</v>
      </c>
      <c r="EC154" s="714">
        <v>2.6</v>
      </c>
      <c r="ED154" s="715">
        <v>2.9</v>
      </c>
      <c r="EE154" s="715">
        <v>3.1</v>
      </c>
      <c r="EF154" s="715">
        <v>3.2</v>
      </c>
      <c r="EG154" s="715">
        <v>3.4</v>
      </c>
      <c r="EH154" s="715">
        <v>3.6</v>
      </c>
      <c r="EI154" s="715">
        <v>3.9</v>
      </c>
      <c r="EJ154" s="714">
        <v>4</v>
      </c>
      <c r="EK154" s="714">
        <v>4.1</v>
      </c>
      <c r="EL154" s="714">
        <v>4.2</v>
      </c>
      <c r="EM154" s="714">
        <v>4.4</v>
      </c>
      <c r="EN154" s="714">
        <v>5.2</v>
      </c>
      <c r="EO154" s="715">
        <v>5.4</v>
      </c>
      <c r="EP154" s="715">
        <v>5.5</v>
      </c>
      <c r="EQ154" s="715">
        <v>5.8</v>
      </c>
      <c r="ER154" s="715">
        <v>6</v>
      </c>
      <c r="ES154" s="715">
        <v>6.1</v>
      </c>
      <c r="ET154" s="715">
        <v>6.5</v>
      </c>
      <c r="EU154" s="714">
        <v>6.7</v>
      </c>
      <c r="EV154" s="714">
        <v>6.9</v>
      </c>
      <c r="EW154" s="714">
        <v>7.1</v>
      </c>
      <c r="EX154" s="714">
        <v>7.4</v>
      </c>
      <c r="EY154" s="714">
        <v>-1.3</v>
      </c>
      <c r="EZ154" s="715">
        <v>-0.7</v>
      </c>
      <c r="FA154" s="715">
        <v>-0.2</v>
      </c>
      <c r="FB154" s="715">
        <v>0.3</v>
      </c>
      <c r="FC154" s="715">
        <v>0.6</v>
      </c>
      <c r="FD154" s="715">
        <v>0.9</v>
      </c>
      <c r="FE154" s="715">
        <v>1.3</v>
      </c>
      <c r="FF154" s="714">
        <v>1.5</v>
      </c>
      <c r="FG154" s="714">
        <v>1.7</v>
      </c>
      <c r="FH154" s="714">
        <v>2</v>
      </c>
      <c r="FI154" s="714">
        <v>2.3</v>
      </c>
      <c r="FJ154" s="723">
        <v>-5.63e-7</v>
      </c>
      <c r="FK154" s="723">
        <v>1.42e-8</v>
      </c>
      <c r="FL154" s="723">
        <v>-2.54e-11</v>
      </c>
      <c r="FM154" s="723">
        <v>2.54e-7</v>
      </c>
      <c r="FN154" s="723">
        <v>1.45e-10</v>
      </c>
      <c r="FO154" s="723">
        <v>0.385</v>
      </c>
      <c r="FP154" s="729">
        <v>1</v>
      </c>
      <c r="FQ154" s="729">
        <v>1</v>
      </c>
      <c r="FR154" s="729">
        <v>1</v>
      </c>
      <c r="FS154" s="729">
        <v>2</v>
      </c>
      <c r="FT154" s="729">
        <v>1</v>
      </c>
      <c r="FU154" s="729">
        <v>1</v>
      </c>
      <c r="FV154" s="681">
        <v>1</v>
      </c>
      <c r="FW154" s="729"/>
      <c r="FX154" s="729"/>
      <c r="FY154" s="729"/>
      <c r="FZ154" s="746">
        <v>684</v>
      </c>
      <c r="GA154" s="746">
        <v>708</v>
      </c>
      <c r="GB154" s="681">
        <v>560</v>
      </c>
      <c r="GC154" s="681">
        <v>648</v>
      </c>
      <c r="GD154" s="747">
        <v>0.91</v>
      </c>
      <c r="GE154" s="729"/>
      <c r="GF154" s="681">
        <v>68</v>
      </c>
      <c r="GG154" s="681">
        <v>85</v>
      </c>
      <c r="GH154" s="681">
        <v>62</v>
      </c>
      <c r="GI154" s="681">
        <v>63</v>
      </c>
      <c r="GJ154" s="681">
        <v>64</v>
      </c>
      <c r="GK154" s="681">
        <v>65</v>
      </c>
      <c r="GL154" s="681">
        <v>67</v>
      </c>
      <c r="GM154" s="681">
        <v>68</v>
      </c>
      <c r="GN154" s="681">
        <v>68</v>
      </c>
      <c r="GO154" s="681">
        <v>70</v>
      </c>
      <c r="GP154" s="681">
        <v>70</v>
      </c>
      <c r="GQ154" s="681">
        <v>71</v>
      </c>
      <c r="GR154" s="681">
        <v>73</v>
      </c>
      <c r="GS154" s="681">
        <v>73</v>
      </c>
      <c r="GT154" s="681">
        <v>74</v>
      </c>
      <c r="GU154" s="681">
        <v>75</v>
      </c>
      <c r="GV154" s="681">
        <v>76</v>
      </c>
      <c r="GW154" s="681">
        <v>76</v>
      </c>
      <c r="GX154" s="681">
        <v>79</v>
      </c>
      <c r="GY154" s="681">
        <v>79</v>
      </c>
      <c r="GZ154" s="681">
        <v>80</v>
      </c>
      <c r="HA154" s="681">
        <v>81</v>
      </c>
      <c r="HB154" s="681">
        <v>83</v>
      </c>
      <c r="HC154" s="681">
        <v>183</v>
      </c>
      <c r="HD154" s="750">
        <v>181</v>
      </c>
      <c r="HE154" s="681">
        <v>185</v>
      </c>
      <c r="HF154" s="681">
        <v>690</v>
      </c>
      <c r="HG154" s="681">
        <v>131</v>
      </c>
      <c r="HH154" s="714">
        <v>121.8</v>
      </c>
      <c r="HI154" s="714">
        <v>46.7</v>
      </c>
      <c r="HJ154" s="753">
        <v>0.302</v>
      </c>
      <c r="HK154" s="681">
        <v>99</v>
      </c>
      <c r="HL154" s="685">
        <v>1.2</v>
      </c>
      <c r="HM154" s="747">
        <v>4.53</v>
      </c>
      <c r="HN154" s="729" t="s">
        <v>1260</v>
      </c>
      <c r="HO154" s="729" t="s">
        <v>1261</v>
      </c>
      <c r="HP154" s="714">
        <v>-0.9</v>
      </c>
      <c r="HQ154" s="753">
        <v>0.871</v>
      </c>
      <c r="HR154" s="753">
        <v>0.959</v>
      </c>
      <c r="HS154" s="753">
        <v>0.983</v>
      </c>
      <c r="HT154" s="753">
        <v>0.994</v>
      </c>
      <c r="HU154" s="753">
        <v>0.998</v>
      </c>
      <c r="HV154" s="753">
        <v>0.999</v>
      </c>
      <c r="HW154" s="753">
        <v>0.999</v>
      </c>
      <c r="HX154" s="753">
        <v>0.999</v>
      </c>
      <c r="HY154" s="753">
        <v>0.999</v>
      </c>
      <c r="HZ154" s="753">
        <v>0.999</v>
      </c>
      <c r="IA154" s="753">
        <v>0.999</v>
      </c>
      <c r="IB154" s="753">
        <v>0.999</v>
      </c>
      <c r="IC154" s="753">
        <v>0.999</v>
      </c>
      <c r="ID154" s="753">
        <v>0.999</v>
      </c>
      <c r="IE154" s="753">
        <v>0.999</v>
      </c>
      <c r="IF154" s="753">
        <v>0.999</v>
      </c>
      <c r="IG154" s="753">
        <v>0.999</v>
      </c>
      <c r="IH154" s="753">
        <v>0.998</v>
      </c>
      <c r="II154" s="753">
        <v>0.993</v>
      </c>
      <c r="IJ154" s="753">
        <v>0.99</v>
      </c>
      <c r="IK154" s="753">
        <v>0.984</v>
      </c>
      <c r="IL154" s="753">
        <v>0.974</v>
      </c>
      <c r="IM154" s="753">
        <v>0.954</v>
      </c>
      <c r="IN154" s="753">
        <v>0.901</v>
      </c>
      <c r="IO154" s="753">
        <v>0.839</v>
      </c>
      <c r="IP154" s="753">
        <v>0.713</v>
      </c>
      <c r="IQ154" s="753">
        <v>0.471</v>
      </c>
      <c r="IR154" s="753">
        <v>0.16</v>
      </c>
      <c r="IS154" s="753"/>
      <c r="IT154" s="753"/>
      <c r="IU154" s="753"/>
      <c r="IV154" s="753"/>
      <c r="IW154" s="753"/>
      <c r="IX154" s="753"/>
      <c r="IY154" s="753"/>
      <c r="IZ154" s="753"/>
      <c r="JA154" s="754">
        <v>0.758</v>
      </c>
      <c r="JB154" s="754">
        <v>0.919</v>
      </c>
      <c r="JC154" s="754">
        <v>0.966</v>
      </c>
      <c r="JD154" s="754">
        <v>0.988</v>
      </c>
      <c r="JE154" s="754">
        <v>0.996</v>
      </c>
      <c r="JF154" s="754">
        <v>0.998</v>
      </c>
      <c r="JG154" s="754">
        <v>0.998</v>
      </c>
      <c r="JH154" s="754">
        <v>0.998</v>
      </c>
      <c r="JI154" s="754">
        <v>0.998</v>
      </c>
      <c r="JJ154" s="754">
        <v>0.998</v>
      </c>
      <c r="JK154" s="754">
        <v>0.998</v>
      </c>
      <c r="JL154" s="754">
        <v>0.998</v>
      </c>
      <c r="JM154" s="754">
        <v>0.998</v>
      </c>
      <c r="JN154" s="754">
        <v>0.998</v>
      </c>
      <c r="JO154" s="754">
        <v>0.998</v>
      </c>
      <c r="JP154" s="754">
        <v>0.998</v>
      </c>
      <c r="JQ154" s="754">
        <v>0.997</v>
      </c>
      <c r="JR154" s="754">
        <v>0.995</v>
      </c>
      <c r="JS154" s="754">
        <v>0.986</v>
      </c>
      <c r="JT154" s="754">
        <v>0.98</v>
      </c>
      <c r="JU154" s="754">
        <v>0.969</v>
      </c>
      <c r="JV154" s="754">
        <v>0.949</v>
      </c>
      <c r="JW154" s="754">
        <v>0.91</v>
      </c>
      <c r="JX154" s="754">
        <v>0.812</v>
      </c>
      <c r="JY154" s="754">
        <v>0.704</v>
      </c>
      <c r="JZ154" s="754">
        <v>0.508</v>
      </c>
      <c r="KA154" s="754">
        <v>0.222</v>
      </c>
      <c r="KB154" s="754">
        <v>0.026</v>
      </c>
      <c r="KC154" s="754"/>
      <c r="KD154" s="754"/>
      <c r="KE154" s="754"/>
      <c r="KF154" s="754"/>
      <c r="KG154" s="754"/>
      <c r="KH154" s="754"/>
      <c r="KI154" s="754"/>
      <c r="KJ154" s="754"/>
      <c r="KK154" s="765" t="s">
        <v>281</v>
      </c>
      <c r="KL154" s="738">
        <v>55</v>
      </c>
      <c r="KM154" s="738">
        <v>249</v>
      </c>
      <c r="KN154" s="646" t="s">
        <v>282</v>
      </c>
      <c r="KO154" s="646" t="s">
        <v>1259</v>
      </c>
      <c r="KP154" s="680">
        <v>904313</v>
      </c>
      <c r="KQ154" s="766" t="s">
        <v>1251</v>
      </c>
      <c r="KR154" s="750" t="s">
        <v>1252</v>
      </c>
      <c r="KS154" s="769" t="s">
        <v>1253</v>
      </c>
      <c r="KT154" s="770" t="s">
        <v>1252</v>
      </c>
      <c r="KU154" s="766" t="s">
        <v>1262</v>
      </c>
      <c r="KV154" s="750">
        <v>904313</v>
      </c>
      <c r="KW154" s="771"/>
      <c r="KX154" s="750"/>
      <c r="KY154" s="769" t="s">
        <v>1255</v>
      </c>
      <c r="KZ154" s="770" t="s">
        <v>1252</v>
      </c>
    </row>
    <row r="155" s="628" customFormat="1" customHeight="1" spans="1:312">
      <c r="A155" s="682" t="s">
        <v>277</v>
      </c>
      <c r="B155" s="683">
        <v>151</v>
      </c>
      <c r="C155" s="684" t="s">
        <v>1208</v>
      </c>
      <c r="D155" s="687">
        <v>901313</v>
      </c>
      <c r="E155" s="685">
        <v>31.25</v>
      </c>
      <c r="F155" s="685">
        <v>31.02</v>
      </c>
      <c r="G155" s="688">
        <v>0.02882</v>
      </c>
      <c r="H155" s="686">
        <v>0.02925</v>
      </c>
      <c r="I155" s="696"/>
      <c r="J155" s="696"/>
      <c r="K155" s="696"/>
      <c r="L155" s="696">
        <v>1.86868</v>
      </c>
      <c r="M155" s="696">
        <v>1.87048</v>
      </c>
      <c r="N155" s="696">
        <v>1.87202</v>
      </c>
      <c r="O155" s="696">
        <v>1.87839</v>
      </c>
      <c r="P155" s="696">
        <v>1.88308</v>
      </c>
      <c r="Q155" s="696">
        <v>1.88756</v>
      </c>
      <c r="R155" s="697">
        <v>1.89216</v>
      </c>
      <c r="S155" s="697">
        <v>1.89347</v>
      </c>
      <c r="T155" s="697">
        <v>1.89471</v>
      </c>
      <c r="U155" s="701">
        <v>1.90031</v>
      </c>
      <c r="V155" s="697">
        <v>1.90056</v>
      </c>
      <c r="W155" s="697">
        <v>1.90737</v>
      </c>
      <c r="X155" s="697">
        <v>1.92098</v>
      </c>
      <c r="Y155" s="697">
        <v>1.92272</v>
      </c>
      <c r="Z155" s="697">
        <v>1.9381</v>
      </c>
      <c r="AA155" s="697">
        <v>1.95321</v>
      </c>
      <c r="AB155" s="697">
        <v>1.98128</v>
      </c>
      <c r="AC155" s="704">
        <v>3.47712019</v>
      </c>
      <c r="AD155" s="705">
        <v>-0.0155817118</v>
      </c>
      <c r="AE155" s="705">
        <v>0.0424591568</v>
      </c>
      <c r="AF155" s="705">
        <v>0.00229943116</v>
      </c>
      <c r="AG155" s="705">
        <v>-0.000131276838</v>
      </c>
      <c r="AH155" s="705">
        <v>1.81883661e-5</v>
      </c>
      <c r="AI155" s="709">
        <v>0.2915</v>
      </c>
      <c r="AJ155" s="709">
        <v>0.2363</v>
      </c>
      <c r="AK155" s="709">
        <v>0.594</v>
      </c>
      <c r="AL155" s="709">
        <v>0.2424</v>
      </c>
      <c r="AM155" s="709">
        <v>0.2328</v>
      </c>
      <c r="AN155" s="709">
        <v>0.5258</v>
      </c>
      <c r="AO155" s="709">
        <v>-0.0007</v>
      </c>
      <c r="AP155" s="709">
        <v>0.0023</v>
      </c>
      <c r="AQ155" s="709">
        <v>0.0073</v>
      </c>
      <c r="AR155" s="709">
        <v>0.0024</v>
      </c>
      <c r="AS155" s="714">
        <v>5.4</v>
      </c>
      <c r="AT155" s="715">
        <v>5.7</v>
      </c>
      <c r="AU155" s="715">
        <v>6</v>
      </c>
      <c r="AV155" s="715">
        <v>6.4</v>
      </c>
      <c r="AW155" s="715">
        <v>6.8</v>
      </c>
      <c r="AX155" s="715">
        <v>7.1</v>
      </c>
      <c r="AY155" s="715">
        <v>7.5</v>
      </c>
      <c r="AZ155" s="715">
        <v>7.8</v>
      </c>
      <c r="BA155" s="715">
        <v>8.1</v>
      </c>
      <c r="BB155" s="715">
        <v>8.4</v>
      </c>
      <c r="BC155" s="715">
        <v>8.6</v>
      </c>
      <c r="BD155" s="715">
        <v>5.7</v>
      </c>
      <c r="BE155" s="715">
        <v>6</v>
      </c>
      <c r="BF155" s="715">
        <v>6.3</v>
      </c>
      <c r="BG155" s="715">
        <v>6.7</v>
      </c>
      <c r="BH155" s="715">
        <v>7</v>
      </c>
      <c r="BI155" s="715">
        <v>7.4</v>
      </c>
      <c r="BJ155" s="715">
        <v>7.8</v>
      </c>
      <c r="BK155" s="715">
        <v>8.1</v>
      </c>
      <c r="BL155" s="715">
        <v>8.4</v>
      </c>
      <c r="BM155" s="715">
        <v>8.7</v>
      </c>
      <c r="BN155" s="715">
        <v>8.9</v>
      </c>
      <c r="BO155" s="715">
        <v>6.3</v>
      </c>
      <c r="BP155" s="715">
        <v>6.6</v>
      </c>
      <c r="BQ155" s="715">
        <v>7</v>
      </c>
      <c r="BR155" s="715">
        <v>7.4</v>
      </c>
      <c r="BS155" s="715">
        <v>7.8</v>
      </c>
      <c r="BT155" s="715">
        <v>8.2</v>
      </c>
      <c r="BU155" s="715">
        <v>8.6</v>
      </c>
      <c r="BV155" s="715">
        <v>8.9</v>
      </c>
      <c r="BW155" s="715">
        <v>9.3</v>
      </c>
      <c r="BX155" s="715">
        <v>9.6</v>
      </c>
      <c r="BY155" s="715">
        <v>9.9</v>
      </c>
      <c r="BZ155" s="715">
        <v>6.4</v>
      </c>
      <c r="CA155" s="715">
        <v>6.7</v>
      </c>
      <c r="CB155" s="715">
        <v>7.1</v>
      </c>
      <c r="CC155" s="715">
        <v>7.5</v>
      </c>
      <c r="CD155" s="715">
        <v>7.9</v>
      </c>
      <c r="CE155" s="715">
        <v>8.3</v>
      </c>
      <c r="CF155" s="715">
        <v>8.7</v>
      </c>
      <c r="CG155" s="715">
        <v>9.1</v>
      </c>
      <c r="CH155" s="715">
        <v>9.4</v>
      </c>
      <c r="CI155" s="715">
        <v>9.7</v>
      </c>
      <c r="CJ155" s="715">
        <v>10</v>
      </c>
      <c r="CK155" s="715">
        <v>6.5</v>
      </c>
      <c r="CL155" s="715">
        <v>6.8</v>
      </c>
      <c r="CM155" s="715">
        <v>7.2</v>
      </c>
      <c r="CN155" s="715">
        <v>7.6</v>
      </c>
      <c r="CO155" s="715">
        <v>8</v>
      </c>
      <c r="CP155" s="715">
        <v>8.4</v>
      </c>
      <c r="CQ155" s="715">
        <v>8.8</v>
      </c>
      <c r="CR155" s="715">
        <v>9.1</v>
      </c>
      <c r="CS155" s="715">
        <v>9.5</v>
      </c>
      <c r="CT155" s="715">
        <v>9.8</v>
      </c>
      <c r="CU155" s="715">
        <v>10.1</v>
      </c>
      <c r="CV155" s="715">
        <v>6.8</v>
      </c>
      <c r="CW155" s="715">
        <v>7.1</v>
      </c>
      <c r="CX155" s="715">
        <v>7.5</v>
      </c>
      <c r="CY155" s="715">
        <v>7.9</v>
      </c>
      <c r="CZ155" s="715">
        <v>8.4</v>
      </c>
      <c r="DA155" s="715">
        <v>8.8</v>
      </c>
      <c r="DB155" s="715">
        <v>9.2</v>
      </c>
      <c r="DC155" s="715">
        <v>9.6</v>
      </c>
      <c r="DD155" s="715">
        <v>9.9</v>
      </c>
      <c r="DE155" s="715">
        <v>10.2</v>
      </c>
      <c r="DF155" s="715">
        <v>10.5</v>
      </c>
      <c r="DG155" s="715">
        <v>7.2</v>
      </c>
      <c r="DH155" s="715">
        <v>7.6</v>
      </c>
      <c r="DI155" s="715">
        <v>8</v>
      </c>
      <c r="DJ155" s="715">
        <v>8.4</v>
      </c>
      <c r="DK155" s="715">
        <v>8.8</v>
      </c>
      <c r="DL155" s="715">
        <v>9.3</v>
      </c>
      <c r="DM155" s="715">
        <v>9.7</v>
      </c>
      <c r="DN155" s="715">
        <v>10.1</v>
      </c>
      <c r="DO155" s="715">
        <v>10.5</v>
      </c>
      <c r="DP155" s="715">
        <v>10.8</v>
      </c>
      <c r="DQ155" s="715">
        <v>11.1</v>
      </c>
      <c r="DR155" s="715">
        <v>8.2</v>
      </c>
      <c r="DS155" s="715">
        <v>8.6</v>
      </c>
      <c r="DT155" s="715">
        <v>9</v>
      </c>
      <c r="DU155" s="715">
        <v>9.5</v>
      </c>
      <c r="DV155" s="715">
        <v>9.9</v>
      </c>
      <c r="DW155" s="715">
        <v>10.4</v>
      </c>
      <c r="DX155" s="715">
        <v>10.9</v>
      </c>
      <c r="DY155" s="715">
        <v>11.3</v>
      </c>
      <c r="DZ155" s="715">
        <v>11.7</v>
      </c>
      <c r="EA155" s="715">
        <v>12.1</v>
      </c>
      <c r="EB155" s="715">
        <v>12.4</v>
      </c>
      <c r="EC155" s="715">
        <v>8.3</v>
      </c>
      <c r="ED155" s="715">
        <v>8.7</v>
      </c>
      <c r="EE155" s="715">
        <v>9.1</v>
      </c>
      <c r="EF155" s="715">
        <v>9.6</v>
      </c>
      <c r="EG155" s="715">
        <v>10.1</v>
      </c>
      <c r="EH155" s="715">
        <v>10.6</v>
      </c>
      <c r="EI155" s="715">
        <v>11.1</v>
      </c>
      <c r="EJ155" s="715">
        <v>11.5</v>
      </c>
      <c r="EK155" s="715">
        <v>11.9</v>
      </c>
      <c r="EL155" s="715">
        <v>12.3</v>
      </c>
      <c r="EM155" s="715">
        <v>12.6</v>
      </c>
      <c r="EN155" s="715">
        <v>9.6</v>
      </c>
      <c r="EO155" s="715">
        <v>10.1</v>
      </c>
      <c r="EP155" s="715">
        <v>10.6</v>
      </c>
      <c r="EQ155" s="715">
        <v>11.1</v>
      </c>
      <c r="ER155" s="715">
        <v>11.6</v>
      </c>
      <c r="ES155" s="715">
        <v>12.2</v>
      </c>
      <c r="ET155" s="715">
        <v>12.7</v>
      </c>
      <c r="EU155" s="715">
        <v>13.2</v>
      </c>
      <c r="EV155" s="715">
        <v>13.6</v>
      </c>
      <c r="EW155" s="715">
        <v>14.1</v>
      </c>
      <c r="EX155" s="715">
        <v>14.5</v>
      </c>
      <c r="EY155" s="715">
        <v>3.4</v>
      </c>
      <c r="EZ155" s="715">
        <v>4.2</v>
      </c>
      <c r="FA155" s="715">
        <v>5</v>
      </c>
      <c r="FB155" s="715">
        <v>5.7</v>
      </c>
      <c r="FC155" s="715">
        <v>6.3</v>
      </c>
      <c r="FD155" s="715">
        <v>6.9</v>
      </c>
      <c r="FE155" s="715">
        <v>7.5</v>
      </c>
      <c r="FF155" s="715">
        <v>8</v>
      </c>
      <c r="FG155" s="715">
        <v>8.4</v>
      </c>
      <c r="FH155" s="715">
        <v>8.8</v>
      </c>
      <c r="FI155" s="715">
        <v>9.2</v>
      </c>
      <c r="FJ155" s="723">
        <v>6.48e-6</v>
      </c>
      <c r="FK155" s="723">
        <v>2.19e-8</v>
      </c>
      <c r="FL155" s="723">
        <v>-3e-11</v>
      </c>
      <c r="FM155" s="723">
        <v>7.26e-7</v>
      </c>
      <c r="FN155" s="723">
        <v>6.11e-10</v>
      </c>
      <c r="FO155" s="723">
        <v>0.292</v>
      </c>
      <c r="FP155" s="730">
        <v>1</v>
      </c>
      <c r="FQ155" s="730">
        <v>1</v>
      </c>
      <c r="FR155" s="730">
        <v>1</v>
      </c>
      <c r="FS155" s="730">
        <v>2</v>
      </c>
      <c r="FT155" s="730">
        <v>1</v>
      </c>
      <c r="FU155" s="730">
        <v>1</v>
      </c>
      <c r="FV155" s="681">
        <v>1</v>
      </c>
      <c r="FW155" s="730"/>
      <c r="FX155" s="730"/>
      <c r="FY155" s="730"/>
      <c r="FZ155" s="735">
        <v>628</v>
      </c>
      <c r="GA155" s="735">
        <v>669</v>
      </c>
      <c r="GB155" s="736">
        <v>576</v>
      </c>
      <c r="GC155" s="736">
        <v>601</v>
      </c>
      <c r="GD155" s="748">
        <v>1.01</v>
      </c>
      <c r="GE155" s="730"/>
      <c r="GF155" s="736">
        <v>56</v>
      </c>
      <c r="GG155" s="736">
        <v>72</v>
      </c>
      <c r="GH155" s="736">
        <v>49</v>
      </c>
      <c r="GI155" s="736">
        <v>51</v>
      </c>
      <c r="GJ155" s="736">
        <v>52</v>
      </c>
      <c r="GK155" s="736">
        <v>53</v>
      </c>
      <c r="GL155" s="736">
        <v>54</v>
      </c>
      <c r="GM155" s="736">
        <v>55</v>
      </c>
      <c r="GN155" s="736">
        <v>55</v>
      </c>
      <c r="GO155" s="736">
        <v>56</v>
      </c>
      <c r="GP155" s="736">
        <v>57</v>
      </c>
      <c r="GQ155" s="736">
        <v>59</v>
      </c>
      <c r="GR155" s="736">
        <v>60</v>
      </c>
      <c r="GS155" s="736">
        <v>61</v>
      </c>
      <c r="GT155" s="736">
        <v>61</v>
      </c>
      <c r="GU155" s="736">
        <v>62</v>
      </c>
      <c r="GV155" s="736">
        <v>63</v>
      </c>
      <c r="GW155" s="736">
        <v>63</v>
      </c>
      <c r="GX155" s="736">
        <v>64</v>
      </c>
      <c r="GY155" s="736">
        <v>65</v>
      </c>
      <c r="GZ155" s="736">
        <v>67</v>
      </c>
      <c r="HA155" s="736">
        <v>68</v>
      </c>
      <c r="HB155" s="736">
        <v>69</v>
      </c>
      <c r="HC155" s="736"/>
      <c r="HD155" s="750">
        <v>165</v>
      </c>
      <c r="HE155" s="736"/>
      <c r="HF155" s="736">
        <v>726</v>
      </c>
      <c r="HG155" s="736">
        <v>116</v>
      </c>
      <c r="HH155" s="714">
        <v>122.18</v>
      </c>
      <c r="HI155" s="714">
        <v>46.42</v>
      </c>
      <c r="HJ155" s="755">
        <v>0.316</v>
      </c>
      <c r="HK155" s="736">
        <v>120</v>
      </c>
      <c r="HL155" s="685">
        <v>1.96</v>
      </c>
      <c r="HM155" s="748">
        <v>4.5</v>
      </c>
      <c r="HN155" s="730" t="s">
        <v>1263</v>
      </c>
      <c r="HO155" s="730" t="s">
        <v>1264</v>
      </c>
      <c r="HP155" s="716">
        <v>-0.9</v>
      </c>
      <c r="HQ155" s="755">
        <v>0.898</v>
      </c>
      <c r="HR155" s="755">
        <v>0.968</v>
      </c>
      <c r="HS155" s="755">
        <v>0.988</v>
      </c>
      <c r="HT155" s="755">
        <v>0.996</v>
      </c>
      <c r="HU155" s="755">
        <v>0.998</v>
      </c>
      <c r="HV155" s="755">
        <v>0.999</v>
      </c>
      <c r="HW155" s="755">
        <v>0.999</v>
      </c>
      <c r="HX155" s="755">
        <v>0.999</v>
      </c>
      <c r="HY155" s="755">
        <v>0.999</v>
      </c>
      <c r="HZ155" s="755">
        <v>0.999</v>
      </c>
      <c r="IA155" s="755">
        <v>0.999</v>
      </c>
      <c r="IB155" s="755">
        <v>0.999</v>
      </c>
      <c r="IC155" s="755">
        <v>0.999</v>
      </c>
      <c r="ID155" s="755">
        <v>0.999</v>
      </c>
      <c r="IE155" s="755">
        <v>0.999</v>
      </c>
      <c r="IF155" s="755">
        <v>0.999</v>
      </c>
      <c r="IG155" s="755">
        <v>0.998</v>
      </c>
      <c r="IH155" s="755">
        <v>0.995</v>
      </c>
      <c r="II155" s="755">
        <v>0.986</v>
      </c>
      <c r="IJ155" s="755">
        <v>0.98</v>
      </c>
      <c r="IK155" s="755">
        <v>0.97</v>
      </c>
      <c r="IL155" s="755">
        <v>0.953</v>
      </c>
      <c r="IM155" s="755">
        <v>0.919</v>
      </c>
      <c r="IN155" s="755">
        <v>0.841</v>
      </c>
      <c r="IO155" s="755">
        <v>0.762</v>
      </c>
      <c r="IP155" s="755">
        <v>0.625</v>
      </c>
      <c r="IQ155" s="755">
        <v>0.407</v>
      </c>
      <c r="IR155" s="755">
        <v>0.143</v>
      </c>
      <c r="IS155" s="755"/>
      <c r="IT155" s="755"/>
      <c r="IU155" s="755"/>
      <c r="IV155" s="755"/>
      <c r="IW155" s="755"/>
      <c r="IX155" s="755"/>
      <c r="IY155" s="755"/>
      <c r="IZ155" s="755"/>
      <c r="JA155" s="755">
        <v>0.807</v>
      </c>
      <c r="JB155" s="755">
        <v>0.937</v>
      </c>
      <c r="JC155" s="755">
        <v>0.976</v>
      </c>
      <c r="JD155" s="755">
        <v>0.992</v>
      </c>
      <c r="JE155" s="755">
        <v>0.996</v>
      </c>
      <c r="JF155" s="755">
        <v>0.998</v>
      </c>
      <c r="JG155" s="755">
        <v>0.998</v>
      </c>
      <c r="JH155" s="755">
        <v>0.998</v>
      </c>
      <c r="JI155" s="755">
        <v>0.998</v>
      </c>
      <c r="JJ155" s="755">
        <v>0.998</v>
      </c>
      <c r="JK155" s="755">
        <v>0.998</v>
      </c>
      <c r="JL155" s="755">
        <v>0.998</v>
      </c>
      <c r="JM155" s="755">
        <v>0.998</v>
      </c>
      <c r="JN155" s="755">
        <v>0.998</v>
      </c>
      <c r="JO155" s="755">
        <v>0.998</v>
      </c>
      <c r="JP155" s="755">
        <v>0.998</v>
      </c>
      <c r="JQ155" s="755">
        <v>0.996</v>
      </c>
      <c r="JR155" s="755">
        <v>0.99</v>
      </c>
      <c r="JS155" s="755">
        <v>0.973</v>
      </c>
      <c r="JT155" s="755">
        <v>0.96</v>
      </c>
      <c r="JU155" s="755">
        <v>0.941</v>
      </c>
      <c r="JV155" s="755">
        <v>0.908</v>
      </c>
      <c r="JW155" s="755">
        <v>0.845</v>
      </c>
      <c r="JX155" s="755">
        <v>0.707</v>
      </c>
      <c r="JY155" s="755">
        <v>0.58</v>
      </c>
      <c r="JZ155" s="755">
        <v>0.391</v>
      </c>
      <c r="KA155" s="755">
        <v>0.165</v>
      </c>
      <c r="KB155" s="755">
        <v>0.02</v>
      </c>
      <c r="KC155" s="755"/>
      <c r="KD155" s="755"/>
      <c r="KE155" s="755"/>
      <c r="KF155" s="755"/>
      <c r="KG155" s="755"/>
      <c r="KH155" s="755"/>
      <c r="KI155" s="755"/>
      <c r="KJ155" s="755"/>
      <c r="KK155" s="765" t="s">
        <v>281</v>
      </c>
      <c r="KL155" s="738">
        <v>73</v>
      </c>
      <c r="KM155" s="738">
        <v>329</v>
      </c>
      <c r="KN155" s="646" t="s">
        <v>339</v>
      </c>
      <c r="KO155" s="646" t="s">
        <v>1208</v>
      </c>
      <c r="KP155" s="687">
        <v>901313</v>
      </c>
      <c r="KQ155" s="766"/>
      <c r="KR155" s="750"/>
      <c r="KS155" s="769"/>
      <c r="KT155" s="770"/>
      <c r="KU155" s="766"/>
      <c r="KV155" s="750"/>
      <c r="KW155" s="771"/>
      <c r="KX155" s="750"/>
      <c r="KY155" s="769"/>
      <c r="KZ155" s="770"/>
    </row>
    <row r="156" s="628" customFormat="1" customHeight="1" spans="1:312">
      <c r="A156" s="682" t="s">
        <v>300</v>
      </c>
      <c r="B156" s="683">
        <v>152</v>
      </c>
      <c r="C156" s="684" t="s">
        <v>1265</v>
      </c>
      <c r="D156" s="779">
        <v>911353</v>
      </c>
      <c r="E156" s="685">
        <v>35.25</v>
      </c>
      <c r="F156" s="685">
        <v>35.01</v>
      </c>
      <c r="G156" s="688">
        <v>0.025839</v>
      </c>
      <c r="H156" s="686">
        <v>0.026194</v>
      </c>
      <c r="I156" s="696">
        <v>1.85959</v>
      </c>
      <c r="J156" s="696">
        <v>1.86612</v>
      </c>
      <c r="K156" s="696">
        <v>1.87377</v>
      </c>
      <c r="L156" s="696">
        <v>1.88177</v>
      </c>
      <c r="M156" s="696">
        <v>1.88343</v>
      </c>
      <c r="N156" s="696">
        <v>1.88484</v>
      </c>
      <c r="O156" s="696">
        <v>1.89068</v>
      </c>
      <c r="P156" s="696">
        <v>1.89497</v>
      </c>
      <c r="Q156" s="697">
        <v>1.89905</v>
      </c>
      <c r="R156" s="697">
        <v>1.90323</v>
      </c>
      <c r="S156" s="697">
        <v>1.90443</v>
      </c>
      <c r="T156" s="701">
        <v>1.90554</v>
      </c>
      <c r="U156" s="697">
        <v>1.9106</v>
      </c>
      <c r="V156" s="697">
        <v>1.91082</v>
      </c>
      <c r="W156" s="697">
        <v>1.91695</v>
      </c>
      <c r="X156" s="697">
        <v>1.92907</v>
      </c>
      <c r="Y156" s="697">
        <v>1.93062</v>
      </c>
      <c r="Z156" s="697">
        <v>1.94415</v>
      </c>
      <c r="AA156" s="697">
        <v>1.9572</v>
      </c>
      <c r="AB156" s="697">
        <v>1.98078</v>
      </c>
      <c r="AC156" s="704">
        <v>3.52587871</v>
      </c>
      <c r="AD156" s="704">
        <v>-0.0139436897</v>
      </c>
      <c r="AE156" s="704">
        <v>0.040903752</v>
      </c>
      <c r="AF156" s="704">
        <v>0.00138553859</v>
      </c>
      <c r="AG156" s="704">
        <v>-1.74895373e-5</v>
      </c>
      <c r="AH156" s="704">
        <v>6.86910964e-6</v>
      </c>
      <c r="AI156" s="709">
        <v>0.2937</v>
      </c>
      <c r="AJ156" s="709">
        <v>0.2372</v>
      </c>
      <c r="AK156" s="709">
        <v>0.5836</v>
      </c>
      <c r="AL156" s="709">
        <v>0.2439</v>
      </c>
      <c r="AM156" s="709">
        <v>0.234</v>
      </c>
      <c r="AN156" s="709">
        <v>0.5165</v>
      </c>
      <c r="AO156" s="709">
        <v>-0.0017</v>
      </c>
      <c r="AP156" s="709">
        <v>-0.0014</v>
      </c>
      <c r="AQ156" s="709">
        <v>0.0008</v>
      </c>
      <c r="AR156" s="709">
        <v>0.0007</v>
      </c>
      <c r="AS156" s="714">
        <v>4.5</v>
      </c>
      <c r="AT156" s="716">
        <v>4.5</v>
      </c>
      <c r="AU156" s="716">
        <v>4.6</v>
      </c>
      <c r="AV156" s="716">
        <v>4.6</v>
      </c>
      <c r="AW156" s="716">
        <v>4.7</v>
      </c>
      <c r="AX156" s="716">
        <v>4.7</v>
      </c>
      <c r="AY156" s="716">
        <v>4.7</v>
      </c>
      <c r="AZ156" s="716">
        <v>4.7</v>
      </c>
      <c r="BA156" s="716">
        <v>4.8</v>
      </c>
      <c r="BB156" s="716">
        <v>4.8</v>
      </c>
      <c r="BC156" s="716">
        <v>4.8</v>
      </c>
      <c r="BD156" s="716">
        <v>4.9</v>
      </c>
      <c r="BE156" s="716">
        <v>4.9</v>
      </c>
      <c r="BF156" s="716">
        <v>4.9</v>
      </c>
      <c r="BG156" s="716">
        <v>5.1</v>
      </c>
      <c r="BH156" s="716">
        <v>5.3</v>
      </c>
      <c r="BI156" s="716">
        <v>5.3</v>
      </c>
      <c r="BJ156" s="716">
        <v>5.4</v>
      </c>
      <c r="BK156" s="716">
        <v>5.4</v>
      </c>
      <c r="BL156" s="716">
        <v>5.5</v>
      </c>
      <c r="BM156" s="716">
        <v>5.6</v>
      </c>
      <c r="BN156" s="716">
        <v>5.7</v>
      </c>
      <c r="BO156" s="716">
        <v>5.3</v>
      </c>
      <c r="BP156" s="716">
        <v>5.4</v>
      </c>
      <c r="BQ156" s="716">
        <v>5.6</v>
      </c>
      <c r="BR156" s="716">
        <v>5.7</v>
      </c>
      <c r="BS156" s="716">
        <v>5.9</v>
      </c>
      <c r="BT156" s="716">
        <v>6.1</v>
      </c>
      <c r="BU156" s="716">
        <v>6.1</v>
      </c>
      <c r="BV156" s="716">
        <v>6.1</v>
      </c>
      <c r="BW156" s="716">
        <v>6.1</v>
      </c>
      <c r="BX156" s="716">
        <v>6.2</v>
      </c>
      <c r="BY156" s="716">
        <v>6.2</v>
      </c>
      <c r="BZ156" s="716">
        <v>5.3</v>
      </c>
      <c r="CA156" s="716">
        <v>5.5</v>
      </c>
      <c r="CB156" s="716">
        <v>5.7</v>
      </c>
      <c r="CC156" s="716">
        <v>5.8</v>
      </c>
      <c r="CD156" s="716">
        <v>6</v>
      </c>
      <c r="CE156" s="716">
        <v>6.1</v>
      </c>
      <c r="CF156" s="716">
        <v>6.1</v>
      </c>
      <c r="CG156" s="716">
        <v>6.1</v>
      </c>
      <c r="CH156" s="716">
        <v>6.1</v>
      </c>
      <c r="CI156" s="716">
        <v>6.2</v>
      </c>
      <c r="CJ156" s="716">
        <v>6.2</v>
      </c>
      <c r="CK156" s="716">
        <v>5.4</v>
      </c>
      <c r="CL156" s="716">
        <v>5.6</v>
      </c>
      <c r="CM156" s="716">
        <v>5.8</v>
      </c>
      <c r="CN156" s="716">
        <v>6.1</v>
      </c>
      <c r="CO156" s="716">
        <v>6.2</v>
      </c>
      <c r="CP156" s="716">
        <v>6.2</v>
      </c>
      <c r="CQ156" s="716">
        <v>6.2</v>
      </c>
      <c r="CR156" s="716">
        <v>6.2</v>
      </c>
      <c r="CS156" s="716">
        <v>6.2</v>
      </c>
      <c r="CT156" s="716">
        <v>6.2</v>
      </c>
      <c r="CU156" s="716">
        <v>6.2</v>
      </c>
      <c r="CV156" s="716">
        <v>5.7</v>
      </c>
      <c r="CW156" s="716">
        <v>5.9</v>
      </c>
      <c r="CX156" s="716">
        <v>6.1</v>
      </c>
      <c r="CY156" s="716">
        <v>6.1</v>
      </c>
      <c r="CZ156" s="716">
        <v>6.3</v>
      </c>
      <c r="DA156" s="716">
        <v>6.5</v>
      </c>
      <c r="DB156" s="716">
        <v>6.6</v>
      </c>
      <c r="DC156" s="716">
        <v>6.7</v>
      </c>
      <c r="DD156" s="716">
        <v>6.6</v>
      </c>
      <c r="DE156" s="716">
        <v>6.6</v>
      </c>
      <c r="DF156" s="716">
        <v>6.7</v>
      </c>
      <c r="DG156" s="716">
        <v>6.3</v>
      </c>
      <c r="DH156" s="716">
        <v>6.5</v>
      </c>
      <c r="DI156" s="716">
        <v>6.6</v>
      </c>
      <c r="DJ156" s="716">
        <v>6.6</v>
      </c>
      <c r="DK156" s="716">
        <v>6.7</v>
      </c>
      <c r="DL156" s="716">
        <v>7</v>
      </c>
      <c r="DM156" s="716">
        <v>7.1</v>
      </c>
      <c r="DN156" s="716">
        <v>7.2</v>
      </c>
      <c r="DO156" s="716">
        <v>7.2</v>
      </c>
      <c r="DP156" s="716">
        <v>7.3</v>
      </c>
      <c r="DQ156" s="716">
        <v>7.4</v>
      </c>
      <c r="DR156" s="716">
        <v>7.3</v>
      </c>
      <c r="DS156" s="716">
        <v>7.5</v>
      </c>
      <c r="DT156" s="716">
        <v>7.6</v>
      </c>
      <c r="DU156" s="716">
        <v>7.7</v>
      </c>
      <c r="DV156" s="716">
        <v>7.8</v>
      </c>
      <c r="DW156" s="716">
        <v>7.9</v>
      </c>
      <c r="DX156" s="716">
        <v>8.1</v>
      </c>
      <c r="DY156" s="716">
        <v>8.2</v>
      </c>
      <c r="DZ156" s="716">
        <v>8.3</v>
      </c>
      <c r="EA156" s="716">
        <v>8.4</v>
      </c>
      <c r="EB156" s="716">
        <v>8.4</v>
      </c>
      <c r="EC156" s="716">
        <v>7.4</v>
      </c>
      <c r="ED156" s="716">
        <v>7.5</v>
      </c>
      <c r="EE156" s="716">
        <v>7.7</v>
      </c>
      <c r="EF156" s="716">
        <v>7.8</v>
      </c>
      <c r="EG156" s="716">
        <v>7.9</v>
      </c>
      <c r="EH156" s="716">
        <v>8</v>
      </c>
      <c r="EI156" s="716">
        <v>8.3</v>
      </c>
      <c r="EJ156" s="716">
        <v>8.4</v>
      </c>
      <c r="EK156" s="716">
        <v>8.4</v>
      </c>
      <c r="EL156" s="716">
        <v>8.4</v>
      </c>
      <c r="EM156" s="716">
        <v>8.4</v>
      </c>
      <c r="EN156" s="716">
        <v>8.4</v>
      </c>
      <c r="EO156" s="716">
        <v>8.5</v>
      </c>
      <c r="EP156" s="716">
        <v>8.8</v>
      </c>
      <c r="EQ156" s="716">
        <v>8.9</v>
      </c>
      <c r="ER156" s="716">
        <v>9.1</v>
      </c>
      <c r="ES156" s="716">
        <v>9.3</v>
      </c>
      <c r="ET156" s="716">
        <v>9.5</v>
      </c>
      <c r="EU156" s="716">
        <v>9.6</v>
      </c>
      <c r="EV156" s="716">
        <v>9.7</v>
      </c>
      <c r="EW156" s="716">
        <v>9.7</v>
      </c>
      <c r="EX156" s="716">
        <v>9.9</v>
      </c>
      <c r="EY156" s="716">
        <v>2.3</v>
      </c>
      <c r="EZ156" s="716">
        <v>3</v>
      </c>
      <c r="FA156" s="716">
        <v>3.6</v>
      </c>
      <c r="FB156" s="716">
        <v>4.2</v>
      </c>
      <c r="FC156" s="716">
        <v>4.5</v>
      </c>
      <c r="FD156" s="716">
        <v>4.7</v>
      </c>
      <c r="FE156" s="716">
        <v>4.9</v>
      </c>
      <c r="FF156" s="716">
        <v>5</v>
      </c>
      <c r="FG156" s="716">
        <v>5.2</v>
      </c>
      <c r="FH156" s="716">
        <v>5.3</v>
      </c>
      <c r="FI156" s="716">
        <v>5.4</v>
      </c>
      <c r="FJ156" s="726">
        <v>3.5e-6</v>
      </c>
      <c r="FK156" s="726">
        <v>1.24e-8</v>
      </c>
      <c r="FL156" s="726">
        <v>-3.24e-11</v>
      </c>
      <c r="FM156" s="726">
        <v>8.61e-7</v>
      </c>
      <c r="FN156" s="726">
        <v>4.14e-10</v>
      </c>
      <c r="FO156" s="726">
        <v>0.243</v>
      </c>
      <c r="FP156" s="729">
        <v>1</v>
      </c>
      <c r="FQ156" s="729">
        <v>1</v>
      </c>
      <c r="FR156" s="729">
        <v>1</v>
      </c>
      <c r="FS156" s="729">
        <v>1</v>
      </c>
      <c r="FT156" s="729">
        <v>1</v>
      </c>
      <c r="FU156" s="729">
        <v>1</v>
      </c>
      <c r="FV156" s="681">
        <v>1</v>
      </c>
      <c r="FW156" s="729"/>
      <c r="FX156" s="729"/>
      <c r="FY156" s="729"/>
      <c r="FZ156" s="782">
        <v>707</v>
      </c>
      <c r="GA156" s="782">
        <v>763</v>
      </c>
      <c r="GB156" s="681">
        <v>655</v>
      </c>
      <c r="GC156" s="681">
        <v>680</v>
      </c>
      <c r="GD156" s="747">
        <v>1.14</v>
      </c>
      <c r="GE156" s="729"/>
      <c r="GF156" s="681">
        <v>67</v>
      </c>
      <c r="GG156" s="681">
        <v>83</v>
      </c>
      <c r="GH156" s="681">
        <v>58</v>
      </c>
      <c r="GI156" s="681">
        <v>61</v>
      </c>
      <c r="GJ156" s="681">
        <v>63</v>
      </c>
      <c r="GK156" s="681">
        <v>64</v>
      </c>
      <c r="GL156" s="681">
        <v>65</v>
      </c>
      <c r="GM156" s="681">
        <v>66</v>
      </c>
      <c r="GN156" s="681">
        <v>67</v>
      </c>
      <c r="GO156" s="681">
        <v>68</v>
      </c>
      <c r="GP156" s="681">
        <v>69</v>
      </c>
      <c r="GQ156" s="681">
        <v>69</v>
      </c>
      <c r="GR156" s="681">
        <v>70</v>
      </c>
      <c r="GS156" s="681">
        <v>70</v>
      </c>
      <c r="GT156" s="681">
        <v>71</v>
      </c>
      <c r="GU156" s="681">
        <v>71</v>
      </c>
      <c r="GV156" s="681">
        <v>72</v>
      </c>
      <c r="GW156" s="681">
        <v>73</v>
      </c>
      <c r="GX156" s="681">
        <v>74</v>
      </c>
      <c r="GY156" s="681">
        <v>75</v>
      </c>
      <c r="GZ156" s="681">
        <v>76</v>
      </c>
      <c r="HA156" s="681">
        <v>78</v>
      </c>
      <c r="HB156" s="681">
        <v>79</v>
      </c>
      <c r="HC156" s="681"/>
      <c r="HD156" s="750">
        <v>140</v>
      </c>
      <c r="HE156" s="681"/>
      <c r="HF156" s="681">
        <v>663</v>
      </c>
      <c r="HG156" s="681">
        <v>74</v>
      </c>
      <c r="HH156" s="714">
        <v>127.8</v>
      </c>
      <c r="HI156" s="714">
        <v>48</v>
      </c>
      <c r="HJ156" s="753">
        <v>0.333</v>
      </c>
      <c r="HK156" s="681">
        <v>77</v>
      </c>
      <c r="HL156" s="685">
        <v>1.41</v>
      </c>
      <c r="HM156" s="747">
        <v>4.88</v>
      </c>
      <c r="HN156" s="729" t="s">
        <v>1266</v>
      </c>
      <c r="HO156" s="714" t="s">
        <v>1267</v>
      </c>
      <c r="HP156" s="714">
        <v>-0.9</v>
      </c>
      <c r="HQ156" s="753">
        <v>0.931</v>
      </c>
      <c r="HR156" s="753">
        <v>0.987</v>
      </c>
      <c r="HS156" s="753">
        <v>0.997</v>
      </c>
      <c r="HT156" s="753">
        <v>0.997</v>
      </c>
      <c r="HU156" s="753">
        <v>0.997</v>
      </c>
      <c r="HV156" s="753">
        <v>0.997</v>
      </c>
      <c r="HW156" s="753">
        <v>0.997</v>
      </c>
      <c r="HX156" s="753">
        <v>0.997</v>
      </c>
      <c r="HY156" s="753">
        <v>0.997</v>
      </c>
      <c r="HZ156" s="753">
        <v>0.997</v>
      </c>
      <c r="IA156" s="753">
        <v>0.997</v>
      </c>
      <c r="IB156" s="753">
        <v>0.997</v>
      </c>
      <c r="IC156" s="753">
        <v>0.997</v>
      </c>
      <c r="ID156" s="753">
        <v>0.997</v>
      </c>
      <c r="IE156" s="753">
        <v>0.997</v>
      </c>
      <c r="IF156" s="753">
        <v>0.997</v>
      </c>
      <c r="IG156" s="753">
        <v>0.997</v>
      </c>
      <c r="IH156" s="753">
        <v>0.992</v>
      </c>
      <c r="II156" s="753">
        <v>0.983</v>
      </c>
      <c r="IJ156" s="753">
        <v>0.98</v>
      </c>
      <c r="IK156" s="753">
        <v>0.974</v>
      </c>
      <c r="IL156" s="753">
        <v>0.966</v>
      </c>
      <c r="IM156" s="753">
        <v>0.955</v>
      </c>
      <c r="IN156" s="753">
        <v>0.921</v>
      </c>
      <c r="IO156" s="753">
        <v>0.886</v>
      </c>
      <c r="IP156" s="753">
        <v>0.828</v>
      </c>
      <c r="IQ156" s="753">
        <v>0.721</v>
      </c>
      <c r="IR156" s="753">
        <v>0.517</v>
      </c>
      <c r="IS156" s="753">
        <v>0.205</v>
      </c>
      <c r="IT156" s="753"/>
      <c r="IU156" s="753"/>
      <c r="IV156" s="753"/>
      <c r="IW156" s="753"/>
      <c r="IX156" s="753"/>
      <c r="IY156" s="753"/>
      <c r="IZ156" s="753"/>
      <c r="JA156" s="753">
        <v>0.867</v>
      </c>
      <c r="JB156" s="753">
        <v>0.974</v>
      </c>
      <c r="JC156" s="753">
        <v>0.994</v>
      </c>
      <c r="JD156" s="753">
        <v>0.994</v>
      </c>
      <c r="JE156" s="753">
        <v>0.994</v>
      </c>
      <c r="JF156" s="753">
        <v>0.994</v>
      </c>
      <c r="JG156" s="753">
        <v>0.994</v>
      </c>
      <c r="JH156" s="753">
        <v>0.994</v>
      </c>
      <c r="JI156" s="753">
        <v>0.994</v>
      </c>
      <c r="JJ156" s="753">
        <v>0.994</v>
      </c>
      <c r="JK156" s="753">
        <v>0.994</v>
      </c>
      <c r="JL156" s="753">
        <v>0.994</v>
      </c>
      <c r="JM156" s="753">
        <v>0.994</v>
      </c>
      <c r="JN156" s="753">
        <v>0.994</v>
      </c>
      <c r="JO156" s="753">
        <v>0.994</v>
      </c>
      <c r="JP156" s="753">
        <v>0.994</v>
      </c>
      <c r="JQ156" s="753">
        <v>0.994</v>
      </c>
      <c r="JR156" s="753">
        <v>0.987</v>
      </c>
      <c r="JS156" s="753">
        <v>0.969</v>
      </c>
      <c r="JT156" s="753">
        <v>0.96</v>
      </c>
      <c r="JU156" s="753">
        <v>0.948</v>
      </c>
      <c r="JV156" s="753">
        <v>0.931</v>
      </c>
      <c r="JW156" s="753">
        <v>0.904</v>
      </c>
      <c r="JX156" s="753">
        <v>0.837</v>
      </c>
      <c r="JY156" s="753">
        <v>0.773</v>
      </c>
      <c r="JZ156" s="753">
        <v>0.673</v>
      </c>
      <c r="KA156" s="753">
        <v>0.51</v>
      </c>
      <c r="KB156" s="753">
        <v>0.261</v>
      </c>
      <c r="KC156" s="753">
        <v>0.041</v>
      </c>
      <c r="KD156" s="753"/>
      <c r="KE156" s="753"/>
      <c r="KF156" s="753"/>
      <c r="KG156" s="753"/>
      <c r="KH156" s="753"/>
      <c r="KI156" s="753"/>
      <c r="KJ156" s="753"/>
      <c r="KK156" s="765" t="s">
        <v>281</v>
      </c>
      <c r="KL156" s="738">
        <v>122</v>
      </c>
      <c r="KM156" s="738">
        <v>595</v>
      </c>
      <c r="KN156" s="646" t="s">
        <v>282</v>
      </c>
      <c r="KO156" s="646" t="s">
        <v>1265</v>
      </c>
      <c r="KP156" s="779">
        <v>911353</v>
      </c>
      <c r="KQ156" s="789" t="s">
        <v>1268</v>
      </c>
      <c r="KR156" s="750" t="s">
        <v>1269</v>
      </c>
      <c r="KS156" s="789" t="s">
        <v>1270</v>
      </c>
      <c r="KT156" s="770" t="s">
        <v>1271</v>
      </c>
      <c r="KU156" s="789" t="s">
        <v>1272</v>
      </c>
      <c r="KV156" s="790">
        <v>911353</v>
      </c>
      <c r="KW156" s="791" t="s">
        <v>1273</v>
      </c>
      <c r="KX156" s="790" t="s">
        <v>1274</v>
      </c>
      <c r="KY156" s="789"/>
      <c r="KZ156" s="770"/>
    </row>
    <row r="157" s="628" customFormat="1" customHeight="1" spans="1:312">
      <c r="A157" s="682" t="s">
        <v>277</v>
      </c>
      <c r="B157" s="683">
        <v>153</v>
      </c>
      <c r="C157" s="684" t="s">
        <v>1275</v>
      </c>
      <c r="D157" s="779">
        <v>911353</v>
      </c>
      <c r="E157" s="685">
        <v>35.25</v>
      </c>
      <c r="F157" s="685">
        <v>35.01</v>
      </c>
      <c r="G157" s="688">
        <v>0.025839</v>
      </c>
      <c r="H157" s="686">
        <v>0.026194</v>
      </c>
      <c r="I157" s="696"/>
      <c r="J157" s="696"/>
      <c r="K157" s="696"/>
      <c r="L157" s="696">
        <v>1.88174</v>
      </c>
      <c r="M157" s="696">
        <v>1.8834</v>
      </c>
      <c r="N157" s="696">
        <v>1.88483</v>
      </c>
      <c r="O157" s="696">
        <v>1.8907</v>
      </c>
      <c r="P157" s="696">
        <v>1.89498</v>
      </c>
      <c r="Q157" s="697">
        <v>1.89906</v>
      </c>
      <c r="R157" s="697">
        <v>1.90323</v>
      </c>
      <c r="S157" s="697">
        <v>1.90443</v>
      </c>
      <c r="T157" s="701">
        <v>1.90554</v>
      </c>
      <c r="U157" s="697">
        <v>1.9106</v>
      </c>
      <c r="V157" s="697">
        <v>1.91082</v>
      </c>
      <c r="W157" s="697">
        <v>1.91695</v>
      </c>
      <c r="X157" s="697">
        <v>1.92907</v>
      </c>
      <c r="Y157" s="697">
        <v>1.93062</v>
      </c>
      <c r="Z157" s="697">
        <v>1.94415</v>
      </c>
      <c r="AA157" s="697">
        <v>1.95722</v>
      </c>
      <c r="AB157" s="697">
        <v>1.98087</v>
      </c>
      <c r="AC157" s="704">
        <v>3.52696534</v>
      </c>
      <c r="AD157" s="704">
        <v>-0.0146159641</v>
      </c>
      <c r="AE157" s="704">
        <v>0.040335395</v>
      </c>
      <c r="AF157" s="704">
        <v>0.0015200593</v>
      </c>
      <c r="AG157" s="704">
        <v>-3.40993875e-5</v>
      </c>
      <c r="AH157" s="704">
        <v>7.83574753e-6</v>
      </c>
      <c r="AI157" s="709">
        <v>0.2937</v>
      </c>
      <c r="AJ157" s="709">
        <v>0.2372</v>
      </c>
      <c r="AK157" s="709">
        <v>0.5836</v>
      </c>
      <c r="AL157" s="709">
        <v>0.2439</v>
      </c>
      <c r="AM157" s="709">
        <v>0.234</v>
      </c>
      <c r="AN157" s="709">
        <v>0.5165</v>
      </c>
      <c r="AO157" s="709">
        <v>-0.0017</v>
      </c>
      <c r="AP157" s="709">
        <v>-0.0014</v>
      </c>
      <c r="AQ157" s="709">
        <v>0.0012</v>
      </c>
      <c r="AR157" s="709">
        <v>-0.0001</v>
      </c>
      <c r="AS157" s="714">
        <v>2.7</v>
      </c>
      <c r="AT157" s="716">
        <v>2.8</v>
      </c>
      <c r="AU157" s="716">
        <v>2.8</v>
      </c>
      <c r="AV157" s="716">
        <v>2.8</v>
      </c>
      <c r="AW157" s="716">
        <v>2.9</v>
      </c>
      <c r="AX157" s="716">
        <v>3</v>
      </c>
      <c r="AY157" s="716">
        <v>3.1</v>
      </c>
      <c r="AZ157" s="716">
        <v>3.1</v>
      </c>
      <c r="BA157" s="716">
        <v>3.2</v>
      </c>
      <c r="BB157" s="716">
        <v>3.3</v>
      </c>
      <c r="BC157" s="716">
        <v>3.4</v>
      </c>
      <c r="BD157" s="716">
        <v>3.1</v>
      </c>
      <c r="BE157" s="716">
        <v>3.2</v>
      </c>
      <c r="BF157" s="716">
        <v>3.4</v>
      </c>
      <c r="BG157" s="716">
        <v>3.5</v>
      </c>
      <c r="BH157" s="716">
        <v>3.7</v>
      </c>
      <c r="BI157" s="716">
        <v>3.9</v>
      </c>
      <c r="BJ157" s="716">
        <v>4.1</v>
      </c>
      <c r="BK157" s="716">
        <v>6</v>
      </c>
      <c r="BL157" s="716">
        <v>4</v>
      </c>
      <c r="BM157" s="716">
        <v>4.1</v>
      </c>
      <c r="BN157" s="716">
        <v>4.3</v>
      </c>
      <c r="BO157" s="716">
        <v>3.6</v>
      </c>
      <c r="BP157" s="716">
        <v>3.8</v>
      </c>
      <c r="BQ157" s="716">
        <v>3.8</v>
      </c>
      <c r="BR157" s="716">
        <v>3.8</v>
      </c>
      <c r="BS157" s="716">
        <v>3.9</v>
      </c>
      <c r="BT157" s="716">
        <v>4.1</v>
      </c>
      <c r="BU157" s="716">
        <v>4.2</v>
      </c>
      <c r="BV157" s="716">
        <v>4.4</v>
      </c>
      <c r="BW157" s="716">
        <v>4.6</v>
      </c>
      <c r="BX157" s="716">
        <v>4.7</v>
      </c>
      <c r="BY157" s="716">
        <v>4.8</v>
      </c>
      <c r="BZ157" s="716">
        <v>3.7</v>
      </c>
      <c r="CA157" s="716">
        <v>3.9</v>
      </c>
      <c r="CB157" s="716">
        <v>4</v>
      </c>
      <c r="CC157" s="716">
        <v>4</v>
      </c>
      <c r="CD157" s="716">
        <v>4.1</v>
      </c>
      <c r="CE157" s="716">
        <v>4.3</v>
      </c>
      <c r="CF157" s="716">
        <v>4.4</v>
      </c>
      <c r="CG157" s="716">
        <v>4.6</v>
      </c>
      <c r="CH157" s="716">
        <v>4.9</v>
      </c>
      <c r="CI157" s="716">
        <v>5.1</v>
      </c>
      <c r="CJ157" s="716">
        <v>5.2</v>
      </c>
      <c r="CK157" s="716">
        <v>3.8</v>
      </c>
      <c r="CL157" s="716">
        <v>4</v>
      </c>
      <c r="CM157" s="716">
        <v>4.2</v>
      </c>
      <c r="CN157" s="716">
        <v>4.2</v>
      </c>
      <c r="CO157" s="716">
        <v>4.3</v>
      </c>
      <c r="CP157" s="716">
        <v>4.5</v>
      </c>
      <c r="CQ157" s="716">
        <v>4.6</v>
      </c>
      <c r="CR157" s="716">
        <v>4.8</v>
      </c>
      <c r="CS157" s="716">
        <v>5.1</v>
      </c>
      <c r="CT157" s="716">
        <v>5.4</v>
      </c>
      <c r="CU157" s="716">
        <v>5.5</v>
      </c>
      <c r="CV157" s="716">
        <v>4</v>
      </c>
      <c r="CW157" s="716">
        <v>4.2</v>
      </c>
      <c r="CX157" s="716">
        <v>4.4</v>
      </c>
      <c r="CY157" s="716">
        <v>4.6</v>
      </c>
      <c r="CZ157" s="716">
        <v>4.7</v>
      </c>
      <c r="DA157" s="716">
        <v>4.9</v>
      </c>
      <c r="DB157" s="716">
        <v>5.1</v>
      </c>
      <c r="DC157" s="716">
        <v>5.3</v>
      </c>
      <c r="DD157" s="716">
        <v>5.4</v>
      </c>
      <c r="DE157" s="716">
        <v>5.6</v>
      </c>
      <c r="DF157" s="716">
        <v>5.8</v>
      </c>
      <c r="DG157" s="716">
        <v>4.4</v>
      </c>
      <c r="DH157" s="716">
        <v>4.6</v>
      </c>
      <c r="DI157" s="716">
        <v>4.8</v>
      </c>
      <c r="DJ157" s="716">
        <v>5.1</v>
      </c>
      <c r="DK157" s="716">
        <v>5.2</v>
      </c>
      <c r="DL157" s="716">
        <v>5.4</v>
      </c>
      <c r="DM157" s="716">
        <v>5.5</v>
      </c>
      <c r="DN157" s="716">
        <v>5.6</v>
      </c>
      <c r="DO157" s="716">
        <v>5.6</v>
      </c>
      <c r="DP157" s="716">
        <v>5.8</v>
      </c>
      <c r="DQ157" s="716">
        <v>5.9</v>
      </c>
      <c r="DR157" s="716">
        <v>4.8</v>
      </c>
      <c r="DS157" s="716">
        <v>5</v>
      </c>
      <c r="DT157" s="716">
        <v>5.2</v>
      </c>
      <c r="DU157" s="716">
        <v>5.3</v>
      </c>
      <c r="DV157" s="716">
        <v>5.4</v>
      </c>
      <c r="DW157" s="716">
        <v>5.7</v>
      </c>
      <c r="DX157" s="716">
        <v>5.9</v>
      </c>
      <c r="DY157" s="716">
        <v>5.9</v>
      </c>
      <c r="DZ157" s="716">
        <v>6.1</v>
      </c>
      <c r="EA157" s="716">
        <v>6.3</v>
      </c>
      <c r="EB157" s="716">
        <v>6.5</v>
      </c>
      <c r="EC157" s="716">
        <v>5.1</v>
      </c>
      <c r="ED157" s="716">
        <v>5.2</v>
      </c>
      <c r="EE157" s="716">
        <v>5.3</v>
      </c>
      <c r="EF157" s="716">
        <v>5.5</v>
      </c>
      <c r="EG157" s="716">
        <v>5.6</v>
      </c>
      <c r="EH157" s="716">
        <v>5.9</v>
      </c>
      <c r="EI157" s="716">
        <v>6.1</v>
      </c>
      <c r="EJ157" s="716">
        <v>6.3</v>
      </c>
      <c r="EK157" s="716">
        <v>6.4</v>
      </c>
      <c r="EL157" s="716">
        <v>6.5</v>
      </c>
      <c r="EM157" s="716">
        <v>6.6</v>
      </c>
      <c r="EN157" s="716">
        <v>6.2</v>
      </c>
      <c r="EO157" s="716">
        <v>6.4</v>
      </c>
      <c r="EP157" s="716">
        <v>6.6</v>
      </c>
      <c r="EQ157" s="716">
        <v>6.9</v>
      </c>
      <c r="ER157" s="716">
        <v>7.2</v>
      </c>
      <c r="ES157" s="716">
        <v>7.4</v>
      </c>
      <c r="ET157" s="716">
        <v>7.7</v>
      </c>
      <c r="EU157" s="716">
        <v>7.8</v>
      </c>
      <c r="EV157" s="716">
        <v>8.1</v>
      </c>
      <c r="EW157" s="716">
        <v>8.3</v>
      </c>
      <c r="EX157" s="716">
        <v>8.5</v>
      </c>
      <c r="EY157" s="716">
        <v>0.7</v>
      </c>
      <c r="EZ157" s="716">
        <v>1.4</v>
      </c>
      <c r="FA157" s="716">
        <v>2</v>
      </c>
      <c r="FB157" s="716">
        <v>2.3</v>
      </c>
      <c r="FC157" s="716">
        <v>2.6</v>
      </c>
      <c r="FD157" s="716">
        <v>3</v>
      </c>
      <c r="FE157" s="716">
        <v>3.3</v>
      </c>
      <c r="FF157" s="716">
        <v>3.6</v>
      </c>
      <c r="FG157" s="716">
        <v>4.1</v>
      </c>
      <c r="FH157" s="716">
        <v>4.5</v>
      </c>
      <c r="FI157" s="716">
        <v>4.7</v>
      </c>
      <c r="FJ157" s="726">
        <v>1.2e-6</v>
      </c>
      <c r="FK157" s="726">
        <v>1.3e-8</v>
      </c>
      <c r="FL157" s="726">
        <v>-2.28e-11</v>
      </c>
      <c r="FM157" s="726">
        <v>7.8e-7</v>
      </c>
      <c r="FN157" s="726">
        <v>5.81e-10</v>
      </c>
      <c r="FO157" s="726">
        <v>0.231</v>
      </c>
      <c r="FP157" s="729">
        <v>1</v>
      </c>
      <c r="FQ157" s="729">
        <v>1</v>
      </c>
      <c r="FR157" s="729">
        <v>1</v>
      </c>
      <c r="FS157" s="729">
        <v>1</v>
      </c>
      <c r="FT157" s="729">
        <v>1</v>
      </c>
      <c r="FU157" s="729">
        <v>1</v>
      </c>
      <c r="FV157" s="681">
        <v>1</v>
      </c>
      <c r="FW157" s="729"/>
      <c r="FX157" s="729"/>
      <c r="FY157" s="729"/>
      <c r="FZ157" s="782">
        <v>714</v>
      </c>
      <c r="GA157" s="782">
        <v>760</v>
      </c>
      <c r="GB157" s="681">
        <v>657</v>
      </c>
      <c r="GC157" s="681">
        <v>682</v>
      </c>
      <c r="GD157" s="747">
        <v>0.96</v>
      </c>
      <c r="GE157" s="729"/>
      <c r="GF157" s="681">
        <v>68</v>
      </c>
      <c r="GG157" s="681">
        <v>83</v>
      </c>
      <c r="GH157" s="681">
        <v>60</v>
      </c>
      <c r="GI157" s="681">
        <v>62</v>
      </c>
      <c r="GJ157" s="681">
        <v>64</v>
      </c>
      <c r="GK157" s="681">
        <v>65</v>
      </c>
      <c r="GL157" s="681">
        <v>67</v>
      </c>
      <c r="GM157" s="681">
        <v>68</v>
      </c>
      <c r="GN157" s="681">
        <v>68</v>
      </c>
      <c r="GO157" s="681">
        <v>69</v>
      </c>
      <c r="GP157" s="681">
        <v>70</v>
      </c>
      <c r="GQ157" s="681">
        <v>71</v>
      </c>
      <c r="GR157" s="681">
        <v>72</v>
      </c>
      <c r="GS157" s="681">
        <v>73</v>
      </c>
      <c r="GT157" s="681">
        <v>73</v>
      </c>
      <c r="GU157" s="681">
        <v>74</v>
      </c>
      <c r="GV157" s="681">
        <v>75</v>
      </c>
      <c r="GW157" s="681">
        <v>75</v>
      </c>
      <c r="GX157" s="681">
        <v>76</v>
      </c>
      <c r="GY157" s="681">
        <v>77</v>
      </c>
      <c r="GZ157" s="681">
        <v>78</v>
      </c>
      <c r="HA157" s="681">
        <v>79</v>
      </c>
      <c r="HB157" s="681">
        <v>79</v>
      </c>
      <c r="HC157" s="681"/>
      <c r="HD157" s="750">
        <v>145</v>
      </c>
      <c r="HE157" s="681"/>
      <c r="HF157" s="681">
        <v>676</v>
      </c>
      <c r="HG157" s="681">
        <v>67</v>
      </c>
      <c r="HH157" s="714">
        <v>125.6</v>
      </c>
      <c r="HI157" s="714">
        <v>48</v>
      </c>
      <c r="HJ157" s="753">
        <v>0.304</v>
      </c>
      <c r="HK157" s="681">
        <v>125</v>
      </c>
      <c r="HL157" s="685">
        <v>1.02</v>
      </c>
      <c r="HM157" s="747">
        <v>4.82</v>
      </c>
      <c r="HN157" s="729" t="s">
        <v>1276</v>
      </c>
      <c r="HO157" s="714" t="s">
        <v>1277</v>
      </c>
      <c r="HP157" s="714">
        <v>-1.3</v>
      </c>
      <c r="HQ157" s="753">
        <v>0.709</v>
      </c>
      <c r="HR157" s="753">
        <v>0.908</v>
      </c>
      <c r="HS157" s="753">
        <v>0.959</v>
      </c>
      <c r="HT157" s="753">
        <v>0.988</v>
      </c>
      <c r="HU157" s="753">
        <v>0.995</v>
      </c>
      <c r="HV157" s="753">
        <v>0.999</v>
      </c>
      <c r="HW157" s="753">
        <v>0.999</v>
      </c>
      <c r="HX157" s="753">
        <v>0.999</v>
      </c>
      <c r="HY157" s="753">
        <v>0.999</v>
      </c>
      <c r="HZ157" s="753">
        <v>0.999</v>
      </c>
      <c r="IA157" s="753">
        <v>0.999</v>
      </c>
      <c r="IB157" s="753">
        <v>0.999</v>
      </c>
      <c r="IC157" s="753">
        <v>0.999</v>
      </c>
      <c r="ID157" s="753">
        <v>0.999</v>
      </c>
      <c r="IE157" s="753">
        <v>0.999</v>
      </c>
      <c r="IF157" s="753">
        <v>0.999</v>
      </c>
      <c r="IG157" s="753">
        <v>0.999</v>
      </c>
      <c r="IH157" s="753">
        <v>0.998</v>
      </c>
      <c r="II157" s="753">
        <v>0.993</v>
      </c>
      <c r="IJ157" s="753">
        <v>0.989</v>
      </c>
      <c r="IK157" s="753">
        <v>0.984</v>
      </c>
      <c r="IL157" s="753">
        <v>0.976</v>
      </c>
      <c r="IM157" s="753">
        <v>0.96</v>
      </c>
      <c r="IN157" s="753">
        <v>0.925</v>
      </c>
      <c r="IO157" s="753">
        <v>0.89</v>
      </c>
      <c r="IP157" s="753">
        <v>0.827</v>
      </c>
      <c r="IQ157" s="753">
        <v>0.711</v>
      </c>
      <c r="IR157" s="753">
        <v>0.495</v>
      </c>
      <c r="IS157" s="753">
        <v>0.195</v>
      </c>
      <c r="IT157" s="753"/>
      <c r="IU157" s="753"/>
      <c r="IV157" s="753"/>
      <c r="IW157" s="753"/>
      <c r="IX157" s="753"/>
      <c r="IY157" s="753"/>
      <c r="IZ157" s="753"/>
      <c r="JA157" s="753">
        <v>0.502</v>
      </c>
      <c r="JB157" s="753">
        <v>0.824</v>
      </c>
      <c r="JC157" s="753">
        <v>0.919</v>
      </c>
      <c r="JD157" s="753">
        <v>0.977</v>
      </c>
      <c r="JE157" s="753">
        <v>0.99</v>
      </c>
      <c r="JF157" s="753">
        <v>0.998</v>
      </c>
      <c r="JG157" s="753">
        <v>0.998</v>
      </c>
      <c r="JH157" s="753">
        <v>0.998</v>
      </c>
      <c r="JI157" s="753">
        <v>0.998</v>
      </c>
      <c r="JJ157" s="753">
        <v>0.998</v>
      </c>
      <c r="JK157" s="753">
        <v>0.998</v>
      </c>
      <c r="JL157" s="753">
        <v>0.998</v>
      </c>
      <c r="JM157" s="753">
        <v>0.998</v>
      </c>
      <c r="JN157" s="753">
        <v>0.998</v>
      </c>
      <c r="JO157" s="753">
        <v>0.998</v>
      </c>
      <c r="JP157" s="753">
        <v>0.998</v>
      </c>
      <c r="JQ157" s="753">
        <v>0.998</v>
      </c>
      <c r="JR157" s="753">
        <v>0.996</v>
      </c>
      <c r="JS157" s="753">
        <v>0.986</v>
      </c>
      <c r="JT157" s="753">
        <v>0.979</v>
      </c>
      <c r="JU157" s="753">
        <v>0.968</v>
      </c>
      <c r="JV157" s="753">
        <v>0.952</v>
      </c>
      <c r="JW157" s="753">
        <v>0.922</v>
      </c>
      <c r="JX157" s="753">
        <v>0.856</v>
      </c>
      <c r="JY157" s="753">
        <v>0.792</v>
      </c>
      <c r="JZ157" s="753">
        <v>0.684</v>
      </c>
      <c r="KA157" s="753">
        <v>0.506</v>
      </c>
      <c r="KB157" s="753">
        <v>0.245</v>
      </c>
      <c r="KC157" s="753">
        <v>0.038</v>
      </c>
      <c r="KD157" s="753"/>
      <c r="KE157" s="753"/>
      <c r="KF157" s="753"/>
      <c r="KG157" s="753"/>
      <c r="KH157" s="753"/>
      <c r="KI157" s="753"/>
      <c r="KJ157" s="753"/>
      <c r="KK157" s="765" t="s">
        <v>281</v>
      </c>
      <c r="KL157" s="738">
        <v>59</v>
      </c>
      <c r="KM157" s="738">
        <v>284</v>
      </c>
      <c r="KN157" s="646" t="s">
        <v>282</v>
      </c>
      <c r="KO157" s="646" t="s">
        <v>1275</v>
      </c>
      <c r="KP157" s="779">
        <v>911353</v>
      </c>
      <c r="KQ157" s="789" t="s">
        <v>1268</v>
      </c>
      <c r="KR157" s="750" t="s">
        <v>1269</v>
      </c>
      <c r="KS157" s="789" t="s">
        <v>1278</v>
      </c>
      <c r="KT157" s="770" t="s">
        <v>1271</v>
      </c>
      <c r="KU157" s="789" t="s">
        <v>1279</v>
      </c>
      <c r="KV157" s="790">
        <v>911353</v>
      </c>
      <c r="KW157" s="791" t="s">
        <v>1273</v>
      </c>
      <c r="KX157" s="790" t="s">
        <v>1274</v>
      </c>
      <c r="KY157" s="789"/>
      <c r="KZ157" s="770"/>
    </row>
    <row r="158" s="628" customFormat="1" customHeight="1" spans="1:312">
      <c r="A158" s="682" t="s">
        <v>374</v>
      </c>
      <c r="B158" s="683">
        <v>154</v>
      </c>
      <c r="C158" s="684" t="s">
        <v>1280</v>
      </c>
      <c r="D158" s="779">
        <v>950294</v>
      </c>
      <c r="E158" s="685">
        <v>29.37</v>
      </c>
      <c r="F158" s="685">
        <v>29.15</v>
      </c>
      <c r="G158" s="688">
        <v>0.03235</v>
      </c>
      <c r="H158" s="686">
        <v>0.032852</v>
      </c>
      <c r="I158" s="696">
        <v>1.88995</v>
      </c>
      <c r="J158" s="696">
        <v>1.89709</v>
      </c>
      <c r="K158" s="696">
        <v>1.90559</v>
      </c>
      <c r="L158" s="696">
        <v>1.91477</v>
      </c>
      <c r="M158" s="696">
        <v>1.9167</v>
      </c>
      <c r="N158" s="696">
        <v>1.91837</v>
      </c>
      <c r="O158" s="696">
        <v>1.92534</v>
      </c>
      <c r="P158" s="696">
        <v>1.93052</v>
      </c>
      <c r="Q158" s="697">
        <v>1.9355</v>
      </c>
      <c r="R158" s="697">
        <v>1.94063</v>
      </c>
      <c r="S158" s="697">
        <v>1.94209</v>
      </c>
      <c r="T158" s="701">
        <v>1.94347</v>
      </c>
      <c r="U158" s="697">
        <v>1.94973</v>
      </c>
      <c r="V158" s="697">
        <v>1.95</v>
      </c>
      <c r="W158" s="697">
        <v>1.95764</v>
      </c>
      <c r="X158" s="697">
        <v>1.97298</v>
      </c>
      <c r="Y158" s="697">
        <v>1.97494</v>
      </c>
      <c r="Z158" s="697">
        <v>1.99236</v>
      </c>
      <c r="AA158" s="697">
        <v>2.00958</v>
      </c>
      <c r="AB158" s="697">
        <v>2.04179</v>
      </c>
      <c r="AC158" s="704">
        <v>3.64549592</v>
      </c>
      <c r="AD158" s="704">
        <v>-0.015320014</v>
      </c>
      <c r="AE158" s="704">
        <v>0.0496183427</v>
      </c>
      <c r="AF158" s="704">
        <v>0.00232042227</v>
      </c>
      <c r="AG158" s="704">
        <v>-9.17626876e-5</v>
      </c>
      <c r="AH158" s="704">
        <v>1.92554151e-5</v>
      </c>
      <c r="AI158" s="709">
        <v>0.2896</v>
      </c>
      <c r="AJ158" s="709">
        <v>0.2362</v>
      </c>
      <c r="AK158" s="709">
        <v>0.5991</v>
      </c>
      <c r="AL158" s="709">
        <v>0.2408</v>
      </c>
      <c r="AM158" s="709">
        <v>0.2326</v>
      </c>
      <c r="AN158" s="709">
        <v>0.5303</v>
      </c>
      <c r="AO158" s="709">
        <v>0.0002</v>
      </c>
      <c r="AP158" s="709">
        <v>0.0043</v>
      </c>
      <c r="AQ158" s="709">
        <v>0.0057</v>
      </c>
      <c r="AR158" s="709">
        <v>0.0018</v>
      </c>
      <c r="AS158" s="714">
        <v>4.6</v>
      </c>
      <c r="AT158" s="716">
        <v>4.6</v>
      </c>
      <c r="AU158" s="716">
        <v>4.6</v>
      </c>
      <c r="AV158" s="716">
        <v>4.6</v>
      </c>
      <c r="AW158" s="716">
        <v>4.7</v>
      </c>
      <c r="AX158" s="716">
        <v>4.7</v>
      </c>
      <c r="AY158" s="716">
        <v>4.7</v>
      </c>
      <c r="AZ158" s="716">
        <v>4.8</v>
      </c>
      <c r="BA158" s="716">
        <v>4.8</v>
      </c>
      <c r="BB158" s="716">
        <v>4.9</v>
      </c>
      <c r="BC158" s="716">
        <v>4.9</v>
      </c>
      <c r="BD158" s="716">
        <v>5.2</v>
      </c>
      <c r="BE158" s="716">
        <v>5.2</v>
      </c>
      <c r="BF158" s="716">
        <v>5.3</v>
      </c>
      <c r="BG158" s="716">
        <v>5.3</v>
      </c>
      <c r="BH158" s="716">
        <v>5.4</v>
      </c>
      <c r="BI158" s="716">
        <v>5.5</v>
      </c>
      <c r="BJ158" s="716">
        <v>5.6</v>
      </c>
      <c r="BK158" s="716">
        <v>5.7</v>
      </c>
      <c r="BL158" s="716">
        <v>5.7</v>
      </c>
      <c r="BM158" s="716">
        <v>5.8</v>
      </c>
      <c r="BN158" s="716">
        <v>5.9</v>
      </c>
      <c r="BO158" s="716">
        <v>5.6</v>
      </c>
      <c r="BP158" s="716">
        <v>5.6</v>
      </c>
      <c r="BQ158" s="716">
        <v>5.7</v>
      </c>
      <c r="BR158" s="716">
        <v>5.8</v>
      </c>
      <c r="BS158" s="716">
        <v>5.9</v>
      </c>
      <c r="BT158" s="716">
        <v>5.9</v>
      </c>
      <c r="BU158" s="716">
        <v>5.9</v>
      </c>
      <c r="BV158" s="716">
        <v>6.1</v>
      </c>
      <c r="BW158" s="716">
        <v>6.2</v>
      </c>
      <c r="BX158" s="716">
        <v>6.3</v>
      </c>
      <c r="BY158" s="716">
        <v>6.3</v>
      </c>
      <c r="BZ158" s="716">
        <v>5.6</v>
      </c>
      <c r="CA158" s="716">
        <v>5.7</v>
      </c>
      <c r="CB158" s="716">
        <v>5.8</v>
      </c>
      <c r="CC158" s="716">
        <v>5.9</v>
      </c>
      <c r="CD158" s="716">
        <v>6</v>
      </c>
      <c r="CE158" s="716">
        <v>6</v>
      </c>
      <c r="CF158" s="716">
        <v>6</v>
      </c>
      <c r="CG158" s="716">
        <v>6.2</v>
      </c>
      <c r="CH158" s="716">
        <v>6.3</v>
      </c>
      <c r="CI158" s="716">
        <v>6.4</v>
      </c>
      <c r="CJ158" s="716">
        <v>6.4</v>
      </c>
      <c r="CK158" s="716">
        <v>5.7</v>
      </c>
      <c r="CL158" s="716">
        <v>5.8</v>
      </c>
      <c r="CM158" s="716">
        <v>5.9</v>
      </c>
      <c r="CN158" s="716">
        <v>5.9</v>
      </c>
      <c r="CO158" s="716">
        <v>6</v>
      </c>
      <c r="CP158" s="716">
        <v>6</v>
      </c>
      <c r="CQ158" s="716">
        <v>6.1</v>
      </c>
      <c r="CR158" s="716">
        <v>6.2</v>
      </c>
      <c r="CS158" s="716">
        <v>6.3</v>
      </c>
      <c r="CT158" s="716">
        <v>6.4</v>
      </c>
      <c r="CU158" s="716">
        <v>6.5</v>
      </c>
      <c r="CV158" s="716">
        <v>6</v>
      </c>
      <c r="CW158" s="716">
        <v>6.1</v>
      </c>
      <c r="CX158" s="716">
        <v>6.2</v>
      </c>
      <c r="CY158" s="716">
        <v>6.2</v>
      </c>
      <c r="CZ158" s="716">
        <v>6.3</v>
      </c>
      <c r="DA158" s="716">
        <v>6.3</v>
      </c>
      <c r="DB158" s="716">
        <v>6.4</v>
      </c>
      <c r="DC158" s="716">
        <v>6.5</v>
      </c>
      <c r="DD158" s="716">
        <v>6.6</v>
      </c>
      <c r="DE158" s="716">
        <v>6.7</v>
      </c>
      <c r="DF158" s="716">
        <v>6.8</v>
      </c>
      <c r="DG158" s="716">
        <v>6.6</v>
      </c>
      <c r="DH158" s="716">
        <v>6.7</v>
      </c>
      <c r="DI158" s="716">
        <v>6.8</v>
      </c>
      <c r="DJ158" s="716">
        <v>6.9</v>
      </c>
      <c r="DK158" s="716">
        <v>7</v>
      </c>
      <c r="DL158" s="716">
        <v>7.1</v>
      </c>
      <c r="DM158" s="716">
        <v>7.1</v>
      </c>
      <c r="DN158" s="716">
        <v>7.2</v>
      </c>
      <c r="DO158" s="716">
        <v>7.3</v>
      </c>
      <c r="DP158" s="716">
        <v>7.4</v>
      </c>
      <c r="DQ158" s="716">
        <v>7.5</v>
      </c>
      <c r="DR158" s="716">
        <v>7.7</v>
      </c>
      <c r="DS158" s="716">
        <v>7.9</v>
      </c>
      <c r="DT158" s="716">
        <v>8.1</v>
      </c>
      <c r="DU158" s="716">
        <v>8.2</v>
      </c>
      <c r="DV158" s="716">
        <v>8.3</v>
      </c>
      <c r="DW158" s="716">
        <v>8.4</v>
      </c>
      <c r="DX158" s="716">
        <v>8.5</v>
      </c>
      <c r="DY158" s="716">
        <v>8.6</v>
      </c>
      <c r="DZ158" s="716">
        <v>8.7</v>
      </c>
      <c r="EA158" s="716">
        <v>8.8</v>
      </c>
      <c r="EB158" s="716">
        <v>8.9</v>
      </c>
      <c r="EC158" s="716">
        <v>7.8</v>
      </c>
      <c r="ED158" s="716">
        <v>8</v>
      </c>
      <c r="EE158" s="716">
        <v>8.2</v>
      </c>
      <c r="EF158" s="716">
        <v>8.3</v>
      </c>
      <c r="EG158" s="716">
        <v>8.4</v>
      </c>
      <c r="EH158" s="716">
        <v>8.5</v>
      </c>
      <c r="EI158" s="716">
        <v>8.6</v>
      </c>
      <c r="EJ158" s="716">
        <v>8.7</v>
      </c>
      <c r="EK158" s="716">
        <v>8.8</v>
      </c>
      <c r="EL158" s="716">
        <v>8.9</v>
      </c>
      <c r="EM158" s="716">
        <v>9</v>
      </c>
      <c r="EN158" s="716">
        <v>9.1</v>
      </c>
      <c r="EO158" s="716">
        <v>9.2</v>
      </c>
      <c r="EP158" s="716">
        <v>9.3</v>
      </c>
      <c r="EQ158" s="716">
        <v>9.5</v>
      </c>
      <c r="ER158" s="716">
        <v>9.7</v>
      </c>
      <c r="ES158" s="716">
        <v>9.8</v>
      </c>
      <c r="ET158" s="716">
        <v>10.1</v>
      </c>
      <c r="EU158" s="716">
        <v>10.2</v>
      </c>
      <c r="EV158" s="716">
        <v>10.4</v>
      </c>
      <c r="EW158" s="716">
        <v>10.5</v>
      </c>
      <c r="EX158" s="716">
        <v>10.7</v>
      </c>
      <c r="EY158" s="716">
        <v>2.6</v>
      </c>
      <c r="EZ158" s="716">
        <v>3.2</v>
      </c>
      <c r="FA158" s="716">
        <v>3.7</v>
      </c>
      <c r="FB158" s="716">
        <v>4</v>
      </c>
      <c r="FC158" s="716">
        <v>4.3</v>
      </c>
      <c r="FD158" s="716">
        <v>4.5</v>
      </c>
      <c r="FE158" s="716">
        <v>4.8</v>
      </c>
      <c r="FF158" s="716">
        <v>5</v>
      </c>
      <c r="FG158" s="716">
        <v>5.2</v>
      </c>
      <c r="FH158" s="716">
        <v>5.4</v>
      </c>
      <c r="FI158" s="716">
        <v>5.6</v>
      </c>
      <c r="FJ158" s="726">
        <v>3.47e-6</v>
      </c>
      <c r="FK158" s="726">
        <v>1.08e-8</v>
      </c>
      <c r="FL158" s="726">
        <v>-2.35e-11</v>
      </c>
      <c r="FM158" s="726">
        <v>7.66e-7</v>
      </c>
      <c r="FN158" s="726">
        <v>4.26e-10</v>
      </c>
      <c r="FO158" s="726">
        <v>0.284</v>
      </c>
      <c r="FP158" s="729">
        <v>1</v>
      </c>
      <c r="FQ158" s="729">
        <v>1</v>
      </c>
      <c r="FR158" s="729">
        <v>1</v>
      </c>
      <c r="FS158" s="729">
        <v>1</v>
      </c>
      <c r="FT158" s="729">
        <v>1</v>
      </c>
      <c r="FU158" s="729">
        <v>1</v>
      </c>
      <c r="FV158" s="681">
        <v>1</v>
      </c>
      <c r="FW158" s="729"/>
      <c r="FX158" s="729"/>
      <c r="FY158" s="729"/>
      <c r="FZ158" s="782">
        <v>677</v>
      </c>
      <c r="GA158" s="782">
        <v>714</v>
      </c>
      <c r="GB158" s="681">
        <v>617</v>
      </c>
      <c r="GC158" s="681">
        <v>653</v>
      </c>
      <c r="GD158" s="747">
        <v>1.05</v>
      </c>
      <c r="GE158" s="729"/>
      <c r="GF158" s="681">
        <v>68</v>
      </c>
      <c r="GG158" s="681">
        <v>83</v>
      </c>
      <c r="GH158" s="681">
        <v>61</v>
      </c>
      <c r="GI158" s="681">
        <v>64</v>
      </c>
      <c r="GJ158" s="681">
        <v>65</v>
      </c>
      <c r="GK158" s="681">
        <v>66</v>
      </c>
      <c r="GL158" s="681">
        <v>67</v>
      </c>
      <c r="GM158" s="681">
        <v>68</v>
      </c>
      <c r="GN158" s="681">
        <v>69</v>
      </c>
      <c r="GO158" s="681">
        <v>69</v>
      </c>
      <c r="GP158" s="681">
        <v>70</v>
      </c>
      <c r="GQ158" s="681">
        <v>71</v>
      </c>
      <c r="GR158" s="681">
        <v>71</v>
      </c>
      <c r="GS158" s="681">
        <v>72</v>
      </c>
      <c r="GT158" s="681">
        <v>72</v>
      </c>
      <c r="GU158" s="681">
        <v>73</v>
      </c>
      <c r="GV158" s="681">
        <v>74</v>
      </c>
      <c r="GW158" s="681">
        <v>75</v>
      </c>
      <c r="GX158" s="681">
        <v>76</v>
      </c>
      <c r="GY158" s="681">
        <v>77</v>
      </c>
      <c r="GZ158" s="681">
        <v>78</v>
      </c>
      <c r="HA158" s="681">
        <v>79</v>
      </c>
      <c r="HB158" s="681">
        <v>80</v>
      </c>
      <c r="HC158" s="681"/>
      <c r="HD158" s="750">
        <v>185</v>
      </c>
      <c r="HE158" s="681"/>
      <c r="HF158" s="681">
        <v>625</v>
      </c>
      <c r="HG158" s="681">
        <v>66</v>
      </c>
      <c r="HH158" s="714">
        <v>120</v>
      </c>
      <c r="HI158" s="714">
        <v>45.7</v>
      </c>
      <c r="HJ158" s="753">
        <v>0.314</v>
      </c>
      <c r="HK158" s="681">
        <v>61</v>
      </c>
      <c r="HL158" s="685">
        <v>1.25</v>
      </c>
      <c r="HM158" s="747">
        <v>4.77</v>
      </c>
      <c r="HN158" s="729" t="s">
        <v>1281</v>
      </c>
      <c r="HO158" s="714" t="s">
        <v>1282</v>
      </c>
      <c r="HP158" s="714">
        <v>-2.4</v>
      </c>
      <c r="HQ158" s="753">
        <v>0.926</v>
      </c>
      <c r="HR158" s="753">
        <v>0.976</v>
      </c>
      <c r="HS158" s="753">
        <v>0.983</v>
      </c>
      <c r="HT158" s="753">
        <v>0.996</v>
      </c>
      <c r="HU158" s="753">
        <v>0.996</v>
      </c>
      <c r="HV158" s="753">
        <v>0.996</v>
      </c>
      <c r="HW158" s="753">
        <v>0.996</v>
      </c>
      <c r="HX158" s="753">
        <v>0.996</v>
      </c>
      <c r="HY158" s="753">
        <v>0.996</v>
      </c>
      <c r="HZ158" s="753">
        <v>0.996</v>
      </c>
      <c r="IA158" s="753">
        <v>0.996</v>
      </c>
      <c r="IB158" s="753">
        <v>0.996</v>
      </c>
      <c r="IC158" s="753">
        <v>0.996</v>
      </c>
      <c r="ID158" s="753">
        <v>0.996</v>
      </c>
      <c r="IE158" s="753">
        <v>0.996</v>
      </c>
      <c r="IF158" s="753">
        <v>0.996</v>
      </c>
      <c r="IG158" s="753">
        <v>0.996</v>
      </c>
      <c r="IH158" s="753">
        <v>0.991</v>
      </c>
      <c r="II158" s="753">
        <v>0.981</v>
      </c>
      <c r="IJ158" s="753">
        <v>0.968</v>
      </c>
      <c r="IK158" s="753">
        <v>0.953</v>
      </c>
      <c r="IL158" s="753">
        <v>0.929</v>
      </c>
      <c r="IM158" s="753">
        <v>0.87</v>
      </c>
      <c r="IN158" s="753">
        <v>0.73</v>
      </c>
      <c r="IO158" s="753">
        <v>0.604</v>
      </c>
      <c r="IP158" s="753">
        <v>0.426</v>
      </c>
      <c r="IQ158" s="753">
        <v>0.212</v>
      </c>
      <c r="IR158" s="753">
        <v>0.165</v>
      </c>
      <c r="IS158" s="753"/>
      <c r="IT158" s="753"/>
      <c r="IU158" s="753"/>
      <c r="IV158" s="753"/>
      <c r="IW158" s="753"/>
      <c r="IX158" s="753"/>
      <c r="IY158" s="753"/>
      <c r="IZ158" s="753"/>
      <c r="JA158" s="753">
        <v>0.857</v>
      </c>
      <c r="JB158" s="753">
        <v>0.953</v>
      </c>
      <c r="JC158" s="753">
        <v>0.966</v>
      </c>
      <c r="JD158" s="753">
        <v>0.992</v>
      </c>
      <c r="JE158" s="753">
        <v>0.992</v>
      </c>
      <c r="JF158" s="753">
        <v>0.992</v>
      </c>
      <c r="JG158" s="753">
        <v>0.992</v>
      </c>
      <c r="JH158" s="753">
        <v>0.992</v>
      </c>
      <c r="JI158" s="753">
        <v>0.992</v>
      </c>
      <c r="JJ158" s="753">
        <v>0.992</v>
      </c>
      <c r="JK158" s="753">
        <v>0.992</v>
      </c>
      <c r="JL158" s="753">
        <v>0.992</v>
      </c>
      <c r="JM158" s="753">
        <v>0.992</v>
      </c>
      <c r="JN158" s="753">
        <v>0.992</v>
      </c>
      <c r="JO158" s="753">
        <v>0.992</v>
      </c>
      <c r="JP158" s="753">
        <v>0.992</v>
      </c>
      <c r="JQ158" s="753">
        <v>0.992</v>
      </c>
      <c r="JR158" s="753">
        <v>0.982</v>
      </c>
      <c r="JS158" s="753">
        <v>0.962</v>
      </c>
      <c r="JT158" s="753">
        <v>0.937</v>
      </c>
      <c r="JU158" s="753">
        <v>0.908</v>
      </c>
      <c r="JV158" s="753">
        <v>0.863</v>
      </c>
      <c r="JW158" s="753">
        <v>0.757</v>
      </c>
      <c r="JX158" s="753">
        <v>0.533</v>
      </c>
      <c r="JY158" s="753">
        <v>0.365</v>
      </c>
      <c r="JZ158" s="753">
        <v>0.181</v>
      </c>
      <c r="KA158" s="753">
        <v>0.045</v>
      </c>
      <c r="KB158" s="753">
        <v>0.027</v>
      </c>
      <c r="KC158" s="753"/>
      <c r="KD158" s="753"/>
      <c r="KE158" s="753"/>
      <c r="KF158" s="753"/>
      <c r="KG158" s="753"/>
      <c r="KH158" s="753"/>
      <c r="KI158" s="753"/>
      <c r="KJ158" s="753"/>
      <c r="KK158" s="765" t="s">
        <v>281</v>
      </c>
      <c r="KL158" s="738">
        <v>175</v>
      </c>
      <c r="KM158" s="738">
        <v>835</v>
      </c>
      <c r="KN158" s="646" t="s">
        <v>303</v>
      </c>
      <c r="KO158" s="646" t="s">
        <v>1280</v>
      </c>
      <c r="KP158" s="779">
        <v>950294</v>
      </c>
      <c r="KQ158" s="789"/>
      <c r="KR158" s="750"/>
      <c r="KS158" s="789"/>
      <c r="KT158" s="770"/>
      <c r="KU158" s="789"/>
      <c r="KV158" s="790"/>
      <c r="KW158" s="791"/>
      <c r="KX158" s="790"/>
      <c r="KY158" s="789" t="s">
        <v>1283</v>
      </c>
      <c r="KZ158" s="770" t="s">
        <v>1284</v>
      </c>
    </row>
    <row r="159" s="628" customFormat="1" customHeight="1" spans="1:312">
      <c r="A159" s="682" t="s">
        <v>277</v>
      </c>
      <c r="B159" s="683">
        <v>155</v>
      </c>
      <c r="C159" s="684" t="s">
        <v>1285</v>
      </c>
      <c r="D159" s="779">
        <v>850301</v>
      </c>
      <c r="E159" s="685">
        <v>30.06</v>
      </c>
      <c r="F159" s="685">
        <v>29.84</v>
      </c>
      <c r="G159" s="688">
        <v>0.028285</v>
      </c>
      <c r="H159" s="686">
        <v>0.028715</v>
      </c>
      <c r="I159" s="696"/>
      <c r="J159" s="696"/>
      <c r="K159" s="696"/>
      <c r="L159" s="696">
        <v>1.81918</v>
      </c>
      <c r="M159" s="696">
        <v>1.82091</v>
      </c>
      <c r="N159" s="696">
        <v>1.82239</v>
      </c>
      <c r="O159" s="696">
        <v>1.82855</v>
      </c>
      <c r="P159" s="696">
        <v>1.83308</v>
      </c>
      <c r="Q159" s="697">
        <v>1.83743</v>
      </c>
      <c r="R159" s="697">
        <v>1.84192</v>
      </c>
      <c r="S159" s="697">
        <v>1.8432</v>
      </c>
      <c r="T159" s="701">
        <v>1.84441</v>
      </c>
      <c r="U159" s="697">
        <v>1.84988</v>
      </c>
      <c r="V159" s="697">
        <v>1.85013</v>
      </c>
      <c r="W159" s="697">
        <v>1.85681</v>
      </c>
      <c r="X159" s="697">
        <v>1.87021</v>
      </c>
      <c r="Y159" s="697">
        <v>1.87192</v>
      </c>
      <c r="Z159" s="697">
        <v>1.88716</v>
      </c>
      <c r="AA159" s="697">
        <v>1.90224</v>
      </c>
      <c r="AB159" s="697">
        <v>1.9306</v>
      </c>
      <c r="AC159" s="704">
        <v>3.29574422</v>
      </c>
      <c r="AD159" s="704">
        <v>-0.0145780001</v>
      </c>
      <c r="AE159" s="704">
        <v>0.0391228442</v>
      </c>
      <c r="AF159" s="704">
        <v>0.00260140747</v>
      </c>
      <c r="AG159" s="704">
        <v>-0.000183898297</v>
      </c>
      <c r="AH159" s="704">
        <v>2.23647491e-5</v>
      </c>
      <c r="AI159" s="709">
        <v>0.2903</v>
      </c>
      <c r="AJ159" s="709">
        <v>0.2362</v>
      </c>
      <c r="AK159" s="709">
        <v>0.5993</v>
      </c>
      <c r="AL159" s="709">
        <v>0.2413</v>
      </c>
      <c r="AM159" s="709">
        <v>0.2326</v>
      </c>
      <c r="AN159" s="709">
        <v>0.5307</v>
      </c>
      <c r="AO159" s="709">
        <v>0.0001</v>
      </c>
      <c r="AP159" s="709">
        <v>0.0056</v>
      </c>
      <c r="AQ159" s="709">
        <v>0.0047</v>
      </c>
      <c r="AR159" s="709">
        <v>0.0001</v>
      </c>
      <c r="AS159" s="714">
        <v>1.6</v>
      </c>
      <c r="AT159" s="716">
        <v>1.6</v>
      </c>
      <c r="AU159" s="716">
        <v>1.8</v>
      </c>
      <c r="AV159" s="716">
        <v>1.8</v>
      </c>
      <c r="AW159" s="716">
        <v>1.9</v>
      </c>
      <c r="AX159" s="716">
        <v>2.1</v>
      </c>
      <c r="AY159" s="716">
        <v>2.2</v>
      </c>
      <c r="AZ159" s="716">
        <v>2.3</v>
      </c>
      <c r="BA159" s="716">
        <v>2.5</v>
      </c>
      <c r="BB159" s="716">
        <v>2.6</v>
      </c>
      <c r="BC159" s="716">
        <v>2.7</v>
      </c>
      <c r="BD159" s="716">
        <v>1.9</v>
      </c>
      <c r="BE159" s="716">
        <v>2.2</v>
      </c>
      <c r="BF159" s="716">
        <v>2.4</v>
      </c>
      <c r="BG159" s="716">
        <v>2.5</v>
      </c>
      <c r="BH159" s="716">
        <v>2.6</v>
      </c>
      <c r="BI159" s="716">
        <v>2.7</v>
      </c>
      <c r="BJ159" s="716">
        <v>2.8</v>
      </c>
      <c r="BK159" s="716">
        <v>2.9</v>
      </c>
      <c r="BL159" s="716">
        <v>3.1</v>
      </c>
      <c r="BM159" s="716">
        <v>3.3</v>
      </c>
      <c r="BN159" s="716">
        <v>3.5</v>
      </c>
      <c r="BO159" s="716">
        <v>2.4</v>
      </c>
      <c r="BP159" s="716">
        <v>2.6</v>
      </c>
      <c r="BQ159" s="716">
        <v>2.6</v>
      </c>
      <c r="BR159" s="716">
        <v>2.8</v>
      </c>
      <c r="BS159" s="716">
        <v>2.9</v>
      </c>
      <c r="BT159" s="716">
        <v>2.9</v>
      </c>
      <c r="BU159" s="716">
        <v>3</v>
      </c>
      <c r="BV159" s="716">
        <v>3.2</v>
      </c>
      <c r="BW159" s="716">
        <v>3.4</v>
      </c>
      <c r="BX159" s="716">
        <v>3.6</v>
      </c>
      <c r="BY159" s="716">
        <v>3.8</v>
      </c>
      <c r="BZ159" s="716">
        <v>2.5</v>
      </c>
      <c r="CA159" s="716">
        <v>2.7</v>
      </c>
      <c r="CB159" s="716">
        <v>2.8</v>
      </c>
      <c r="CC159" s="716">
        <v>2.9</v>
      </c>
      <c r="CD159" s="716">
        <v>3</v>
      </c>
      <c r="CE159" s="716">
        <v>3.1</v>
      </c>
      <c r="CF159" s="716">
        <v>3.3</v>
      </c>
      <c r="CG159" s="716">
        <v>3.5</v>
      </c>
      <c r="CH159" s="716">
        <v>3.6</v>
      </c>
      <c r="CI159" s="716">
        <v>3.8</v>
      </c>
      <c r="CJ159" s="716">
        <v>4.1</v>
      </c>
      <c r="CK159" s="716">
        <v>2.7</v>
      </c>
      <c r="CL159" s="716">
        <v>2.9</v>
      </c>
      <c r="CM159" s="716">
        <v>3</v>
      </c>
      <c r="CN159" s="716">
        <v>3.1</v>
      </c>
      <c r="CO159" s="716">
        <v>3.3</v>
      </c>
      <c r="CP159" s="716">
        <v>3.4</v>
      </c>
      <c r="CQ159" s="716">
        <v>3.6</v>
      </c>
      <c r="CR159" s="716">
        <v>3.8</v>
      </c>
      <c r="CS159" s="716">
        <v>4</v>
      </c>
      <c r="CT159" s="716">
        <v>4.2</v>
      </c>
      <c r="CU159" s="716">
        <v>4.4</v>
      </c>
      <c r="CV159" s="716">
        <v>2.9</v>
      </c>
      <c r="CW159" s="716">
        <v>3.1</v>
      </c>
      <c r="CX159" s="716">
        <v>3.2</v>
      </c>
      <c r="CY159" s="716">
        <v>3.3</v>
      </c>
      <c r="CZ159" s="716">
        <v>3.5</v>
      </c>
      <c r="DA159" s="716">
        <v>3.7</v>
      </c>
      <c r="DB159" s="716">
        <v>4</v>
      </c>
      <c r="DC159" s="716">
        <v>4.2</v>
      </c>
      <c r="DD159" s="716">
        <v>4.3</v>
      </c>
      <c r="DE159" s="716">
        <v>4.5</v>
      </c>
      <c r="DF159" s="716">
        <v>4.6</v>
      </c>
      <c r="DG159" s="716">
        <v>3.5</v>
      </c>
      <c r="DH159" s="716">
        <v>3.6</v>
      </c>
      <c r="DI159" s="716">
        <v>3.8</v>
      </c>
      <c r="DJ159" s="716">
        <v>3.9</v>
      </c>
      <c r="DK159" s="716">
        <v>4.1</v>
      </c>
      <c r="DL159" s="716">
        <v>4.2</v>
      </c>
      <c r="DM159" s="716">
        <v>4.4</v>
      </c>
      <c r="DN159" s="716">
        <v>4.5</v>
      </c>
      <c r="DO159" s="716">
        <v>4.8</v>
      </c>
      <c r="DP159" s="716">
        <v>5</v>
      </c>
      <c r="DQ159" s="716">
        <v>5.1</v>
      </c>
      <c r="DR159" s="716">
        <v>3.7</v>
      </c>
      <c r="DS159" s="716">
        <v>3.9</v>
      </c>
      <c r="DT159" s="716">
        <v>4</v>
      </c>
      <c r="DU159" s="716">
        <v>4.1</v>
      </c>
      <c r="DV159" s="716">
        <v>4.2</v>
      </c>
      <c r="DW159" s="716">
        <v>4.4</v>
      </c>
      <c r="DX159" s="716">
        <v>4.7</v>
      </c>
      <c r="DY159" s="716">
        <v>4.9</v>
      </c>
      <c r="DZ159" s="716">
        <v>5.1</v>
      </c>
      <c r="EA159" s="716">
        <v>5.3</v>
      </c>
      <c r="EB159" s="716">
        <v>5.5</v>
      </c>
      <c r="EC159" s="716">
        <v>3.9</v>
      </c>
      <c r="ED159" s="716">
        <v>4.1</v>
      </c>
      <c r="EE159" s="716">
        <v>4.3</v>
      </c>
      <c r="EF159" s="716">
        <v>4.5</v>
      </c>
      <c r="EG159" s="716">
        <v>4.6</v>
      </c>
      <c r="EH159" s="716">
        <v>4.7</v>
      </c>
      <c r="EI159" s="716">
        <v>5</v>
      </c>
      <c r="EJ159" s="716">
        <v>5.1</v>
      </c>
      <c r="EK159" s="716">
        <v>5.3</v>
      </c>
      <c r="EL159" s="716">
        <v>5.6</v>
      </c>
      <c r="EM159" s="716">
        <v>5.8</v>
      </c>
      <c r="EN159" s="716">
        <v>5.8</v>
      </c>
      <c r="EO159" s="716">
        <v>6.2</v>
      </c>
      <c r="EP159" s="716">
        <v>6.5</v>
      </c>
      <c r="EQ159" s="716">
        <v>6.8</v>
      </c>
      <c r="ER159" s="716">
        <v>7.1</v>
      </c>
      <c r="ES159" s="716">
        <v>7.3</v>
      </c>
      <c r="ET159" s="716">
        <v>7.6</v>
      </c>
      <c r="EU159" s="716">
        <v>7.8</v>
      </c>
      <c r="EV159" s="716">
        <v>8</v>
      </c>
      <c r="EW159" s="716">
        <v>8.2</v>
      </c>
      <c r="EX159" s="716">
        <v>8.4</v>
      </c>
      <c r="EY159" s="716">
        <v>-0.3</v>
      </c>
      <c r="EZ159" s="716">
        <v>0.4</v>
      </c>
      <c r="FA159" s="716">
        <v>0.9</v>
      </c>
      <c r="FB159" s="716">
        <v>1.3</v>
      </c>
      <c r="FC159" s="716">
        <v>1.7</v>
      </c>
      <c r="FD159" s="716">
        <v>2</v>
      </c>
      <c r="FE159" s="716">
        <v>2.3</v>
      </c>
      <c r="FF159" s="716">
        <v>2.7</v>
      </c>
      <c r="FG159" s="716">
        <v>3</v>
      </c>
      <c r="FH159" s="716">
        <v>3.3</v>
      </c>
      <c r="FI159" s="716">
        <v>3.5</v>
      </c>
      <c r="FJ159" s="726">
        <v>4.46e-7</v>
      </c>
      <c r="FK159" s="726">
        <v>1.46e-8</v>
      </c>
      <c r="FL159" s="726">
        <v>-2.16e-11</v>
      </c>
      <c r="FM159" s="726">
        <v>3.92e-7</v>
      </c>
      <c r="FN159" s="726">
        <v>2.47e-10</v>
      </c>
      <c r="FO159" s="726">
        <v>0.36</v>
      </c>
      <c r="FP159" s="729">
        <v>1</v>
      </c>
      <c r="FQ159" s="729">
        <v>1</v>
      </c>
      <c r="FR159" s="729">
        <v>1</v>
      </c>
      <c r="FS159" s="729">
        <v>2</v>
      </c>
      <c r="FT159" s="729">
        <v>1</v>
      </c>
      <c r="FU159" s="729">
        <v>1</v>
      </c>
      <c r="FV159" s="681">
        <v>1</v>
      </c>
      <c r="FW159" s="729"/>
      <c r="FX159" s="729"/>
      <c r="FY159" s="729"/>
      <c r="FZ159" s="782">
        <v>633</v>
      </c>
      <c r="GA159" s="782">
        <v>682</v>
      </c>
      <c r="GB159" s="681">
        <v>570</v>
      </c>
      <c r="GC159" s="681">
        <v>606</v>
      </c>
      <c r="GD159" s="747">
        <v>0.94</v>
      </c>
      <c r="GE159" s="729"/>
      <c r="GF159" s="681">
        <v>72</v>
      </c>
      <c r="GG159" s="681">
        <v>88</v>
      </c>
      <c r="GH159" s="681">
        <v>65</v>
      </c>
      <c r="GI159" s="681">
        <v>67</v>
      </c>
      <c r="GJ159" s="681">
        <v>67</v>
      </c>
      <c r="GK159" s="681">
        <v>68</v>
      </c>
      <c r="GL159" s="681">
        <v>70</v>
      </c>
      <c r="GM159" s="681">
        <v>71</v>
      </c>
      <c r="GN159" s="681">
        <v>71</v>
      </c>
      <c r="GO159" s="681">
        <v>73</v>
      </c>
      <c r="GP159" s="681">
        <v>75</v>
      </c>
      <c r="GQ159" s="681">
        <v>76</v>
      </c>
      <c r="GR159" s="681">
        <v>77</v>
      </c>
      <c r="GS159" s="681">
        <v>78</v>
      </c>
      <c r="GT159" s="681">
        <v>78</v>
      </c>
      <c r="GU159" s="681">
        <v>81</v>
      </c>
      <c r="GV159" s="681">
        <v>82</v>
      </c>
      <c r="GW159" s="681">
        <v>84</v>
      </c>
      <c r="GX159" s="681">
        <v>85</v>
      </c>
      <c r="GY159" s="681">
        <v>86</v>
      </c>
      <c r="GZ159" s="681">
        <v>88</v>
      </c>
      <c r="HA159" s="681">
        <v>88</v>
      </c>
      <c r="HB159" s="681">
        <v>89</v>
      </c>
      <c r="HC159" s="681"/>
      <c r="HD159" s="750">
        <v>205</v>
      </c>
      <c r="HE159" s="681"/>
      <c r="HF159" s="681">
        <v>558</v>
      </c>
      <c r="HG159" s="681">
        <v>188</v>
      </c>
      <c r="HH159" s="714">
        <v>122</v>
      </c>
      <c r="HI159" s="714">
        <v>47</v>
      </c>
      <c r="HJ159" s="753">
        <v>0.297</v>
      </c>
      <c r="HK159" s="681">
        <v>94</v>
      </c>
      <c r="HL159" s="685">
        <v>1.93</v>
      </c>
      <c r="HM159" s="747">
        <v>4.06</v>
      </c>
      <c r="HN159" s="729" t="s">
        <v>1249</v>
      </c>
      <c r="HO159" s="714" t="s">
        <v>1286</v>
      </c>
      <c r="HP159" s="714">
        <v>0</v>
      </c>
      <c r="HQ159" s="753">
        <v>0.891</v>
      </c>
      <c r="HR159" s="753">
        <v>0.956</v>
      </c>
      <c r="HS159" s="753">
        <v>0.982</v>
      </c>
      <c r="HT159" s="753">
        <v>0.991</v>
      </c>
      <c r="HU159" s="753">
        <v>0.996</v>
      </c>
      <c r="HV159" s="753">
        <v>0.997</v>
      </c>
      <c r="HW159" s="753">
        <v>0.999</v>
      </c>
      <c r="HX159" s="753">
        <v>0.999</v>
      </c>
      <c r="HY159" s="753">
        <v>0.999</v>
      </c>
      <c r="HZ159" s="753">
        <v>0.999</v>
      </c>
      <c r="IA159" s="753">
        <v>0.999</v>
      </c>
      <c r="IB159" s="753">
        <v>0.999</v>
      </c>
      <c r="IC159" s="753">
        <v>0.999</v>
      </c>
      <c r="ID159" s="753">
        <v>0.999</v>
      </c>
      <c r="IE159" s="753">
        <v>0.999</v>
      </c>
      <c r="IF159" s="753">
        <v>0.999</v>
      </c>
      <c r="IG159" s="753">
        <v>0.997</v>
      </c>
      <c r="IH159" s="753">
        <v>0.996</v>
      </c>
      <c r="II159" s="753">
        <v>0.991</v>
      </c>
      <c r="IJ159" s="753">
        <v>0.987</v>
      </c>
      <c r="IK159" s="753">
        <v>0.982</v>
      </c>
      <c r="IL159" s="753">
        <v>0.974</v>
      </c>
      <c r="IM159" s="753">
        <v>0.957</v>
      </c>
      <c r="IN159" s="753">
        <v>0.919</v>
      </c>
      <c r="IO159" s="753">
        <v>0.876</v>
      </c>
      <c r="IP159" s="753">
        <v>0.789</v>
      </c>
      <c r="IQ159" s="753">
        <v>0.577</v>
      </c>
      <c r="IR159" s="753">
        <v>0.252</v>
      </c>
      <c r="IS159" s="753"/>
      <c r="IT159" s="753"/>
      <c r="IU159" s="753"/>
      <c r="IV159" s="753"/>
      <c r="IW159" s="753"/>
      <c r="IX159" s="753"/>
      <c r="IY159" s="753"/>
      <c r="IZ159" s="753"/>
      <c r="JA159" s="753">
        <v>0.793</v>
      </c>
      <c r="JB159" s="753">
        <v>0.914</v>
      </c>
      <c r="JC159" s="753">
        <v>0.965</v>
      </c>
      <c r="JD159" s="753">
        <v>0.983</v>
      </c>
      <c r="JE159" s="753">
        <v>0.993</v>
      </c>
      <c r="JF159" s="753">
        <v>0.994</v>
      </c>
      <c r="JG159" s="753">
        <v>0.998</v>
      </c>
      <c r="JH159" s="753">
        <v>0.998</v>
      </c>
      <c r="JI159" s="753">
        <v>0.998</v>
      </c>
      <c r="JJ159" s="753">
        <v>0.998</v>
      </c>
      <c r="JK159" s="753">
        <v>0.998</v>
      </c>
      <c r="JL159" s="753">
        <v>0.998</v>
      </c>
      <c r="JM159" s="753">
        <v>0.998</v>
      </c>
      <c r="JN159" s="753">
        <v>0.998</v>
      </c>
      <c r="JO159" s="753">
        <v>0.998</v>
      </c>
      <c r="JP159" s="753">
        <v>0.997</v>
      </c>
      <c r="JQ159" s="753">
        <v>0.995</v>
      </c>
      <c r="JR159" s="753">
        <v>0.992</v>
      </c>
      <c r="JS159" s="753">
        <v>0.982</v>
      </c>
      <c r="JT159" s="753">
        <v>0.974</v>
      </c>
      <c r="JU159" s="753">
        <v>0.964</v>
      </c>
      <c r="JV159" s="753">
        <v>0.948</v>
      </c>
      <c r="JW159" s="753">
        <v>0.916</v>
      </c>
      <c r="JX159" s="753">
        <v>0.844</v>
      </c>
      <c r="JY159" s="753">
        <v>0.768</v>
      </c>
      <c r="JZ159" s="753">
        <v>0.622</v>
      </c>
      <c r="KA159" s="753">
        <v>0.333</v>
      </c>
      <c r="KB159" s="753">
        <v>0.063</v>
      </c>
      <c r="KC159" s="753"/>
      <c r="KD159" s="753"/>
      <c r="KE159" s="753"/>
      <c r="KF159" s="753"/>
      <c r="KG159" s="753"/>
      <c r="KH159" s="753"/>
      <c r="KI159" s="753"/>
      <c r="KJ159" s="753"/>
      <c r="KK159" s="765" t="s">
        <v>281</v>
      </c>
      <c r="KL159" s="738">
        <v>73</v>
      </c>
      <c r="KM159" s="738">
        <v>296</v>
      </c>
      <c r="KN159" s="646" t="s">
        <v>282</v>
      </c>
      <c r="KO159" s="646" t="s">
        <v>1285</v>
      </c>
      <c r="KP159" s="779">
        <v>850301</v>
      </c>
      <c r="KQ159" s="789" t="s">
        <v>1287</v>
      </c>
      <c r="KR159" s="750" t="s">
        <v>1288</v>
      </c>
      <c r="KS159" s="789" t="s">
        <v>1289</v>
      </c>
      <c r="KT159" s="770">
        <v>850301</v>
      </c>
      <c r="KU159" s="789"/>
      <c r="KV159" s="790"/>
      <c r="KW159" s="791"/>
      <c r="KX159" s="790"/>
      <c r="KY159" s="789" t="s">
        <v>1290</v>
      </c>
      <c r="KZ159" s="770" t="s">
        <v>1201</v>
      </c>
    </row>
    <row r="160" s="628" customFormat="1" customHeight="1" spans="1:312">
      <c r="A160" s="682" t="s">
        <v>277</v>
      </c>
      <c r="B160" s="683">
        <v>156</v>
      </c>
      <c r="C160" s="684" t="s">
        <v>1291</v>
      </c>
      <c r="D160" s="779">
        <v>954323</v>
      </c>
      <c r="E160" s="685">
        <v>32.32</v>
      </c>
      <c r="F160" s="685">
        <v>32.09</v>
      </c>
      <c r="G160" s="688">
        <v>0.029506</v>
      </c>
      <c r="H160" s="686">
        <v>0.02994</v>
      </c>
      <c r="I160" s="696">
        <v>1.89738</v>
      </c>
      <c r="J160" s="696">
        <v>1.90433</v>
      </c>
      <c r="K160" s="696">
        <v>1.9125</v>
      </c>
      <c r="L160" s="696">
        <v>1.92116</v>
      </c>
      <c r="M160" s="696">
        <v>1.92298</v>
      </c>
      <c r="N160" s="696">
        <v>1.92453</v>
      </c>
      <c r="O160" s="696">
        <v>1.93102</v>
      </c>
      <c r="P160" s="696">
        <v>1.93582</v>
      </c>
      <c r="Q160" s="697">
        <v>1.94042</v>
      </c>
      <c r="R160" s="697">
        <v>1.94514</v>
      </c>
      <c r="S160" s="697">
        <v>1.94649</v>
      </c>
      <c r="T160" s="701">
        <v>1.94775</v>
      </c>
      <c r="U160" s="697">
        <v>1.95349</v>
      </c>
      <c r="V160" s="697">
        <v>1.95375</v>
      </c>
      <c r="W160" s="697">
        <v>1.96073</v>
      </c>
      <c r="X160" s="697">
        <v>1.97465</v>
      </c>
      <c r="Y160" s="697">
        <v>1.97643</v>
      </c>
      <c r="Z160" s="697">
        <v>1.99207</v>
      </c>
      <c r="AA160" s="697">
        <v>2.00732</v>
      </c>
      <c r="AB160" s="697">
        <v>2.03539</v>
      </c>
      <c r="AC160" s="704">
        <v>3.67292754</v>
      </c>
      <c r="AD160" s="704">
        <v>-0.0150437161</v>
      </c>
      <c r="AE160" s="704">
        <v>0.0455746485</v>
      </c>
      <c r="AF160" s="704">
        <v>0.00228731957</v>
      </c>
      <c r="AG160" s="704">
        <v>-0.000121744297</v>
      </c>
      <c r="AH160" s="704">
        <v>1.65263211e-5</v>
      </c>
      <c r="AI160" s="709">
        <v>0.2918</v>
      </c>
      <c r="AJ160" s="709">
        <v>0.2366</v>
      </c>
      <c r="AK160" s="709">
        <v>0.5904</v>
      </c>
      <c r="AL160" s="709">
        <v>0.2425</v>
      </c>
      <c r="AM160" s="709">
        <v>0.2331</v>
      </c>
      <c r="AN160" s="709">
        <v>0.5224</v>
      </c>
      <c r="AO160" s="709">
        <v>-0.0006</v>
      </c>
      <c r="AP160" s="709">
        <v>0.0005</v>
      </c>
      <c r="AQ160" s="709">
        <v>0.0018</v>
      </c>
      <c r="AR160" s="709">
        <v>0.0006</v>
      </c>
      <c r="AS160" s="714">
        <v>3.1</v>
      </c>
      <c r="AT160" s="716">
        <v>3.2</v>
      </c>
      <c r="AU160" s="716">
        <v>3.4</v>
      </c>
      <c r="AV160" s="716">
        <v>3.4</v>
      </c>
      <c r="AW160" s="716">
        <v>3.4</v>
      </c>
      <c r="AX160" s="716">
        <v>3.5</v>
      </c>
      <c r="AY160" s="716">
        <v>3.6</v>
      </c>
      <c r="AZ160" s="716">
        <v>3.7</v>
      </c>
      <c r="BA160" s="716">
        <v>3.7</v>
      </c>
      <c r="BB160" s="716">
        <v>3.9</v>
      </c>
      <c r="BC160" s="716">
        <v>4</v>
      </c>
      <c r="BD160" s="716">
        <v>3.8</v>
      </c>
      <c r="BE160" s="716">
        <v>3.9</v>
      </c>
      <c r="BF160" s="716">
        <v>3.9</v>
      </c>
      <c r="BG160" s="716">
        <v>3.9</v>
      </c>
      <c r="BH160" s="716">
        <v>4</v>
      </c>
      <c r="BI160" s="716">
        <v>4.1</v>
      </c>
      <c r="BJ160" s="716">
        <v>4.3</v>
      </c>
      <c r="BK160" s="716">
        <v>4.4</v>
      </c>
      <c r="BL160" s="716">
        <v>4.5</v>
      </c>
      <c r="BM160" s="716">
        <v>4.6</v>
      </c>
      <c r="BN160" s="716">
        <v>4.7</v>
      </c>
      <c r="BO160" s="716">
        <v>4.2</v>
      </c>
      <c r="BP160" s="716">
        <v>4.4</v>
      </c>
      <c r="BQ160" s="716">
        <v>4.4</v>
      </c>
      <c r="BR160" s="716">
        <v>4.5</v>
      </c>
      <c r="BS160" s="716">
        <v>4.6</v>
      </c>
      <c r="BT160" s="716">
        <v>4.7</v>
      </c>
      <c r="BU160" s="716">
        <v>4.9</v>
      </c>
      <c r="BV160" s="716">
        <v>5</v>
      </c>
      <c r="BW160" s="716">
        <v>5.1</v>
      </c>
      <c r="BX160" s="716">
        <v>5.2</v>
      </c>
      <c r="BY160" s="716">
        <v>5.3</v>
      </c>
      <c r="BZ160" s="716">
        <v>4.3</v>
      </c>
      <c r="CA160" s="716">
        <v>4.5</v>
      </c>
      <c r="CB160" s="716">
        <v>4.5</v>
      </c>
      <c r="CC160" s="716">
        <v>4.6</v>
      </c>
      <c r="CD160" s="716">
        <v>4.7</v>
      </c>
      <c r="CE160" s="716">
        <v>4.8</v>
      </c>
      <c r="CF160" s="716">
        <v>5</v>
      </c>
      <c r="CG160" s="716">
        <v>5.1</v>
      </c>
      <c r="CH160" s="716">
        <v>5.2</v>
      </c>
      <c r="CI160" s="716">
        <v>5.3</v>
      </c>
      <c r="CJ160" s="716">
        <v>5.4</v>
      </c>
      <c r="CK160" s="716">
        <v>4.4</v>
      </c>
      <c r="CL160" s="716">
        <v>4.6</v>
      </c>
      <c r="CM160" s="716">
        <v>4.7</v>
      </c>
      <c r="CN160" s="716">
        <v>4.7</v>
      </c>
      <c r="CO160" s="716">
        <v>4.8</v>
      </c>
      <c r="CP160" s="716">
        <v>4.9</v>
      </c>
      <c r="CQ160" s="716">
        <v>5.1</v>
      </c>
      <c r="CR160" s="716">
        <v>5.2</v>
      </c>
      <c r="CS160" s="716">
        <v>5.3</v>
      </c>
      <c r="CT160" s="716">
        <v>5.4</v>
      </c>
      <c r="CU160" s="716">
        <v>5.5</v>
      </c>
      <c r="CV160" s="716">
        <v>4.9</v>
      </c>
      <c r="CW160" s="716">
        <v>5</v>
      </c>
      <c r="CX160" s="716">
        <v>5.1</v>
      </c>
      <c r="CY160" s="716">
        <v>5.2</v>
      </c>
      <c r="CZ160" s="716">
        <v>5.3</v>
      </c>
      <c r="DA160" s="716">
        <v>5.4</v>
      </c>
      <c r="DB160" s="716">
        <v>5.6</v>
      </c>
      <c r="DC160" s="716">
        <v>5.7</v>
      </c>
      <c r="DD160" s="716">
        <v>5.9</v>
      </c>
      <c r="DE160" s="716">
        <v>6.1</v>
      </c>
      <c r="DF160" s="716">
        <v>6.3</v>
      </c>
      <c r="DG160" s="716">
        <v>5.2</v>
      </c>
      <c r="DH160" s="716">
        <v>5.4</v>
      </c>
      <c r="DI160" s="716">
        <v>5.6</v>
      </c>
      <c r="DJ160" s="716">
        <v>5.7</v>
      </c>
      <c r="DK160" s="716">
        <v>5.9</v>
      </c>
      <c r="DL160" s="716">
        <v>6.1</v>
      </c>
      <c r="DM160" s="716">
        <v>6.3</v>
      </c>
      <c r="DN160" s="716">
        <v>6.6</v>
      </c>
      <c r="DO160" s="716">
        <v>6.8</v>
      </c>
      <c r="DP160" s="716">
        <v>7</v>
      </c>
      <c r="DQ160" s="716">
        <v>7.2</v>
      </c>
      <c r="DR160" s="716">
        <v>6.1</v>
      </c>
      <c r="DS160" s="716">
        <v>6.4</v>
      </c>
      <c r="DT160" s="716">
        <v>6.7</v>
      </c>
      <c r="DU160" s="716">
        <v>6.8</v>
      </c>
      <c r="DV160" s="716">
        <v>7</v>
      </c>
      <c r="DW160" s="716">
        <v>7.2</v>
      </c>
      <c r="DX160" s="716">
        <v>7.5</v>
      </c>
      <c r="DY160" s="716">
        <v>7.7</v>
      </c>
      <c r="DZ160" s="716">
        <v>7.9</v>
      </c>
      <c r="EA160" s="716">
        <v>8.1</v>
      </c>
      <c r="EB160" s="716">
        <v>8.3</v>
      </c>
      <c r="EC160" s="716">
        <v>6.2</v>
      </c>
      <c r="ED160" s="716">
        <v>6.5</v>
      </c>
      <c r="EE160" s="716">
        <v>6.8</v>
      </c>
      <c r="EF160" s="716">
        <v>6.9</v>
      </c>
      <c r="EG160" s="716">
        <v>7.1</v>
      </c>
      <c r="EH160" s="716">
        <v>7.3</v>
      </c>
      <c r="EI160" s="716">
        <v>7.6</v>
      </c>
      <c r="EJ160" s="716">
        <v>7.8</v>
      </c>
      <c r="EK160" s="716">
        <v>8</v>
      </c>
      <c r="EL160" s="716">
        <v>8.2</v>
      </c>
      <c r="EM160" s="716">
        <v>8.4</v>
      </c>
      <c r="EN160" s="716">
        <v>7.4</v>
      </c>
      <c r="EO160" s="716">
        <v>7.6</v>
      </c>
      <c r="EP160" s="716">
        <v>7.9</v>
      </c>
      <c r="EQ160" s="716">
        <v>8.2</v>
      </c>
      <c r="ER160" s="716">
        <v>8.6</v>
      </c>
      <c r="ES160" s="716">
        <v>8.8</v>
      </c>
      <c r="ET160" s="716">
        <v>9.2</v>
      </c>
      <c r="EU160" s="716">
        <v>9.5</v>
      </c>
      <c r="EV160" s="716">
        <v>9.7</v>
      </c>
      <c r="EW160" s="716">
        <v>9.9</v>
      </c>
      <c r="EX160" s="716">
        <v>10.1</v>
      </c>
      <c r="EY160" s="716">
        <v>1.3</v>
      </c>
      <c r="EZ160" s="716">
        <v>2</v>
      </c>
      <c r="FA160" s="716">
        <v>2.4</v>
      </c>
      <c r="FB160" s="716">
        <v>2.8</v>
      </c>
      <c r="FC160" s="716">
        <v>3.1</v>
      </c>
      <c r="FD160" s="716">
        <v>3.4</v>
      </c>
      <c r="FE160" s="716">
        <v>3.8</v>
      </c>
      <c r="FF160" s="716">
        <v>4</v>
      </c>
      <c r="FG160" s="716">
        <v>4.2</v>
      </c>
      <c r="FH160" s="716">
        <v>4.4</v>
      </c>
      <c r="FI160" s="716">
        <v>4.6</v>
      </c>
      <c r="FJ160" s="726">
        <v>1.46e-6</v>
      </c>
      <c r="FK160" s="726">
        <v>1.08e-8</v>
      </c>
      <c r="FL160" s="726">
        <v>-2.27e-11</v>
      </c>
      <c r="FM160" s="726">
        <v>9.17e-7</v>
      </c>
      <c r="FN160" s="726">
        <v>1.02e-9</v>
      </c>
      <c r="FO160" s="726">
        <v>0.253</v>
      </c>
      <c r="FP160" s="729">
        <v>1</v>
      </c>
      <c r="FQ160" s="729">
        <v>1</v>
      </c>
      <c r="FR160" s="729">
        <v>1</v>
      </c>
      <c r="FS160" s="729">
        <v>1</v>
      </c>
      <c r="FT160" s="729">
        <v>1</v>
      </c>
      <c r="FU160" s="729">
        <v>1</v>
      </c>
      <c r="FV160" s="681">
        <v>1</v>
      </c>
      <c r="FW160" s="729"/>
      <c r="FX160" s="729"/>
      <c r="FY160" s="729"/>
      <c r="FZ160" s="782">
        <v>723</v>
      </c>
      <c r="GA160" s="782">
        <v>763</v>
      </c>
      <c r="GB160" s="681">
        <v>680</v>
      </c>
      <c r="GC160" s="681">
        <v>716</v>
      </c>
      <c r="GD160" s="747">
        <v>1.01</v>
      </c>
      <c r="GE160" s="729"/>
      <c r="GF160" s="681">
        <v>70</v>
      </c>
      <c r="GG160" s="681">
        <v>87</v>
      </c>
      <c r="GH160" s="681">
        <v>61</v>
      </c>
      <c r="GI160" s="681">
        <v>64</v>
      </c>
      <c r="GJ160" s="681">
        <v>65</v>
      </c>
      <c r="GK160" s="681">
        <v>67</v>
      </c>
      <c r="GL160" s="681">
        <v>69</v>
      </c>
      <c r="GM160" s="681">
        <v>70</v>
      </c>
      <c r="GN160" s="681">
        <v>71</v>
      </c>
      <c r="GO160" s="681">
        <v>72</v>
      </c>
      <c r="GP160" s="681">
        <v>73</v>
      </c>
      <c r="GQ160" s="681">
        <v>74</v>
      </c>
      <c r="GR160" s="681">
        <v>74</v>
      </c>
      <c r="GS160" s="681">
        <v>75</v>
      </c>
      <c r="GT160" s="681">
        <v>75</v>
      </c>
      <c r="GU160" s="681">
        <v>76</v>
      </c>
      <c r="GV160" s="681">
        <v>76</v>
      </c>
      <c r="GW160" s="681">
        <v>77</v>
      </c>
      <c r="GX160" s="681">
        <v>78</v>
      </c>
      <c r="GY160" s="681">
        <v>80</v>
      </c>
      <c r="GZ160" s="681">
        <v>81</v>
      </c>
      <c r="HA160" s="681">
        <v>82</v>
      </c>
      <c r="HB160" s="681">
        <v>83</v>
      </c>
      <c r="HC160" s="681"/>
      <c r="HD160" s="750">
        <v>131</v>
      </c>
      <c r="HE160" s="681"/>
      <c r="HF160" s="681">
        <v>730</v>
      </c>
      <c r="HG160" s="681">
        <v>61</v>
      </c>
      <c r="HH160" s="714">
        <v>128.5</v>
      </c>
      <c r="HI160" s="714">
        <v>49.5</v>
      </c>
      <c r="HJ160" s="753">
        <v>0.297</v>
      </c>
      <c r="HK160" s="681">
        <v>61</v>
      </c>
      <c r="HL160" s="685">
        <v>0.79</v>
      </c>
      <c r="HM160" s="747">
        <v>4.94</v>
      </c>
      <c r="HN160" s="729" t="s">
        <v>1292</v>
      </c>
      <c r="HO160" s="714" t="s">
        <v>1293</v>
      </c>
      <c r="HP160" s="714">
        <v>-1.3</v>
      </c>
      <c r="HQ160" s="753">
        <v>0.917</v>
      </c>
      <c r="HR160" s="753">
        <v>0.976</v>
      </c>
      <c r="HS160" s="753">
        <v>0.989</v>
      </c>
      <c r="HT160" s="753">
        <v>0.996</v>
      </c>
      <c r="HU160" s="753">
        <v>0.999</v>
      </c>
      <c r="HV160" s="753">
        <v>0.999</v>
      </c>
      <c r="HW160" s="753">
        <v>0.999</v>
      </c>
      <c r="HX160" s="753">
        <v>0.999</v>
      </c>
      <c r="HY160" s="753">
        <v>0.999</v>
      </c>
      <c r="HZ160" s="753">
        <v>0.999</v>
      </c>
      <c r="IA160" s="753">
        <v>0.999</v>
      </c>
      <c r="IB160" s="753">
        <v>0.999</v>
      </c>
      <c r="IC160" s="753">
        <v>0.999</v>
      </c>
      <c r="ID160" s="753">
        <v>0.999</v>
      </c>
      <c r="IE160" s="753">
        <v>0.999</v>
      </c>
      <c r="IF160" s="753">
        <v>0.999</v>
      </c>
      <c r="IG160" s="753">
        <v>0.999</v>
      </c>
      <c r="IH160" s="753">
        <v>0.998</v>
      </c>
      <c r="II160" s="753">
        <v>0.993</v>
      </c>
      <c r="IJ160" s="753">
        <v>0.989</v>
      </c>
      <c r="IK160" s="753">
        <v>0.983</v>
      </c>
      <c r="IL160" s="753">
        <v>0.976</v>
      </c>
      <c r="IM160" s="753">
        <v>0.963</v>
      </c>
      <c r="IN160" s="753">
        <v>0.927</v>
      </c>
      <c r="IO160" s="753">
        <v>0.894</v>
      </c>
      <c r="IP160" s="753">
        <v>0.825</v>
      </c>
      <c r="IQ160" s="753">
        <v>0.686</v>
      </c>
      <c r="IR160" s="753">
        <v>0.424</v>
      </c>
      <c r="IS160" s="753">
        <v>0.141</v>
      </c>
      <c r="IT160" s="753"/>
      <c r="IU160" s="753"/>
      <c r="IV160" s="753"/>
      <c r="IW160" s="753"/>
      <c r="IX160" s="753"/>
      <c r="IY160" s="753"/>
      <c r="IZ160" s="753"/>
      <c r="JA160" s="753">
        <v>0.84</v>
      </c>
      <c r="JB160" s="753">
        <v>0.952</v>
      </c>
      <c r="JC160" s="753">
        <v>0.979</v>
      </c>
      <c r="JD160" s="753">
        <v>0.993</v>
      </c>
      <c r="JE160" s="753">
        <v>0.998</v>
      </c>
      <c r="JF160" s="753">
        <v>0.999</v>
      </c>
      <c r="JG160" s="753">
        <v>0.999</v>
      </c>
      <c r="JH160" s="753">
        <v>0.999</v>
      </c>
      <c r="JI160" s="753">
        <v>0.999</v>
      </c>
      <c r="JJ160" s="753">
        <v>0.999</v>
      </c>
      <c r="JK160" s="753">
        <v>0.999</v>
      </c>
      <c r="JL160" s="753">
        <v>0.999</v>
      </c>
      <c r="JM160" s="753">
        <v>0.999</v>
      </c>
      <c r="JN160" s="753">
        <v>0.999</v>
      </c>
      <c r="JO160" s="753">
        <v>0.999</v>
      </c>
      <c r="JP160" s="753">
        <v>0.998</v>
      </c>
      <c r="JQ160" s="753">
        <v>0.998</v>
      </c>
      <c r="JR160" s="753">
        <v>0.996</v>
      </c>
      <c r="JS160" s="753">
        <v>0.986</v>
      </c>
      <c r="JT160" s="753">
        <v>0.978</v>
      </c>
      <c r="JU160" s="753">
        <v>0.967</v>
      </c>
      <c r="JV160" s="753">
        <v>0.953</v>
      </c>
      <c r="JW160" s="753">
        <v>0.927</v>
      </c>
      <c r="JX160" s="753">
        <v>0.86</v>
      </c>
      <c r="JY160" s="753">
        <v>0.8</v>
      </c>
      <c r="JZ160" s="753">
        <v>0.68</v>
      </c>
      <c r="KA160" s="753">
        <v>0.47</v>
      </c>
      <c r="KB160" s="753">
        <v>0.18</v>
      </c>
      <c r="KC160" s="753">
        <v>0.02</v>
      </c>
      <c r="KD160" s="753"/>
      <c r="KE160" s="753"/>
      <c r="KF160" s="753"/>
      <c r="KG160" s="753"/>
      <c r="KH160" s="753"/>
      <c r="KI160" s="753"/>
      <c r="KJ160" s="753"/>
      <c r="KK160" s="765" t="s">
        <v>281</v>
      </c>
      <c r="KL160" s="738">
        <v>91</v>
      </c>
      <c r="KM160" s="738">
        <v>450</v>
      </c>
      <c r="KN160" s="646" t="s">
        <v>282</v>
      </c>
      <c r="KO160" s="646" t="s">
        <v>1291</v>
      </c>
      <c r="KP160" s="779">
        <v>954323</v>
      </c>
      <c r="KQ160" s="789" t="s">
        <v>1294</v>
      </c>
      <c r="KR160" s="750" t="s">
        <v>1295</v>
      </c>
      <c r="KS160" s="789" t="s">
        <v>1296</v>
      </c>
      <c r="KT160" s="770" t="s">
        <v>1295</v>
      </c>
      <c r="KU160" s="789" t="s">
        <v>1297</v>
      </c>
      <c r="KV160" s="790">
        <v>954323</v>
      </c>
      <c r="KW160" s="791"/>
      <c r="KX160" s="790"/>
      <c r="KY160" s="789" t="s">
        <v>1283</v>
      </c>
      <c r="KZ160" s="770" t="s">
        <v>1284</v>
      </c>
    </row>
    <row r="161" s="628" customFormat="1" customHeight="1" spans="1:312">
      <c r="A161" s="682" t="s">
        <v>374</v>
      </c>
      <c r="B161" s="683">
        <v>157</v>
      </c>
      <c r="C161" s="684" t="s">
        <v>1298</v>
      </c>
      <c r="D161" s="779">
        <v>901371</v>
      </c>
      <c r="E161" s="685">
        <v>37.1</v>
      </c>
      <c r="F161" s="685">
        <v>36.88</v>
      </c>
      <c r="G161" s="688">
        <v>0.02428</v>
      </c>
      <c r="H161" s="686">
        <v>0.02458</v>
      </c>
      <c r="I161" s="696">
        <v>1.85201</v>
      </c>
      <c r="J161" s="696">
        <v>1.85828</v>
      </c>
      <c r="K161" s="696">
        <v>1.86561</v>
      </c>
      <c r="L161" s="696">
        <v>1.87323</v>
      </c>
      <c r="M161" s="696">
        <v>1.8748</v>
      </c>
      <c r="N161" s="696">
        <v>1.87614</v>
      </c>
      <c r="O161" s="696">
        <v>1.88167</v>
      </c>
      <c r="P161" s="696">
        <v>1.88573</v>
      </c>
      <c r="Q161" s="697">
        <v>1.88958</v>
      </c>
      <c r="R161" s="697">
        <v>1.89352</v>
      </c>
      <c r="S161" s="697">
        <v>1.89465</v>
      </c>
      <c r="T161" s="701">
        <v>1.89571</v>
      </c>
      <c r="U161" s="697">
        <v>1.90048</v>
      </c>
      <c r="V161" s="697">
        <v>1.90069</v>
      </c>
      <c r="W161" s="697">
        <v>1.90645</v>
      </c>
      <c r="X161" s="697">
        <v>1.9178</v>
      </c>
      <c r="Y161" s="697">
        <v>1.91923</v>
      </c>
      <c r="Z161" s="697">
        <v>1.93177</v>
      </c>
      <c r="AA161" s="697">
        <v>1.94382</v>
      </c>
      <c r="AB161" s="697">
        <v>1.96535</v>
      </c>
      <c r="AC161" s="704">
        <v>3.49532543</v>
      </c>
      <c r="AD161" s="704">
        <v>-0.0133990335</v>
      </c>
      <c r="AE161" s="704">
        <v>0.0379713413</v>
      </c>
      <c r="AF161" s="704">
        <v>0.00156188624</v>
      </c>
      <c r="AG161" s="704">
        <v>-7.42686015e-5</v>
      </c>
      <c r="AH161" s="704">
        <v>8.65884802e-6</v>
      </c>
      <c r="AI161" s="709">
        <v>0.2953</v>
      </c>
      <c r="AJ161" s="709">
        <v>0.2372</v>
      </c>
      <c r="AK161" s="709">
        <v>0.5754</v>
      </c>
      <c r="AL161" s="709">
        <v>0.2457</v>
      </c>
      <c r="AM161" s="709">
        <v>0.2343</v>
      </c>
      <c r="AN161" s="709">
        <v>0.5102</v>
      </c>
      <c r="AO161" s="709">
        <v>-0.0023</v>
      </c>
      <c r="AP161" s="709">
        <v>-0.0066</v>
      </c>
      <c r="AQ161" s="709">
        <v>-0.0041</v>
      </c>
      <c r="AR161" s="709">
        <v>-0.0014</v>
      </c>
      <c r="AS161" s="714">
        <v>4.8</v>
      </c>
      <c r="AT161" s="716">
        <v>4.9</v>
      </c>
      <c r="AU161" s="716">
        <v>4.9</v>
      </c>
      <c r="AV161" s="716">
        <v>5</v>
      </c>
      <c r="AW161" s="716">
        <v>5</v>
      </c>
      <c r="AX161" s="716">
        <v>5</v>
      </c>
      <c r="AY161" s="716">
        <v>5.1</v>
      </c>
      <c r="AZ161" s="716">
        <v>5.1</v>
      </c>
      <c r="BA161" s="716">
        <v>5.2</v>
      </c>
      <c r="BB161" s="716">
        <v>5.3</v>
      </c>
      <c r="BC161" s="716">
        <v>5.4</v>
      </c>
      <c r="BD161" s="716">
        <v>5</v>
      </c>
      <c r="BE161" s="716">
        <v>5.1</v>
      </c>
      <c r="BF161" s="716">
        <v>5.2</v>
      </c>
      <c r="BG161" s="716">
        <v>5.4</v>
      </c>
      <c r="BH161" s="716">
        <v>5.5</v>
      </c>
      <c r="BI161" s="716">
        <v>5.6</v>
      </c>
      <c r="BJ161" s="716">
        <v>5.7</v>
      </c>
      <c r="BK161" s="716">
        <v>5.8</v>
      </c>
      <c r="BL161" s="716">
        <v>5.9</v>
      </c>
      <c r="BM161" s="716">
        <v>6</v>
      </c>
      <c r="BN161" s="716">
        <v>6</v>
      </c>
      <c r="BO161" s="716">
        <v>5.2</v>
      </c>
      <c r="BP161" s="716">
        <v>5.4</v>
      </c>
      <c r="BQ161" s="716">
        <v>5.5</v>
      </c>
      <c r="BR161" s="716">
        <v>5.7</v>
      </c>
      <c r="BS161" s="716">
        <v>5.9</v>
      </c>
      <c r="BT161" s="716">
        <v>6.1</v>
      </c>
      <c r="BU161" s="716">
        <v>6.2</v>
      </c>
      <c r="BV161" s="716">
        <v>6.2</v>
      </c>
      <c r="BW161" s="716">
        <v>6.3</v>
      </c>
      <c r="BX161" s="716">
        <v>6.4</v>
      </c>
      <c r="BY161" s="716">
        <v>6.4</v>
      </c>
      <c r="BZ161" s="716">
        <v>5.3</v>
      </c>
      <c r="CA161" s="716">
        <v>5.5</v>
      </c>
      <c r="CB161" s="716">
        <v>5.7</v>
      </c>
      <c r="CC161" s="716">
        <v>5.9</v>
      </c>
      <c r="CD161" s="716">
        <v>5.9</v>
      </c>
      <c r="CE161" s="716">
        <v>6.1</v>
      </c>
      <c r="CF161" s="716">
        <v>6.2</v>
      </c>
      <c r="CG161" s="716">
        <v>6.3</v>
      </c>
      <c r="CH161" s="716">
        <v>6.4</v>
      </c>
      <c r="CI161" s="716">
        <v>6.5</v>
      </c>
      <c r="CJ161" s="716">
        <v>6.5</v>
      </c>
      <c r="CK161" s="716">
        <v>5.5</v>
      </c>
      <c r="CL161" s="716">
        <v>5.8</v>
      </c>
      <c r="CM161" s="716">
        <v>5.9</v>
      </c>
      <c r="CN161" s="716">
        <v>6</v>
      </c>
      <c r="CO161" s="716">
        <v>6.1</v>
      </c>
      <c r="CP161" s="716">
        <v>6.2</v>
      </c>
      <c r="CQ161" s="716">
        <v>6.3</v>
      </c>
      <c r="CR161" s="716">
        <v>6.5</v>
      </c>
      <c r="CS161" s="716">
        <v>6.7</v>
      </c>
      <c r="CT161" s="716">
        <v>6.8</v>
      </c>
      <c r="CU161" s="716">
        <v>6.8</v>
      </c>
      <c r="CV161" s="716">
        <v>5.7</v>
      </c>
      <c r="CW161" s="716">
        <v>6</v>
      </c>
      <c r="CX161" s="716">
        <v>6.2</v>
      </c>
      <c r="CY161" s="716">
        <v>6.4</v>
      </c>
      <c r="CZ161" s="716">
        <v>6.4</v>
      </c>
      <c r="DA161" s="716">
        <v>6.5</v>
      </c>
      <c r="DB161" s="716">
        <v>6.6</v>
      </c>
      <c r="DC161" s="716">
        <v>6.8</v>
      </c>
      <c r="DD161" s="716">
        <v>6.8</v>
      </c>
      <c r="DE161" s="716">
        <v>6.9</v>
      </c>
      <c r="DF161" s="716">
        <v>7</v>
      </c>
      <c r="DG161" s="716">
        <v>6.2</v>
      </c>
      <c r="DH161" s="716">
        <v>6.3</v>
      </c>
      <c r="DI161" s="716">
        <v>6.4</v>
      </c>
      <c r="DJ161" s="716">
        <v>6.4</v>
      </c>
      <c r="DK161" s="716">
        <v>6.5</v>
      </c>
      <c r="DL161" s="716">
        <v>6.8</v>
      </c>
      <c r="DM161" s="716">
        <v>7</v>
      </c>
      <c r="DN161" s="716">
        <v>7.2</v>
      </c>
      <c r="DO161" s="716">
        <v>7.3</v>
      </c>
      <c r="DP161" s="716">
        <v>7.4</v>
      </c>
      <c r="DQ161" s="716">
        <v>7.5</v>
      </c>
      <c r="DR161" s="716">
        <v>6.9</v>
      </c>
      <c r="DS161" s="716">
        <v>7.1</v>
      </c>
      <c r="DT161" s="716">
        <v>7.4</v>
      </c>
      <c r="DU161" s="716">
        <v>7.6</v>
      </c>
      <c r="DV161" s="716">
        <v>7.8</v>
      </c>
      <c r="DW161" s="716">
        <v>8</v>
      </c>
      <c r="DX161" s="716">
        <v>8.3</v>
      </c>
      <c r="DY161" s="716">
        <v>8.4</v>
      </c>
      <c r="DZ161" s="716">
        <v>8.5</v>
      </c>
      <c r="EA161" s="716">
        <v>8.6</v>
      </c>
      <c r="EB161" s="716">
        <v>8.7</v>
      </c>
      <c r="EC161" s="716">
        <v>7</v>
      </c>
      <c r="ED161" s="716">
        <v>7.3</v>
      </c>
      <c r="EE161" s="716">
        <v>7.4</v>
      </c>
      <c r="EF161" s="716">
        <v>7.6</v>
      </c>
      <c r="EG161" s="716">
        <v>7.8</v>
      </c>
      <c r="EH161" s="716">
        <v>8</v>
      </c>
      <c r="EI161" s="716">
        <v>8.3</v>
      </c>
      <c r="EJ161" s="716">
        <v>8.4</v>
      </c>
      <c r="EK161" s="716">
        <v>8.5</v>
      </c>
      <c r="EL161" s="716">
        <v>8.6</v>
      </c>
      <c r="EM161" s="716">
        <v>8.7</v>
      </c>
      <c r="EN161" s="716">
        <v>8.2</v>
      </c>
      <c r="EO161" s="716">
        <v>8.4</v>
      </c>
      <c r="EP161" s="716">
        <v>8.7</v>
      </c>
      <c r="EQ161" s="716">
        <v>8.9</v>
      </c>
      <c r="ER161" s="716">
        <v>9.1</v>
      </c>
      <c r="ES161" s="716">
        <v>9.2</v>
      </c>
      <c r="ET161" s="716">
        <v>9.4</v>
      </c>
      <c r="EU161" s="716">
        <v>9.7</v>
      </c>
      <c r="EV161" s="716">
        <v>9.8</v>
      </c>
      <c r="EW161" s="716">
        <v>10</v>
      </c>
      <c r="EX161" s="716">
        <v>10.2</v>
      </c>
      <c r="EY161" s="716">
        <v>2.4</v>
      </c>
      <c r="EZ161" s="716">
        <v>3.2</v>
      </c>
      <c r="FA161" s="716">
        <v>3.7</v>
      </c>
      <c r="FB161" s="716">
        <v>4.1</v>
      </c>
      <c r="FC161" s="716">
        <v>4.5</v>
      </c>
      <c r="FD161" s="716">
        <v>4.7</v>
      </c>
      <c r="FE161" s="716">
        <v>5</v>
      </c>
      <c r="FF161" s="716">
        <v>5.4</v>
      </c>
      <c r="FG161" s="716">
        <v>5.7</v>
      </c>
      <c r="FH161" s="716">
        <v>5.9</v>
      </c>
      <c r="FI161" s="716">
        <v>6</v>
      </c>
      <c r="FJ161" s="726">
        <v>4.25e-6</v>
      </c>
      <c r="FK161" s="726">
        <v>1.31e-8</v>
      </c>
      <c r="FL161" s="726">
        <v>-2.92e-11</v>
      </c>
      <c r="FM161" s="726">
        <v>6.05e-7</v>
      </c>
      <c r="FN161" s="726">
        <v>4.73e-10</v>
      </c>
      <c r="FO161" s="726">
        <v>0.292</v>
      </c>
      <c r="FP161" s="729">
        <v>1</v>
      </c>
      <c r="FQ161" s="729">
        <v>1</v>
      </c>
      <c r="FR161" s="729">
        <v>1</v>
      </c>
      <c r="FS161" s="729">
        <v>2</v>
      </c>
      <c r="FT161" s="729">
        <v>1</v>
      </c>
      <c r="FU161" s="729">
        <v>1</v>
      </c>
      <c r="FV161" s="681">
        <v>1</v>
      </c>
      <c r="FW161" s="729"/>
      <c r="FX161" s="729"/>
      <c r="FY161" s="729"/>
      <c r="FZ161" s="782">
        <v>690</v>
      </c>
      <c r="GA161" s="782">
        <v>732</v>
      </c>
      <c r="GB161" s="681">
        <v>625</v>
      </c>
      <c r="GC161" s="681">
        <v>663</v>
      </c>
      <c r="GD161" s="747">
        <v>0.75</v>
      </c>
      <c r="GE161" s="729"/>
      <c r="GF161" s="681">
        <v>65</v>
      </c>
      <c r="GG161" s="681">
        <v>84</v>
      </c>
      <c r="GH161" s="681">
        <v>58</v>
      </c>
      <c r="GI161" s="681">
        <v>60</v>
      </c>
      <c r="GJ161" s="681">
        <v>61</v>
      </c>
      <c r="GK161" s="681">
        <v>63</v>
      </c>
      <c r="GL161" s="681">
        <v>64</v>
      </c>
      <c r="GM161" s="681">
        <v>65</v>
      </c>
      <c r="GN161" s="681">
        <v>66</v>
      </c>
      <c r="GO161" s="681">
        <v>67</v>
      </c>
      <c r="GP161" s="681">
        <v>68</v>
      </c>
      <c r="GQ161" s="681">
        <v>68</v>
      </c>
      <c r="GR161" s="681">
        <v>69</v>
      </c>
      <c r="GS161" s="681">
        <v>69</v>
      </c>
      <c r="GT161" s="681">
        <v>70</v>
      </c>
      <c r="GU161" s="681">
        <v>71</v>
      </c>
      <c r="GV161" s="681">
        <v>72</v>
      </c>
      <c r="GW161" s="681">
        <v>73</v>
      </c>
      <c r="GX161" s="681">
        <v>74</v>
      </c>
      <c r="GY161" s="681">
        <v>75</v>
      </c>
      <c r="GZ161" s="681">
        <v>76</v>
      </c>
      <c r="HA161" s="681">
        <v>77</v>
      </c>
      <c r="HB161" s="681">
        <v>78</v>
      </c>
      <c r="HC161" s="681"/>
      <c r="HD161" s="750">
        <v>115</v>
      </c>
      <c r="HE161" s="681"/>
      <c r="HF161" s="681">
        <v>670</v>
      </c>
      <c r="HG161" s="681">
        <v>72</v>
      </c>
      <c r="HH161" s="714">
        <v>121.8</v>
      </c>
      <c r="HI161" s="714">
        <v>46.7</v>
      </c>
      <c r="HJ161" s="753">
        <v>0.303</v>
      </c>
      <c r="HK161" s="681">
        <v>94</v>
      </c>
      <c r="HL161" s="685">
        <v>1.2</v>
      </c>
      <c r="HM161" s="747">
        <v>5.05</v>
      </c>
      <c r="HN161" s="729" t="s">
        <v>1299</v>
      </c>
      <c r="HO161" s="714" t="s">
        <v>1300</v>
      </c>
      <c r="HP161" s="714">
        <v>-1.3</v>
      </c>
      <c r="HQ161" s="753">
        <v>0.943</v>
      </c>
      <c r="HR161" s="753">
        <v>0.987</v>
      </c>
      <c r="HS161" s="753">
        <v>0.998</v>
      </c>
      <c r="HT161" s="753">
        <v>0.998</v>
      </c>
      <c r="HU161" s="753">
        <v>0.998</v>
      </c>
      <c r="HV161" s="753">
        <v>0.998</v>
      </c>
      <c r="HW161" s="753">
        <v>0.998</v>
      </c>
      <c r="HX161" s="753">
        <v>0.998</v>
      </c>
      <c r="HY161" s="753">
        <v>0.998</v>
      </c>
      <c r="HZ161" s="753">
        <v>0.998</v>
      </c>
      <c r="IA161" s="753">
        <v>0.998</v>
      </c>
      <c r="IB161" s="753">
        <v>0.998</v>
      </c>
      <c r="IC161" s="753">
        <v>0.998</v>
      </c>
      <c r="ID161" s="753">
        <v>0.998</v>
      </c>
      <c r="IE161" s="753">
        <v>0.998</v>
      </c>
      <c r="IF161" s="753">
        <v>0.998</v>
      </c>
      <c r="IG161" s="753">
        <v>0.998</v>
      </c>
      <c r="IH161" s="753">
        <v>0.995</v>
      </c>
      <c r="II161" s="753">
        <v>0.991</v>
      </c>
      <c r="IJ161" s="753">
        <v>0.987</v>
      </c>
      <c r="IK161" s="753">
        <v>0.98</v>
      </c>
      <c r="IL161" s="753">
        <v>0.97</v>
      </c>
      <c r="IM161" s="753">
        <v>0.958</v>
      </c>
      <c r="IN161" s="753">
        <v>0.927</v>
      </c>
      <c r="IO161" s="753">
        <v>0.898</v>
      </c>
      <c r="IP161" s="753">
        <v>0.845</v>
      </c>
      <c r="IQ161" s="753">
        <v>0.775</v>
      </c>
      <c r="IR161" s="753">
        <v>0.652</v>
      </c>
      <c r="IS161" s="753">
        <v>0.429</v>
      </c>
      <c r="IT161" s="753">
        <v>0.133</v>
      </c>
      <c r="IU161" s="753"/>
      <c r="IV161" s="753"/>
      <c r="IW161" s="753"/>
      <c r="IX161" s="753"/>
      <c r="IY161" s="753"/>
      <c r="IZ161" s="753"/>
      <c r="JA161" s="753">
        <v>0.89</v>
      </c>
      <c r="JB161" s="753">
        <v>0.974</v>
      </c>
      <c r="JC161" s="753">
        <v>0.996</v>
      </c>
      <c r="JD161" s="753">
        <v>0.997</v>
      </c>
      <c r="JE161" s="753">
        <v>0.997</v>
      </c>
      <c r="JF161" s="753">
        <v>0.997</v>
      </c>
      <c r="JG161" s="753">
        <v>0.997</v>
      </c>
      <c r="JH161" s="753">
        <v>0.997</v>
      </c>
      <c r="JI161" s="753">
        <v>0.997</v>
      </c>
      <c r="JJ161" s="753">
        <v>0.997</v>
      </c>
      <c r="JK161" s="753">
        <v>0.997</v>
      </c>
      <c r="JL161" s="753">
        <v>0.997</v>
      </c>
      <c r="JM161" s="753">
        <v>0.997</v>
      </c>
      <c r="JN161" s="753">
        <v>0.996</v>
      </c>
      <c r="JO161" s="753">
        <v>0.996</v>
      </c>
      <c r="JP161" s="753">
        <v>0.996</v>
      </c>
      <c r="JQ161" s="753">
        <v>0.996</v>
      </c>
      <c r="JR161" s="753">
        <v>0.992</v>
      </c>
      <c r="JS161" s="753">
        <v>0.984</v>
      </c>
      <c r="JT161" s="753">
        <v>0.975</v>
      </c>
      <c r="JU161" s="753">
        <v>0.962</v>
      </c>
      <c r="JV161" s="753">
        <v>0.948</v>
      </c>
      <c r="JW161" s="753">
        <v>0.917</v>
      </c>
      <c r="JX161" s="753">
        <v>0.86</v>
      </c>
      <c r="JY161" s="753">
        <v>0.806</v>
      </c>
      <c r="JZ161" s="753">
        <v>0.723</v>
      </c>
      <c r="KA161" s="753">
        <v>0.611</v>
      </c>
      <c r="KB161" s="753">
        <v>0.439</v>
      </c>
      <c r="KC161" s="753">
        <v>0.194</v>
      </c>
      <c r="KD161" s="753">
        <v>0.03</v>
      </c>
      <c r="KE161" s="753"/>
      <c r="KF161" s="753"/>
      <c r="KG161" s="753"/>
      <c r="KH161" s="753"/>
      <c r="KI161" s="753"/>
      <c r="KJ161" s="753"/>
      <c r="KK161" s="765" t="s">
        <v>281</v>
      </c>
      <c r="KL161" s="738">
        <v>158</v>
      </c>
      <c r="KM161" s="738">
        <v>798</v>
      </c>
      <c r="KN161" s="646" t="s">
        <v>303</v>
      </c>
      <c r="KO161" s="646" t="s">
        <v>1298</v>
      </c>
      <c r="KP161" s="779">
        <v>901371</v>
      </c>
      <c r="KQ161" s="789"/>
      <c r="KR161" s="750"/>
      <c r="KS161" s="789" t="s">
        <v>1301</v>
      </c>
      <c r="KT161" s="770" t="s">
        <v>1302</v>
      </c>
      <c r="KU161" s="789" t="s">
        <v>1303</v>
      </c>
      <c r="KV161" s="790">
        <v>900374</v>
      </c>
      <c r="KW161" s="791"/>
      <c r="KX161" s="790"/>
      <c r="KY161" s="789"/>
      <c r="KZ161" s="770"/>
    </row>
    <row r="162" s="628" customFormat="1" customHeight="1" spans="1:312">
      <c r="A162" s="682" t="s">
        <v>374</v>
      </c>
      <c r="B162" s="683">
        <v>158</v>
      </c>
      <c r="C162" s="684" t="s">
        <v>1304</v>
      </c>
      <c r="D162" s="779">
        <v>921240</v>
      </c>
      <c r="E162" s="685">
        <v>23.96</v>
      </c>
      <c r="F162" s="685">
        <v>23.77</v>
      </c>
      <c r="G162" s="688">
        <v>0.038453</v>
      </c>
      <c r="H162" s="686">
        <v>0.039142</v>
      </c>
      <c r="I162" s="696">
        <v>1.8555</v>
      </c>
      <c r="J162" s="696">
        <v>1.86269</v>
      </c>
      <c r="K162" s="696">
        <v>1.87136</v>
      </c>
      <c r="L162" s="696">
        <v>1.88103</v>
      </c>
      <c r="M162" s="696">
        <v>1.88312</v>
      </c>
      <c r="N162" s="696">
        <v>1.88494</v>
      </c>
      <c r="O162" s="696">
        <v>1.89268</v>
      </c>
      <c r="P162" s="696">
        <v>1.89855</v>
      </c>
      <c r="Q162" s="697">
        <v>1.90425</v>
      </c>
      <c r="R162" s="697">
        <v>1.9102</v>
      </c>
      <c r="S162" s="697">
        <v>1.91191</v>
      </c>
      <c r="T162" s="701">
        <v>1.91351</v>
      </c>
      <c r="U162" s="697">
        <v>1.92086</v>
      </c>
      <c r="V162" s="697">
        <v>1.92119</v>
      </c>
      <c r="W162" s="697">
        <v>1.93024</v>
      </c>
      <c r="X162" s="697">
        <v>1.94865</v>
      </c>
      <c r="Y162" s="697">
        <v>1.95105</v>
      </c>
      <c r="Z162" s="697">
        <v>1.97243</v>
      </c>
      <c r="AA162" s="697">
        <v>1.99406</v>
      </c>
      <c r="AB162" s="697">
        <v>2.03605</v>
      </c>
      <c r="AC162" s="704">
        <v>3.51411868</v>
      </c>
      <c r="AD162" s="704">
        <v>-0.0149702982</v>
      </c>
      <c r="AE162" s="704">
        <v>0.051699969</v>
      </c>
      <c r="AF162" s="704">
        <v>0.0045348201</v>
      </c>
      <c r="AG162" s="704">
        <v>-0.000371738355</v>
      </c>
      <c r="AH162" s="704">
        <v>4.63319189e-5</v>
      </c>
      <c r="AI162" s="709">
        <v>0.2858</v>
      </c>
      <c r="AJ162" s="709">
        <v>0.2354</v>
      </c>
      <c r="AK162" s="709">
        <v>0.6184</v>
      </c>
      <c r="AL162" s="709">
        <v>0.2371</v>
      </c>
      <c r="AM162" s="709">
        <v>0.2312</v>
      </c>
      <c r="AN162" s="709">
        <v>0.5462</v>
      </c>
      <c r="AO162" s="709">
        <v>0.0018</v>
      </c>
      <c r="AP162" s="709">
        <v>0.0146</v>
      </c>
      <c r="AQ162" s="709">
        <v>0.0007</v>
      </c>
      <c r="AR162" s="709">
        <v>-0.0023</v>
      </c>
      <c r="AS162" s="714">
        <v>0.2</v>
      </c>
      <c r="AT162" s="716">
        <v>0.5</v>
      </c>
      <c r="AU162" s="716">
        <v>0.7</v>
      </c>
      <c r="AV162" s="716">
        <v>1</v>
      </c>
      <c r="AW162" s="716">
        <v>1.2</v>
      </c>
      <c r="AX162" s="716">
        <v>1.3</v>
      </c>
      <c r="AY162" s="716">
        <v>1.4</v>
      </c>
      <c r="AZ162" s="716">
        <v>1.5</v>
      </c>
      <c r="BA162" s="716">
        <v>1.6</v>
      </c>
      <c r="BB162" s="716">
        <v>1.8</v>
      </c>
      <c r="BC162" s="716">
        <v>2.1</v>
      </c>
      <c r="BD162" s="716">
        <v>0.6</v>
      </c>
      <c r="BE162" s="716">
        <v>0.9</v>
      </c>
      <c r="BF162" s="716">
        <v>1.2</v>
      </c>
      <c r="BG162" s="716">
        <v>1.5</v>
      </c>
      <c r="BH162" s="716">
        <v>1.8</v>
      </c>
      <c r="BI162" s="716">
        <v>2</v>
      </c>
      <c r="BJ162" s="716">
        <v>2.2</v>
      </c>
      <c r="BK162" s="716">
        <v>2.4</v>
      </c>
      <c r="BL162" s="716">
        <v>2.5</v>
      </c>
      <c r="BM162" s="716">
        <v>2.7</v>
      </c>
      <c r="BN162" s="716">
        <v>3.1</v>
      </c>
      <c r="BO162" s="716">
        <v>1</v>
      </c>
      <c r="BP162" s="716">
        <v>1.4</v>
      </c>
      <c r="BQ162" s="716">
        <v>1.5</v>
      </c>
      <c r="BR162" s="716">
        <v>1.8</v>
      </c>
      <c r="BS162" s="716">
        <v>2.1</v>
      </c>
      <c r="BT162" s="716">
        <v>2.2</v>
      </c>
      <c r="BU162" s="716">
        <v>2.5</v>
      </c>
      <c r="BV162" s="716">
        <v>2.6</v>
      </c>
      <c r="BW162" s="716">
        <v>2.9</v>
      </c>
      <c r="BX162" s="716">
        <v>3.1</v>
      </c>
      <c r="BY162" s="716">
        <v>3.5</v>
      </c>
      <c r="BZ162" s="716">
        <v>1.2</v>
      </c>
      <c r="CA162" s="716">
        <v>1.5</v>
      </c>
      <c r="CB162" s="716">
        <v>1.6</v>
      </c>
      <c r="CC162" s="716">
        <v>1.9</v>
      </c>
      <c r="CD162" s="716">
        <v>2.2</v>
      </c>
      <c r="CE162" s="716">
        <v>2.3</v>
      </c>
      <c r="CF162" s="716">
        <v>2.6</v>
      </c>
      <c r="CG162" s="716">
        <v>2.8</v>
      </c>
      <c r="CH162" s="716">
        <v>3.1</v>
      </c>
      <c r="CI162" s="716">
        <v>3.2</v>
      </c>
      <c r="CJ162" s="716">
        <v>3.6</v>
      </c>
      <c r="CK162" s="716">
        <v>1.4</v>
      </c>
      <c r="CL162" s="716">
        <v>1.6</v>
      </c>
      <c r="CM162" s="716">
        <v>1.7</v>
      </c>
      <c r="CN162" s="716">
        <v>2</v>
      </c>
      <c r="CO162" s="716">
        <v>2.3</v>
      </c>
      <c r="CP162" s="716">
        <v>2.5</v>
      </c>
      <c r="CQ162" s="716">
        <v>2.8</v>
      </c>
      <c r="CR162" s="716">
        <v>3</v>
      </c>
      <c r="CS162" s="716">
        <v>3.2</v>
      </c>
      <c r="CT162" s="716">
        <v>3.3</v>
      </c>
      <c r="CU162" s="716">
        <v>3.7</v>
      </c>
      <c r="CV162" s="716">
        <v>1.6</v>
      </c>
      <c r="CW162" s="716">
        <v>1.8</v>
      </c>
      <c r="CX162" s="716">
        <v>2.2</v>
      </c>
      <c r="CY162" s="716">
        <v>2.4</v>
      </c>
      <c r="CZ162" s="716">
        <v>2.6</v>
      </c>
      <c r="DA162" s="716">
        <v>2.7</v>
      </c>
      <c r="DB162" s="716">
        <v>3.1</v>
      </c>
      <c r="DC162" s="716">
        <v>3.2</v>
      </c>
      <c r="DD162" s="716">
        <v>3.4</v>
      </c>
      <c r="DE162" s="716">
        <v>3.8</v>
      </c>
      <c r="DF162" s="716">
        <v>4.1</v>
      </c>
      <c r="DG162" s="716">
        <v>1.9</v>
      </c>
      <c r="DH162" s="716">
        <v>2.3</v>
      </c>
      <c r="DI162" s="716">
        <v>2.7</v>
      </c>
      <c r="DJ162" s="716">
        <v>3</v>
      </c>
      <c r="DK162" s="716">
        <v>3.3</v>
      </c>
      <c r="DL162" s="716">
        <v>3.5</v>
      </c>
      <c r="DM162" s="716">
        <v>3.7</v>
      </c>
      <c r="DN162" s="716">
        <v>3.8</v>
      </c>
      <c r="DO162" s="716">
        <v>4.2</v>
      </c>
      <c r="DP162" s="716">
        <v>4.4</v>
      </c>
      <c r="DQ162" s="716">
        <v>4.7</v>
      </c>
      <c r="DR162" s="716">
        <v>2.4</v>
      </c>
      <c r="DS162" s="716">
        <v>2.7</v>
      </c>
      <c r="DT162" s="716">
        <v>3</v>
      </c>
      <c r="DU162" s="716">
        <v>3.2</v>
      </c>
      <c r="DV162" s="716">
        <v>3.5</v>
      </c>
      <c r="DW162" s="716">
        <v>3.8</v>
      </c>
      <c r="DX162" s="716">
        <v>3.9</v>
      </c>
      <c r="DY162" s="716">
        <v>4.3</v>
      </c>
      <c r="DZ162" s="716">
        <v>4.6</v>
      </c>
      <c r="EA162" s="716">
        <v>4.8</v>
      </c>
      <c r="EB162" s="716">
        <v>5.1</v>
      </c>
      <c r="EC162" s="716">
        <v>2.6</v>
      </c>
      <c r="ED162" s="716">
        <v>2.9</v>
      </c>
      <c r="EE162" s="716">
        <v>3.1</v>
      </c>
      <c r="EF162" s="716">
        <v>3.3</v>
      </c>
      <c r="EG162" s="716">
        <v>3.6</v>
      </c>
      <c r="EH162" s="716">
        <v>3.8</v>
      </c>
      <c r="EI162" s="716">
        <v>4</v>
      </c>
      <c r="EJ162" s="716">
        <v>4.4</v>
      </c>
      <c r="EK162" s="716">
        <v>4.7</v>
      </c>
      <c r="EL162" s="716">
        <v>4.9</v>
      </c>
      <c r="EM162" s="716">
        <v>5.2</v>
      </c>
      <c r="EN162" s="716">
        <v>3.9</v>
      </c>
      <c r="EO162" s="716">
        <v>4.3</v>
      </c>
      <c r="EP162" s="716">
        <v>4.6</v>
      </c>
      <c r="EQ162" s="716">
        <v>4.8</v>
      </c>
      <c r="ER162" s="716">
        <v>5.3</v>
      </c>
      <c r="ES162" s="716">
        <v>5.7</v>
      </c>
      <c r="ET162" s="716">
        <v>5.9</v>
      </c>
      <c r="EU162" s="716">
        <v>6.1</v>
      </c>
      <c r="EV162" s="716">
        <v>6.3</v>
      </c>
      <c r="EW162" s="716">
        <v>6.7</v>
      </c>
      <c r="EX162" s="716">
        <v>7.1</v>
      </c>
      <c r="EY162" s="716">
        <v>-1.7</v>
      </c>
      <c r="EZ162" s="716">
        <v>-1</v>
      </c>
      <c r="FA162" s="716">
        <v>-0.5</v>
      </c>
      <c r="FB162" s="716">
        <v>0.1</v>
      </c>
      <c r="FC162" s="716">
        <v>0.6</v>
      </c>
      <c r="FD162" s="716">
        <v>1</v>
      </c>
      <c r="FE162" s="716">
        <v>1.5</v>
      </c>
      <c r="FF162" s="716">
        <v>1.8</v>
      </c>
      <c r="FG162" s="716">
        <v>2.2</v>
      </c>
      <c r="FH162" s="716">
        <v>2.4</v>
      </c>
      <c r="FI162" s="716">
        <v>2.8</v>
      </c>
      <c r="FJ162" s="726">
        <v>-1.48e-6</v>
      </c>
      <c r="FK162" s="726">
        <v>1.72e-8</v>
      </c>
      <c r="FL162" s="726">
        <v>-2.62e-11</v>
      </c>
      <c r="FM162" s="726">
        <v>5.91e-7</v>
      </c>
      <c r="FN162" s="726">
        <v>3.18e-10</v>
      </c>
      <c r="FO162" s="726">
        <v>0.291</v>
      </c>
      <c r="FP162" s="729">
        <v>1</v>
      </c>
      <c r="FQ162" s="729">
        <v>1</v>
      </c>
      <c r="FR162" s="729">
        <v>1</v>
      </c>
      <c r="FS162" s="729">
        <v>1</v>
      </c>
      <c r="FT162" s="729">
        <v>1</v>
      </c>
      <c r="FU162" s="729">
        <v>1</v>
      </c>
      <c r="FV162" s="681">
        <v>1</v>
      </c>
      <c r="FW162" s="729"/>
      <c r="FX162" s="729"/>
      <c r="FY162" s="729"/>
      <c r="FZ162" s="782">
        <v>661</v>
      </c>
      <c r="GA162" s="782">
        <v>701</v>
      </c>
      <c r="GB162" s="681">
        <v>618</v>
      </c>
      <c r="GC162" s="681">
        <v>638</v>
      </c>
      <c r="GD162" s="747">
        <v>1.02</v>
      </c>
      <c r="GE162" s="729"/>
      <c r="GF162" s="681">
        <v>74</v>
      </c>
      <c r="GG162" s="681">
        <v>91</v>
      </c>
      <c r="GH162" s="681">
        <v>68</v>
      </c>
      <c r="GI162" s="681">
        <v>71</v>
      </c>
      <c r="GJ162" s="681">
        <v>72</v>
      </c>
      <c r="GK162" s="681">
        <v>73</v>
      </c>
      <c r="GL162" s="681">
        <v>74</v>
      </c>
      <c r="GM162" s="681">
        <v>75</v>
      </c>
      <c r="GN162" s="681">
        <v>76</v>
      </c>
      <c r="GO162" s="681">
        <v>77</v>
      </c>
      <c r="GP162" s="681">
        <v>77</v>
      </c>
      <c r="GQ162" s="681">
        <v>78</v>
      </c>
      <c r="GR162" s="681">
        <v>79</v>
      </c>
      <c r="GS162" s="681">
        <v>81</v>
      </c>
      <c r="GT162" s="681">
        <v>82</v>
      </c>
      <c r="GU162" s="681">
        <v>83</v>
      </c>
      <c r="GV162" s="681">
        <v>84</v>
      </c>
      <c r="GW162" s="681">
        <v>85</v>
      </c>
      <c r="GX162" s="681">
        <v>86</v>
      </c>
      <c r="GY162" s="681">
        <v>87</v>
      </c>
      <c r="GZ162" s="681">
        <v>88</v>
      </c>
      <c r="HA162" s="681">
        <v>89</v>
      </c>
      <c r="HB162" s="681">
        <v>90</v>
      </c>
      <c r="HC162" s="681"/>
      <c r="HD162" s="750">
        <v>270</v>
      </c>
      <c r="HE162" s="681"/>
      <c r="HF162" s="681">
        <v>626</v>
      </c>
      <c r="HG162" s="681">
        <v>96</v>
      </c>
      <c r="HH162" s="714">
        <v>114.7</v>
      </c>
      <c r="HI162" s="714">
        <v>44.6</v>
      </c>
      <c r="HJ162" s="753">
        <v>0.285</v>
      </c>
      <c r="HK162" s="681">
        <v>102</v>
      </c>
      <c r="HL162" s="685">
        <v>2.25</v>
      </c>
      <c r="HM162" s="747">
        <v>3.86</v>
      </c>
      <c r="HN162" s="729" t="s">
        <v>1305</v>
      </c>
      <c r="HO162" s="714" t="s">
        <v>1306</v>
      </c>
      <c r="HP162" s="714">
        <v>-1.2</v>
      </c>
      <c r="HQ162" s="753">
        <v>0.986</v>
      </c>
      <c r="HR162" s="753">
        <v>0.989</v>
      </c>
      <c r="HS162" s="753">
        <v>0.994</v>
      </c>
      <c r="HT162" s="753">
        <v>0.998</v>
      </c>
      <c r="HU162" s="753">
        <v>0.998</v>
      </c>
      <c r="HV162" s="753">
        <v>0.998</v>
      </c>
      <c r="HW162" s="753">
        <v>0.998</v>
      </c>
      <c r="HX162" s="753">
        <v>0.998</v>
      </c>
      <c r="HY162" s="753">
        <v>0.998</v>
      </c>
      <c r="HZ162" s="753">
        <v>0.998</v>
      </c>
      <c r="IA162" s="753">
        <v>0.998</v>
      </c>
      <c r="IB162" s="753">
        <v>0.998</v>
      </c>
      <c r="IC162" s="753">
        <v>0.998</v>
      </c>
      <c r="ID162" s="753">
        <v>0.998</v>
      </c>
      <c r="IE162" s="753">
        <v>0.998</v>
      </c>
      <c r="IF162" s="753">
        <v>0.996</v>
      </c>
      <c r="IG162" s="753">
        <v>0.994</v>
      </c>
      <c r="IH162" s="753">
        <v>0.989</v>
      </c>
      <c r="II162" s="753">
        <v>0.977</v>
      </c>
      <c r="IJ162" s="753">
        <v>0.968</v>
      </c>
      <c r="IK162" s="753">
        <v>0.956</v>
      </c>
      <c r="IL162" s="753">
        <v>0.933</v>
      </c>
      <c r="IM162" s="753">
        <v>0.887</v>
      </c>
      <c r="IN162" s="753">
        <v>0.792</v>
      </c>
      <c r="IO162" s="753">
        <v>0.691</v>
      </c>
      <c r="IP162" s="753">
        <v>0.503</v>
      </c>
      <c r="IQ162" s="753">
        <v>0.214</v>
      </c>
      <c r="IR162" s="753"/>
      <c r="IS162" s="753"/>
      <c r="IT162" s="753"/>
      <c r="IU162" s="753"/>
      <c r="IV162" s="753"/>
      <c r="IW162" s="753"/>
      <c r="IX162" s="753"/>
      <c r="IY162" s="753"/>
      <c r="IZ162" s="753"/>
      <c r="JA162" s="753">
        <v>0.972</v>
      </c>
      <c r="JB162" s="753">
        <v>0.978</v>
      </c>
      <c r="JC162" s="753">
        <v>0.988</v>
      </c>
      <c r="JD162" s="753">
        <v>0.996</v>
      </c>
      <c r="JE162" s="753">
        <v>0.996</v>
      </c>
      <c r="JF162" s="753">
        <v>0.996</v>
      </c>
      <c r="JG162" s="753">
        <v>0.996</v>
      </c>
      <c r="JH162" s="753">
        <v>0.996</v>
      </c>
      <c r="JI162" s="753">
        <v>0.996</v>
      </c>
      <c r="JJ162" s="753">
        <v>0.996</v>
      </c>
      <c r="JK162" s="753">
        <v>0.996</v>
      </c>
      <c r="JL162" s="753">
        <v>0.996</v>
      </c>
      <c r="JM162" s="753">
        <v>0.996</v>
      </c>
      <c r="JN162" s="753">
        <v>0.996</v>
      </c>
      <c r="JO162" s="753">
        <v>0.996</v>
      </c>
      <c r="JP162" s="753">
        <v>0.992</v>
      </c>
      <c r="JQ162" s="753">
        <v>0.988</v>
      </c>
      <c r="JR162" s="753">
        <v>0.979</v>
      </c>
      <c r="JS162" s="753">
        <v>0.953</v>
      </c>
      <c r="JT162" s="753">
        <v>0.937</v>
      </c>
      <c r="JU162" s="753">
        <v>0.914</v>
      </c>
      <c r="JV162" s="753">
        <v>0.871</v>
      </c>
      <c r="JW162" s="753">
        <v>0.788</v>
      </c>
      <c r="JX162" s="753">
        <v>0.627</v>
      </c>
      <c r="JY162" s="753">
        <v>0.478</v>
      </c>
      <c r="JZ162" s="753">
        <v>0.253</v>
      </c>
      <c r="KA162" s="753">
        <v>0.046</v>
      </c>
      <c r="KB162" s="753"/>
      <c r="KC162" s="753"/>
      <c r="KD162" s="753"/>
      <c r="KE162" s="753"/>
      <c r="KF162" s="753"/>
      <c r="KG162" s="753"/>
      <c r="KH162" s="753"/>
      <c r="KI162" s="753"/>
      <c r="KJ162" s="753"/>
      <c r="KK162" s="765" t="s">
        <v>281</v>
      </c>
      <c r="KL162" s="738">
        <v>160</v>
      </c>
      <c r="KM162" s="738">
        <v>618</v>
      </c>
      <c r="KN162" s="646" t="s">
        <v>617</v>
      </c>
      <c r="KO162" s="646" t="s">
        <v>1304</v>
      </c>
      <c r="KP162" s="779">
        <v>921240</v>
      </c>
      <c r="KQ162" s="789"/>
      <c r="KR162" s="750"/>
      <c r="KS162" s="789"/>
      <c r="KT162" s="770"/>
      <c r="KU162" s="789" t="s">
        <v>1307</v>
      </c>
      <c r="KV162" s="790">
        <v>921240</v>
      </c>
      <c r="KW162" s="791"/>
      <c r="KX162" s="790"/>
      <c r="KY162" s="789" t="s">
        <v>1308</v>
      </c>
      <c r="KZ162" s="770">
        <v>922214</v>
      </c>
    </row>
    <row r="163" s="628" customFormat="1" customHeight="1" spans="1:312">
      <c r="A163" s="682" t="s">
        <v>374</v>
      </c>
      <c r="B163" s="683">
        <v>159</v>
      </c>
      <c r="C163" s="684" t="s">
        <v>1309</v>
      </c>
      <c r="D163" s="779" t="s">
        <v>1310</v>
      </c>
      <c r="E163" s="685">
        <v>25.46</v>
      </c>
      <c r="F163" s="685">
        <v>25.26</v>
      </c>
      <c r="G163" s="688">
        <v>0.039308</v>
      </c>
      <c r="H163" s="686">
        <v>0.039985</v>
      </c>
      <c r="I163" s="696">
        <v>1.9329</v>
      </c>
      <c r="J163" s="696">
        <v>1.94015</v>
      </c>
      <c r="K163" s="696">
        <v>1.94903</v>
      </c>
      <c r="L163" s="696">
        <v>1.95916</v>
      </c>
      <c r="M163" s="696">
        <v>1.96137</v>
      </c>
      <c r="N163" s="696">
        <v>1.96328</v>
      </c>
      <c r="O163" s="696">
        <v>1.97139</v>
      </c>
      <c r="P163" s="696">
        <v>1.97747</v>
      </c>
      <c r="Q163" s="697">
        <v>1.98335</v>
      </c>
      <c r="R163" s="697">
        <v>1.98944</v>
      </c>
      <c r="S163" s="697">
        <v>1.99119</v>
      </c>
      <c r="T163" s="701">
        <v>1.99284</v>
      </c>
      <c r="U163" s="697">
        <v>2.00035</v>
      </c>
      <c r="V163" s="697">
        <v>2.00069</v>
      </c>
      <c r="W163" s="697">
        <v>2.00996</v>
      </c>
      <c r="X163" s="697">
        <v>2.02875</v>
      </c>
      <c r="Y163" s="697">
        <v>2.03118</v>
      </c>
      <c r="Z163" s="697">
        <v>2.05296</v>
      </c>
      <c r="AA163" s="697">
        <v>2.07475</v>
      </c>
      <c r="AB163" s="697"/>
      <c r="AC163" s="704">
        <v>3.80762148</v>
      </c>
      <c r="AD163" s="704">
        <v>-0.0153801657</v>
      </c>
      <c r="AE163" s="704">
        <v>0.0626758348</v>
      </c>
      <c r="AF163" s="704">
        <v>0.00157569502</v>
      </c>
      <c r="AG163" s="704">
        <v>0.000215980103</v>
      </c>
      <c r="AH163" s="704">
        <v>6.30489693e-6</v>
      </c>
      <c r="AI163" s="709">
        <v>0.2862</v>
      </c>
      <c r="AJ163" s="709">
        <v>0.2358</v>
      </c>
      <c r="AK163" s="709">
        <v>0.6159</v>
      </c>
      <c r="AL163" s="709">
        <v>0.2376</v>
      </c>
      <c r="AM163" s="709">
        <v>0.2318</v>
      </c>
      <c r="AN163" s="709">
        <v>0.5447</v>
      </c>
      <c r="AO163" s="709">
        <v>0.0019</v>
      </c>
      <c r="AP163" s="709">
        <v>0.0146</v>
      </c>
      <c r="AQ163" s="709">
        <v>0.002</v>
      </c>
      <c r="AR163" s="709">
        <v>-0.0023</v>
      </c>
      <c r="AS163" s="714">
        <v>1.6</v>
      </c>
      <c r="AT163" s="716">
        <v>1.7</v>
      </c>
      <c r="AU163" s="716">
        <v>1.8</v>
      </c>
      <c r="AV163" s="716">
        <v>1.9</v>
      </c>
      <c r="AW163" s="716">
        <v>2</v>
      </c>
      <c r="AX163" s="716">
        <v>2.1</v>
      </c>
      <c r="AY163" s="716">
        <v>2.2</v>
      </c>
      <c r="AZ163" s="716">
        <v>2.4</v>
      </c>
      <c r="BA163" s="716">
        <v>2.6</v>
      </c>
      <c r="BB163" s="716">
        <v>2.8</v>
      </c>
      <c r="BC163" s="716">
        <v>2.9</v>
      </c>
      <c r="BD163" s="716">
        <v>2.4</v>
      </c>
      <c r="BE163" s="716">
        <v>2.7</v>
      </c>
      <c r="BF163" s="716">
        <v>2.7</v>
      </c>
      <c r="BG163" s="716">
        <v>2.8</v>
      </c>
      <c r="BH163" s="716">
        <v>2.9</v>
      </c>
      <c r="BI163" s="716">
        <v>3.1</v>
      </c>
      <c r="BJ163" s="716">
        <v>3.3</v>
      </c>
      <c r="BK163" s="716">
        <v>3.6</v>
      </c>
      <c r="BL163" s="716">
        <v>3.7</v>
      </c>
      <c r="BM163" s="716">
        <v>4</v>
      </c>
      <c r="BN163" s="716">
        <v>4.1</v>
      </c>
      <c r="BO163" s="716">
        <v>2.9</v>
      </c>
      <c r="BP163" s="716">
        <v>3.1</v>
      </c>
      <c r="BQ163" s="716">
        <v>3.2</v>
      </c>
      <c r="BR163" s="716">
        <v>3.4</v>
      </c>
      <c r="BS163" s="716">
        <v>3.5</v>
      </c>
      <c r="BT163" s="716">
        <v>3.6</v>
      </c>
      <c r="BU163" s="716">
        <v>3.9</v>
      </c>
      <c r="BV163" s="716">
        <v>4.3</v>
      </c>
      <c r="BW163" s="716">
        <v>4.5</v>
      </c>
      <c r="BX163" s="716">
        <v>4.7</v>
      </c>
      <c r="BY163" s="716">
        <v>4.9</v>
      </c>
      <c r="BZ163" s="716">
        <v>3.1</v>
      </c>
      <c r="CA163" s="716">
        <v>3.2</v>
      </c>
      <c r="CB163" s="716">
        <v>3.3</v>
      </c>
      <c r="CC163" s="716">
        <v>3.5</v>
      </c>
      <c r="CD163" s="716">
        <v>3.6</v>
      </c>
      <c r="CE163" s="716">
        <v>3.7</v>
      </c>
      <c r="CF163" s="716">
        <v>3.9</v>
      </c>
      <c r="CG163" s="716">
        <v>4.3</v>
      </c>
      <c r="CH163" s="716">
        <v>4.6</v>
      </c>
      <c r="CI163" s="716">
        <v>4.8</v>
      </c>
      <c r="CJ163" s="716">
        <v>5</v>
      </c>
      <c r="CK163" s="716">
        <v>3.2</v>
      </c>
      <c r="CL163" s="716">
        <v>3.3</v>
      </c>
      <c r="CM163" s="716">
        <v>3.4</v>
      </c>
      <c r="CN163" s="716">
        <v>3.6</v>
      </c>
      <c r="CO163" s="716">
        <v>3.7</v>
      </c>
      <c r="CP163" s="716">
        <v>3.8</v>
      </c>
      <c r="CQ163" s="716">
        <v>4.1</v>
      </c>
      <c r="CR163" s="716">
        <v>4.4</v>
      </c>
      <c r="CS163" s="716">
        <v>4.7</v>
      </c>
      <c r="CT163" s="716">
        <v>4.9</v>
      </c>
      <c r="CU163" s="716">
        <v>5</v>
      </c>
      <c r="CV163" s="716">
        <v>3.3</v>
      </c>
      <c r="CW163" s="716">
        <v>3.7</v>
      </c>
      <c r="CX163" s="716">
        <v>3.9</v>
      </c>
      <c r="CY163" s="716">
        <v>4.1</v>
      </c>
      <c r="CZ163" s="716">
        <v>4.2</v>
      </c>
      <c r="DA163" s="716">
        <v>4.5</v>
      </c>
      <c r="DB163" s="716">
        <v>4.7</v>
      </c>
      <c r="DC163" s="716">
        <v>4.9</v>
      </c>
      <c r="DD163" s="716">
        <v>5.3</v>
      </c>
      <c r="DE163" s="716">
        <v>5.5</v>
      </c>
      <c r="DF163" s="716">
        <v>5.7</v>
      </c>
      <c r="DG163" s="716">
        <v>4</v>
      </c>
      <c r="DH163" s="716">
        <v>4.3</v>
      </c>
      <c r="DI163" s="716">
        <v>4.5</v>
      </c>
      <c r="DJ163" s="716">
        <v>4.8</v>
      </c>
      <c r="DK163" s="716">
        <v>5</v>
      </c>
      <c r="DL163" s="716">
        <v>5.2</v>
      </c>
      <c r="DM163" s="716">
        <v>5.6</v>
      </c>
      <c r="DN163" s="716">
        <v>5.9</v>
      </c>
      <c r="DO163" s="716">
        <v>6.4</v>
      </c>
      <c r="DP163" s="716">
        <v>6.8</v>
      </c>
      <c r="DQ163" s="716">
        <v>7</v>
      </c>
      <c r="DR163" s="716">
        <v>5.6</v>
      </c>
      <c r="DS163" s="716">
        <v>5.8</v>
      </c>
      <c r="DT163" s="716">
        <v>6.1</v>
      </c>
      <c r="DU163" s="716">
        <v>6.4</v>
      </c>
      <c r="DV163" s="716">
        <v>6.8</v>
      </c>
      <c r="DW163" s="716">
        <v>7</v>
      </c>
      <c r="DX163" s="716">
        <v>7.4</v>
      </c>
      <c r="DY163" s="716">
        <v>7.8</v>
      </c>
      <c r="DZ163" s="716">
        <v>8.2</v>
      </c>
      <c r="EA163" s="716">
        <v>8.7</v>
      </c>
      <c r="EB163" s="716">
        <v>9.1</v>
      </c>
      <c r="EC163" s="716">
        <v>5.9</v>
      </c>
      <c r="ED163" s="716">
        <v>6.1</v>
      </c>
      <c r="EE163" s="716">
        <v>6.3</v>
      </c>
      <c r="EF163" s="716">
        <v>6.7</v>
      </c>
      <c r="EG163" s="716">
        <v>7</v>
      </c>
      <c r="EH163" s="716">
        <v>7.2</v>
      </c>
      <c r="EI163" s="716">
        <v>7.7</v>
      </c>
      <c r="EJ163" s="716">
        <v>8.1</v>
      </c>
      <c r="EK163" s="716">
        <v>8.5</v>
      </c>
      <c r="EL163" s="716">
        <v>9</v>
      </c>
      <c r="EM163" s="716">
        <v>9.3</v>
      </c>
      <c r="EN163" s="716">
        <v>7.4</v>
      </c>
      <c r="EO163" s="716">
        <v>7.9</v>
      </c>
      <c r="EP163" s="716">
        <v>8.4</v>
      </c>
      <c r="EQ163" s="716">
        <v>8.8</v>
      </c>
      <c r="ER163" s="716">
        <v>9.2</v>
      </c>
      <c r="ES163" s="716">
        <v>9.6</v>
      </c>
      <c r="ET163" s="716">
        <v>10.1</v>
      </c>
      <c r="EU163" s="716">
        <v>10.4</v>
      </c>
      <c r="EV163" s="716">
        <v>10.6</v>
      </c>
      <c r="EW163" s="716">
        <v>10.8</v>
      </c>
      <c r="EX163" s="716">
        <v>11.2</v>
      </c>
      <c r="EY163" s="716">
        <v>0</v>
      </c>
      <c r="EZ163" s="716">
        <v>0.6</v>
      </c>
      <c r="FA163" s="716">
        <v>1.1</v>
      </c>
      <c r="FB163" s="716">
        <v>1.6</v>
      </c>
      <c r="FC163" s="716">
        <v>2</v>
      </c>
      <c r="FD163" s="716">
        <v>2.3</v>
      </c>
      <c r="FE163" s="716">
        <v>2.7</v>
      </c>
      <c r="FF163" s="716">
        <v>3.2</v>
      </c>
      <c r="FG163" s="716">
        <v>3.6</v>
      </c>
      <c r="FH163" s="716">
        <v>3.9</v>
      </c>
      <c r="FI163" s="716">
        <v>4.1</v>
      </c>
      <c r="FJ163" s="726">
        <v>-7.65e-7</v>
      </c>
      <c r="FK163" s="726">
        <v>1.27e-8</v>
      </c>
      <c r="FL163" s="726">
        <v>-1.65e-11</v>
      </c>
      <c r="FM163" s="726">
        <v>1.04e-6</v>
      </c>
      <c r="FN163" s="726">
        <v>1.04e-9</v>
      </c>
      <c r="FO163" s="726">
        <v>0.285</v>
      </c>
      <c r="FP163" s="729">
        <v>1</v>
      </c>
      <c r="FQ163" s="729">
        <v>1</v>
      </c>
      <c r="FR163" s="729">
        <v>1</v>
      </c>
      <c r="FS163" s="729">
        <v>1</v>
      </c>
      <c r="FT163" s="729">
        <v>1</v>
      </c>
      <c r="FU163" s="729">
        <v>1</v>
      </c>
      <c r="FV163" s="681">
        <v>1</v>
      </c>
      <c r="FW163" s="729"/>
      <c r="FX163" s="729"/>
      <c r="FY163" s="729"/>
      <c r="FZ163" s="782">
        <v>700</v>
      </c>
      <c r="GA163" s="782">
        <v>748</v>
      </c>
      <c r="GB163" s="681">
        <v>629</v>
      </c>
      <c r="GC163" s="681">
        <v>675</v>
      </c>
      <c r="GD163" s="747">
        <v>1.19</v>
      </c>
      <c r="GE163" s="729"/>
      <c r="GF163" s="681">
        <v>73</v>
      </c>
      <c r="GG163" s="681">
        <v>89</v>
      </c>
      <c r="GH163" s="681">
        <v>64</v>
      </c>
      <c r="GI163" s="681">
        <v>67</v>
      </c>
      <c r="GJ163" s="681">
        <v>69</v>
      </c>
      <c r="GK163" s="681">
        <v>70</v>
      </c>
      <c r="GL163" s="681">
        <v>71</v>
      </c>
      <c r="GM163" s="681">
        <v>72</v>
      </c>
      <c r="GN163" s="681">
        <v>73</v>
      </c>
      <c r="GO163" s="681">
        <v>74</v>
      </c>
      <c r="GP163" s="681">
        <v>75</v>
      </c>
      <c r="GQ163" s="681">
        <v>76</v>
      </c>
      <c r="GR163" s="681">
        <v>76</v>
      </c>
      <c r="GS163" s="681">
        <v>77</v>
      </c>
      <c r="GT163" s="681">
        <v>78</v>
      </c>
      <c r="GU163" s="681">
        <v>78</v>
      </c>
      <c r="GV163" s="681">
        <v>79</v>
      </c>
      <c r="GW163" s="681">
        <v>79</v>
      </c>
      <c r="GX163" s="681">
        <v>80</v>
      </c>
      <c r="GY163" s="681">
        <v>81</v>
      </c>
      <c r="GZ163" s="681">
        <v>82</v>
      </c>
      <c r="HA163" s="681">
        <v>83</v>
      </c>
      <c r="HB163" s="681">
        <v>84</v>
      </c>
      <c r="HC163" s="681"/>
      <c r="HD163" s="750">
        <v>215</v>
      </c>
      <c r="HE163" s="681"/>
      <c r="HF163" s="681">
        <v>630</v>
      </c>
      <c r="HG163" s="681">
        <v>78</v>
      </c>
      <c r="HH163" s="714">
        <v>123.5</v>
      </c>
      <c r="HI163" s="714">
        <v>46.3</v>
      </c>
      <c r="HJ163" s="753">
        <v>0.355</v>
      </c>
      <c r="HK163" s="681">
        <v>75</v>
      </c>
      <c r="HL163" s="685">
        <v>1.22</v>
      </c>
      <c r="HM163" s="747">
        <v>4.76</v>
      </c>
      <c r="HN163" s="729" t="s">
        <v>1311</v>
      </c>
      <c r="HO163" s="714" t="s">
        <v>1312</v>
      </c>
      <c r="HP163" s="714">
        <v>-1.1</v>
      </c>
      <c r="HQ163" s="753">
        <v>0.955</v>
      </c>
      <c r="HR163" s="753">
        <v>0.983</v>
      </c>
      <c r="HS163" s="753">
        <v>0.99</v>
      </c>
      <c r="HT163" s="753">
        <v>0.997</v>
      </c>
      <c r="HU163" s="753">
        <v>0.997</v>
      </c>
      <c r="HV163" s="753">
        <v>0.997</v>
      </c>
      <c r="HW163" s="753">
        <v>0.997</v>
      </c>
      <c r="HX163" s="753">
        <v>0.997</v>
      </c>
      <c r="HY163" s="753">
        <v>0.997</v>
      </c>
      <c r="HZ163" s="753">
        <v>0.997</v>
      </c>
      <c r="IA163" s="753">
        <v>0.997</v>
      </c>
      <c r="IB163" s="753">
        <v>0.997</v>
      </c>
      <c r="IC163" s="753">
        <v>0.997</v>
      </c>
      <c r="ID163" s="753">
        <v>0.997</v>
      </c>
      <c r="IE163" s="753">
        <v>0.997</v>
      </c>
      <c r="IF163" s="753">
        <v>0.997</v>
      </c>
      <c r="IG163" s="753">
        <v>0.995</v>
      </c>
      <c r="IH163" s="753">
        <v>0.994</v>
      </c>
      <c r="II163" s="753">
        <v>0.967</v>
      </c>
      <c r="IJ163" s="753">
        <v>0.953</v>
      </c>
      <c r="IK163" s="753">
        <v>0.931</v>
      </c>
      <c r="IL163" s="753">
        <v>0.893</v>
      </c>
      <c r="IM163" s="753">
        <v>0.816</v>
      </c>
      <c r="IN163" s="753">
        <v>0.669</v>
      </c>
      <c r="IO163" s="753">
        <v>0.559</v>
      </c>
      <c r="IP163" s="753">
        <v>0.373</v>
      </c>
      <c r="IQ163" s="753">
        <v>0.144</v>
      </c>
      <c r="IR163" s="753"/>
      <c r="IS163" s="753"/>
      <c r="IT163" s="753"/>
      <c r="IU163" s="753"/>
      <c r="IV163" s="753"/>
      <c r="IW163" s="753"/>
      <c r="IX163" s="753"/>
      <c r="IY163" s="753"/>
      <c r="IZ163" s="753"/>
      <c r="JA163" s="753">
        <v>0.912</v>
      </c>
      <c r="JB163" s="753">
        <v>0.966</v>
      </c>
      <c r="JC163" s="753">
        <v>0.98</v>
      </c>
      <c r="JD163" s="753">
        <v>0.994</v>
      </c>
      <c r="JE163" s="753">
        <v>0.994</v>
      </c>
      <c r="JF163" s="753">
        <v>0.994</v>
      </c>
      <c r="JG163" s="753">
        <v>0.994</v>
      </c>
      <c r="JH163" s="753">
        <v>0.994</v>
      </c>
      <c r="JI163" s="753">
        <v>0.994</v>
      </c>
      <c r="JJ163" s="753">
        <v>0.994</v>
      </c>
      <c r="JK163" s="753">
        <v>0.994</v>
      </c>
      <c r="JL163" s="753">
        <v>0.994</v>
      </c>
      <c r="JM163" s="753">
        <v>0.994</v>
      </c>
      <c r="JN163" s="753">
        <v>0.994</v>
      </c>
      <c r="JO163" s="753">
        <v>0.994</v>
      </c>
      <c r="JP163" s="753">
        <v>0.994</v>
      </c>
      <c r="JQ163" s="753">
        <v>0.991</v>
      </c>
      <c r="JR163" s="753">
        <v>0.989</v>
      </c>
      <c r="JS163" s="753">
        <v>0.941</v>
      </c>
      <c r="JT163" s="753">
        <v>0.912</v>
      </c>
      <c r="JU163" s="753">
        <v>0.87</v>
      </c>
      <c r="JV163" s="753">
        <v>0.798</v>
      </c>
      <c r="JW163" s="753">
        <v>0.662</v>
      </c>
      <c r="JX163" s="753">
        <v>0.441</v>
      </c>
      <c r="JY163" s="753">
        <v>0.312</v>
      </c>
      <c r="JZ163" s="753">
        <v>0.135</v>
      </c>
      <c r="KA163" s="753">
        <v>0.024</v>
      </c>
      <c r="KB163" s="753"/>
      <c r="KC163" s="753"/>
      <c r="KD163" s="753"/>
      <c r="KE163" s="753"/>
      <c r="KF163" s="753"/>
      <c r="KG163" s="753"/>
      <c r="KH163" s="753"/>
      <c r="KI163" s="753"/>
      <c r="KJ163" s="753"/>
      <c r="KK163" s="765" t="s">
        <v>281</v>
      </c>
      <c r="KL163" s="738">
        <v>82</v>
      </c>
      <c r="KM163" s="738">
        <v>390</v>
      </c>
      <c r="KN163" s="646" t="s">
        <v>339</v>
      </c>
      <c r="KO163" s="646" t="s">
        <v>1309</v>
      </c>
      <c r="KP163" s="779" t="s">
        <v>1310</v>
      </c>
      <c r="KQ163" s="789"/>
      <c r="KR163" s="750"/>
      <c r="KS163" s="789" t="s">
        <v>1313</v>
      </c>
      <c r="KT163" s="770" t="s">
        <v>1314</v>
      </c>
      <c r="KU163" s="789" t="s">
        <v>1315</v>
      </c>
      <c r="KV163" s="790" t="s">
        <v>1310</v>
      </c>
      <c r="KW163" s="791"/>
      <c r="KX163" s="790"/>
      <c r="KY163" s="789"/>
      <c r="KZ163" s="770"/>
    </row>
    <row r="164" s="628" customFormat="1" customHeight="1" spans="1:312">
      <c r="A164" s="682" t="s">
        <v>277</v>
      </c>
      <c r="B164" s="683">
        <v>160</v>
      </c>
      <c r="C164" s="684" t="s">
        <v>1316</v>
      </c>
      <c r="D164" s="779" t="s">
        <v>1310</v>
      </c>
      <c r="E164" s="685">
        <v>25.46</v>
      </c>
      <c r="F164" s="685">
        <v>25.26</v>
      </c>
      <c r="G164" s="688">
        <v>0.039308</v>
      </c>
      <c r="H164" s="686">
        <v>0.039985</v>
      </c>
      <c r="I164" s="696">
        <v>1.9329</v>
      </c>
      <c r="J164" s="696">
        <v>1.94015</v>
      </c>
      <c r="K164" s="696">
        <v>1.94903</v>
      </c>
      <c r="L164" s="696">
        <v>1.95916</v>
      </c>
      <c r="M164" s="696">
        <v>1.96137</v>
      </c>
      <c r="N164" s="696">
        <v>1.96328</v>
      </c>
      <c r="O164" s="696">
        <v>1.97139</v>
      </c>
      <c r="P164" s="696">
        <v>1.97747</v>
      </c>
      <c r="Q164" s="697">
        <v>1.98335</v>
      </c>
      <c r="R164" s="697">
        <v>1.98944</v>
      </c>
      <c r="S164" s="697">
        <v>1.99119</v>
      </c>
      <c r="T164" s="701">
        <v>1.99284</v>
      </c>
      <c r="U164" s="697">
        <v>2.00035</v>
      </c>
      <c r="V164" s="697">
        <v>2.00069</v>
      </c>
      <c r="W164" s="697">
        <v>2.00996</v>
      </c>
      <c r="X164" s="697">
        <v>2.02875</v>
      </c>
      <c r="Y164" s="697">
        <v>2.03118</v>
      </c>
      <c r="Z164" s="697">
        <v>2.05296</v>
      </c>
      <c r="AA164" s="697">
        <v>2.07475</v>
      </c>
      <c r="AB164" s="697"/>
      <c r="AC164" s="704">
        <v>3.80762148</v>
      </c>
      <c r="AD164" s="704">
        <v>-0.0153801657</v>
      </c>
      <c r="AE164" s="704">
        <v>0.0626758348</v>
      </c>
      <c r="AF164" s="704">
        <v>0.00157569502</v>
      </c>
      <c r="AG164" s="704">
        <v>0.000215980103</v>
      </c>
      <c r="AH164" s="704">
        <v>6.30489693e-6</v>
      </c>
      <c r="AI164" s="709">
        <v>0.2862</v>
      </c>
      <c r="AJ164" s="709">
        <v>0.2358</v>
      </c>
      <c r="AK164" s="709">
        <v>0.6159</v>
      </c>
      <c r="AL164" s="709">
        <v>0.2376</v>
      </c>
      <c r="AM164" s="709">
        <v>0.2318</v>
      </c>
      <c r="AN164" s="709">
        <v>0.5447</v>
      </c>
      <c r="AO164" s="709">
        <v>0.0019</v>
      </c>
      <c r="AP164" s="709">
        <v>0.0146</v>
      </c>
      <c r="AQ164" s="709">
        <v>0.002</v>
      </c>
      <c r="AR164" s="709">
        <v>-0.0023</v>
      </c>
      <c r="AS164" s="714">
        <v>1.6</v>
      </c>
      <c r="AT164" s="716">
        <v>1.7</v>
      </c>
      <c r="AU164" s="716">
        <v>1.8</v>
      </c>
      <c r="AV164" s="716">
        <v>1.9</v>
      </c>
      <c r="AW164" s="716">
        <v>2</v>
      </c>
      <c r="AX164" s="716">
        <v>2.1</v>
      </c>
      <c r="AY164" s="716">
        <v>2.2</v>
      </c>
      <c r="AZ164" s="716">
        <v>2.4</v>
      </c>
      <c r="BA164" s="716">
        <v>2.6</v>
      </c>
      <c r="BB164" s="716">
        <v>2.8</v>
      </c>
      <c r="BC164" s="716">
        <v>2.9</v>
      </c>
      <c r="BD164" s="716">
        <v>2.4</v>
      </c>
      <c r="BE164" s="716">
        <v>2.7</v>
      </c>
      <c r="BF164" s="716">
        <v>2.7</v>
      </c>
      <c r="BG164" s="716">
        <v>2.8</v>
      </c>
      <c r="BH164" s="716">
        <v>2.9</v>
      </c>
      <c r="BI164" s="716">
        <v>3.1</v>
      </c>
      <c r="BJ164" s="716">
        <v>3.3</v>
      </c>
      <c r="BK164" s="716">
        <v>3.6</v>
      </c>
      <c r="BL164" s="716">
        <v>3.7</v>
      </c>
      <c r="BM164" s="716">
        <v>4</v>
      </c>
      <c r="BN164" s="716">
        <v>4.1</v>
      </c>
      <c r="BO164" s="716">
        <v>2.9</v>
      </c>
      <c r="BP164" s="716">
        <v>3.1</v>
      </c>
      <c r="BQ164" s="716">
        <v>3.2</v>
      </c>
      <c r="BR164" s="716">
        <v>3.4</v>
      </c>
      <c r="BS164" s="716">
        <v>3.5</v>
      </c>
      <c r="BT164" s="716">
        <v>3.6</v>
      </c>
      <c r="BU164" s="716">
        <v>3.9</v>
      </c>
      <c r="BV164" s="716">
        <v>4.3</v>
      </c>
      <c r="BW164" s="716">
        <v>4.5</v>
      </c>
      <c r="BX164" s="716">
        <v>4.7</v>
      </c>
      <c r="BY164" s="716">
        <v>4.9</v>
      </c>
      <c r="BZ164" s="716">
        <v>3.1</v>
      </c>
      <c r="CA164" s="716">
        <v>3.2</v>
      </c>
      <c r="CB164" s="716">
        <v>3.3</v>
      </c>
      <c r="CC164" s="716">
        <v>3.5</v>
      </c>
      <c r="CD164" s="716">
        <v>3.6</v>
      </c>
      <c r="CE164" s="716">
        <v>3.7</v>
      </c>
      <c r="CF164" s="716">
        <v>3.9</v>
      </c>
      <c r="CG164" s="716">
        <v>4.3</v>
      </c>
      <c r="CH164" s="716">
        <v>4.6</v>
      </c>
      <c r="CI164" s="716">
        <v>4.8</v>
      </c>
      <c r="CJ164" s="716">
        <v>5</v>
      </c>
      <c r="CK164" s="716">
        <v>3.2</v>
      </c>
      <c r="CL164" s="716">
        <v>3.3</v>
      </c>
      <c r="CM164" s="716">
        <v>3.4</v>
      </c>
      <c r="CN164" s="716">
        <v>3.6</v>
      </c>
      <c r="CO164" s="716">
        <v>3.7</v>
      </c>
      <c r="CP164" s="716">
        <v>3.8</v>
      </c>
      <c r="CQ164" s="716">
        <v>4.1</v>
      </c>
      <c r="CR164" s="716">
        <v>4.4</v>
      </c>
      <c r="CS164" s="716">
        <v>4.7</v>
      </c>
      <c r="CT164" s="716">
        <v>4.9</v>
      </c>
      <c r="CU164" s="716">
        <v>5</v>
      </c>
      <c r="CV164" s="716">
        <v>3.3</v>
      </c>
      <c r="CW164" s="716">
        <v>3.7</v>
      </c>
      <c r="CX164" s="716">
        <v>3.9</v>
      </c>
      <c r="CY164" s="716">
        <v>4.1</v>
      </c>
      <c r="CZ164" s="716">
        <v>4.2</v>
      </c>
      <c r="DA164" s="716">
        <v>4.5</v>
      </c>
      <c r="DB164" s="716">
        <v>4.7</v>
      </c>
      <c r="DC164" s="716">
        <v>4.9</v>
      </c>
      <c r="DD164" s="716">
        <v>5.3</v>
      </c>
      <c r="DE164" s="716">
        <v>5.5</v>
      </c>
      <c r="DF164" s="716">
        <v>5.7</v>
      </c>
      <c r="DG164" s="716">
        <v>4</v>
      </c>
      <c r="DH164" s="716">
        <v>4.3</v>
      </c>
      <c r="DI164" s="716">
        <v>4.5</v>
      </c>
      <c r="DJ164" s="716">
        <v>4.8</v>
      </c>
      <c r="DK164" s="716">
        <v>5</v>
      </c>
      <c r="DL164" s="716">
        <v>5.2</v>
      </c>
      <c r="DM164" s="716">
        <v>5.6</v>
      </c>
      <c r="DN164" s="716">
        <v>5.9</v>
      </c>
      <c r="DO164" s="716">
        <v>6.4</v>
      </c>
      <c r="DP164" s="716">
        <v>6.8</v>
      </c>
      <c r="DQ164" s="716">
        <v>7</v>
      </c>
      <c r="DR164" s="716">
        <v>5.6</v>
      </c>
      <c r="DS164" s="716">
        <v>5.8</v>
      </c>
      <c r="DT164" s="716">
        <v>6.1</v>
      </c>
      <c r="DU164" s="716">
        <v>6.4</v>
      </c>
      <c r="DV164" s="716">
        <v>6.8</v>
      </c>
      <c r="DW164" s="716">
        <v>7</v>
      </c>
      <c r="DX164" s="716">
        <v>7.4</v>
      </c>
      <c r="DY164" s="716">
        <v>7.8</v>
      </c>
      <c r="DZ164" s="716">
        <v>8.2</v>
      </c>
      <c r="EA164" s="716">
        <v>8.7</v>
      </c>
      <c r="EB164" s="716">
        <v>9.1</v>
      </c>
      <c r="EC164" s="716">
        <v>5.9</v>
      </c>
      <c r="ED164" s="716">
        <v>6.1</v>
      </c>
      <c r="EE164" s="716">
        <v>6.3</v>
      </c>
      <c r="EF164" s="716">
        <v>6.7</v>
      </c>
      <c r="EG164" s="716">
        <v>7</v>
      </c>
      <c r="EH164" s="716">
        <v>7.2</v>
      </c>
      <c r="EI164" s="716">
        <v>7.7</v>
      </c>
      <c r="EJ164" s="716">
        <v>8.1</v>
      </c>
      <c r="EK164" s="716">
        <v>8.5</v>
      </c>
      <c r="EL164" s="716">
        <v>9</v>
      </c>
      <c r="EM164" s="716">
        <v>9.3</v>
      </c>
      <c r="EN164" s="716">
        <v>7.4</v>
      </c>
      <c r="EO164" s="716">
        <v>7.9</v>
      </c>
      <c r="EP164" s="716">
        <v>8.4</v>
      </c>
      <c r="EQ164" s="716">
        <v>8.8</v>
      </c>
      <c r="ER164" s="716">
        <v>9.2</v>
      </c>
      <c r="ES164" s="716">
        <v>9.6</v>
      </c>
      <c r="ET164" s="716">
        <v>10.1</v>
      </c>
      <c r="EU164" s="716">
        <v>10.4</v>
      </c>
      <c r="EV164" s="716">
        <v>10.6</v>
      </c>
      <c r="EW164" s="716">
        <v>10.8</v>
      </c>
      <c r="EX164" s="716">
        <v>11.2</v>
      </c>
      <c r="EY164" s="716">
        <v>0</v>
      </c>
      <c r="EZ164" s="716">
        <v>0.6</v>
      </c>
      <c r="FA164" s="716">
        <v>1.1</v>
      </c>
      <c r="FB164" s="716">
        <v>1.6</v>
      </c>
      <c r="FC164" s="716">
        <v>2</v>
      </c>
      <c r="FD164" s="716">
        <v>2.3</v>
      </c>
      <c r="FE164" s="716">
        <v>2.7</v>
      </c>
      <c r="FF164" s="716">
        <v>3.2</v>
      </c>
      <c r="FG164" s="716">
        <v>3.6</v>
      </c>
      <c r="FH164" s="716">
        <v>3.9</v>
      </c>
      <c r="FI164" s="716">
        <v>4.1</v>
      </c>
      <c r="FJ164" s="726">
        <v>-7.65e-7</v>
      </c>
      <c r="FK164" s="726">
        <v>1.27e-8</v>
      </c>
      <c r="FL164" s="726">
        <v>-1.65e-11</v>
      </c>
      <c r="FM164" s="726">
        <v>1.04e-6</v>
      </c>
      <c r="FN164" s="726">
        <v>1.04e-9</v>
      </c>
      <c r="FO164" s="726">
        <v>0.285</v>
      </c>
      <c r="FP164" s="729">
        <v>1</v>
      </c>
      <c r="FQ164" s="729">
        <v>1</v>
      </c>
      <c r="FR164" s="729">
        <v>1</v>
      </c>
      <c r="FS164" s="729">
        <v>1</v>
      </c>
      <c r="FT164" s="729">
        <v>1</v>
      </c>
      <c r="FU164" s="729">
        <v>1</v>
      </c>
      <c r="FV164" s="681">
        <v>1</v>
      </c>
      <c r="FW164" s="729"/>
      <c r="FX164" s="729"/>
      <c r="FY164" s="729"/>
      <c r="FZ164" s="782">
        <v>700</v>
      </c>
      <c r="GA164" s="782">
        <v>748</v>
      </c>
      <c r="GB164" s="681">
        <v>629</v>
      </c>
      <c r="GC164" s="681">
        <v>675</v>
      </c>
      <c r="GD164" s="747">
        <v>1.19</v>
      </c>
      <c r="GE164" s="729"/>
      <c r="GF164" s="681">
        <v>73</v>
      </c>
      <c r="GG164" s="681">
        <v>89</v>
      </c>
      <c r="GH164" s="681">
        <v>64</v>
      </c>
      <c r="GI164" s="681">
        <v>67</v>
      </c>
      <c r="GJ164" s="681">
        <v>69</v>
      </c>
      <c r="GK164" s="681">
        <v>70</v>
      </c>
      <c r="GL164" s="681">
        <v>71</v>
      </c>
      <c r="GM164" s="681">
        <v>72</v>
      </c>
      <c r="GN164" s="681">
        <v>73</v>
      </c>
      <c r="GO164" s="681">
        <v>74</v>
      </c>
      <c r="GP164" s="681">
        <v>75</v>
      </c>
      <c r="GQ164" s="681">
        <v>76</v>
      </c>
      <c r="GR164" s="681">
        <v>76</v>
      </c>
      <c r="GS164" s="681">
        <v>77</v>
      </c>
      <c r="GT164" s="681">
        <v>78</v>
      </c>
      <c r="GU164" s="681">
        <v>78</v>
      </c>
      <c r="GV164" s="681">
        <v>79</v>
      </c>
      <c r="GW164" s="681">
        <v>79</v>
      </c>
      <c r="GX164" s="681">
        <v>80</v>
      </c>
      <c r="GY164" s="681">
        <v>81</v>
      </c>
      <c r="GZ164" s="681">
        <v>82</v>
      </c>
      <c r="HA164" s="681">
        <v>83</v>
      </c>
      <c r="HB164" s="681">
        <v>84</v>
      </c>
      <c r="HC164" s="681"/>
      <c r="HD164" s="750">
        <v>215</v>
      </c>
      <c r="HE164" s="681"/>
      <c r="HF164" s="681">
        <v>630</v>
      </c>
      <c r="HG164" s="681">
        <v>78</v>
      </c>
      <c r="HH164" s="714">
        <v>123.5</v>
      </c>
      <c r="HI164" s="714">
        <v>46.3</v>
      </c>
      <c r="HJ164" s="753">
        <v>0.355</v>
      </c>
      <c r="HK164" s="681">
        <v>75</v>
      </c>
      <c r="HL164" s="685">
        <v>1.22</v>
      </c>
      <c r="HM164" s="747">
        <v>4.76</v>
      </c>
      <c r="HN164" s="729" t="s">
        <v>1317</v>
      </c>
      <c r="HO164" s="714" t="s">
        <v>1318</v>
      </c>
      <c r="HP164" s="714">
        <v>-1</v>
      </c>
      <c r="HQ164" s="753">
        <v>0.933</v>
      </c>
      <c r="HR164" s="753">
        <v>0.976</v>
      </c>
      <c r="HS164" s="753">
        <v>0.989</v>
      </c>
      <c r="HT164" s="753">
        <v>0.994</v>
      </c>
      <c r="HU164" s="753">
        <v>0.998</v>
      </c>
      <c r="HV164" s="753">
        <v>0.999</v>
      </c>
      <c r="HW164" s="753">
        <v>0.999</v>
      </c>
      <c r="HX164" s="753">
        <v>0.999</v>
      </c>
      <c r="HY164" s="753">
        <v>0.999</v>
      </c>
      <c r="HZ164" s="753">
        <v>0.999</v>
      </c>
      <c r="IA164" s="753">
        <v>0.999</v>
      </c>
      <c r="IB164" s="753">
        <v>0.999</v>
      </c>
      <c r="IC164" s="753">
        <v>0.999</v>
      </c>
      <c r="ID164" s="753">
        <v>0.999</v>
      </c>
      <c r="IE164" s="753">
        <v>0.998</v>
      </c>
      <c r="IF164" s="753">
        <v>0.997</v>
      </c>
      <c r="IG164" s="753">
        <v>0.996</v>
      </c>
      <c r="IH164" s="753">
        <v>0.992</v>
      </c>
      <c r="II164" s="753">
        <v>0.981</v>
      </c>
      <c r="IJ164" s="753">
        <v>0.972</v>
      </c>
      <c r="IK164" s="753">
        <v>0.96</v>
      </c>
      <c r="IL164" s="753">
        <v>0.939</v>
      </c>
      <c r="IM164" s="753">
        <v>0.895</v>
      </c>
      <c r="IN164" s="753">
        <v>0.797</v>
      </c>
      <c r="IO164" s="753">
        <v>0.696</v>
      </c>
      <c r="IP164" s="753">
        <v>0.513</v>
      </c>
      <c r="IQ164" s="753">
        <v>0.239</v>
      </c>
      <c r="IR164" s="753"/>
      <c r="IS164" s="753"/>
      <c r="IT164" s="753"/>
      <c r="IU164" s="753"/>
      <c r="IV164" s="753"/>
      <c r="IW164" s="753"/>
      <c r="IX164" s="753"/>
      <c r="IY164" s="753"/>
      <c r="IZ164" s="753"/>
      <c r="JA164" s="753">
        <v>0.87</v>
      </c>
      <c r="JB164" s="753">
        <v>0.953</v>
      </c>
      <c r="JC164" s="753">
        <v>0.979</v>
      </c>
      <c r="JD164" s="753">
        <v>0.989</v>
      </c>
      <c r="JE164" s="753">
        <v>0.995</v>
      </c>
      <c r="JF164" s="753">
        <v>0.998</v>
      </c>
      <c r="JG164" s="753">
        <v>0.998</v>
      </c>
      <c r="JH164" s="753">
        <v>0.998</v>
      </c>
      <c r="JI164" s="753">
        <v>0.998</v>
      </c>
      <c r="JJ164" s="753">
        <v>0.998</v>
      </c>
      <c r="JK164" s="753">
        <v>0.998</v>
      </c>
      <c r="JL164" s="753">
        <v>0.998</v>
      </c>
      <c r="JM164" s="753">
        <v>0.998</v>
      </c>
      <c r="JN164" s="753">
        <v>0.998</v>
      </c>
      <c r="JO164" s="753">
        <v>0.997</v>
      </c>
      <c r="JP164" s="753">
        <v>0.995</v>
      </c>
      <c r="JQ164" s="753">
        <v>0.993</v>
      </c>
      <c r="JR164" s="753">
        <v>0.985</v>
      </c>
      <c r="JS164" s="753">
        <v>0.962</v>
      </c>
      <c r="JT164" s="753">
        <v>0.946</v>
      </c>
      <c r="JU164" s="753">
        <v>0.922</v>
      </c>
      <c r="JV164" s="753">
        <v>0.881</v>
      </c>
      <c r="JW164" s="753">
        <v>0.801</v>
      </c>
      <c r="JX164" s="753">
        <v>0.636</v>
      </c>
      <c r="JY164" s="753">
        <v>0.484</v>
      </c>
      <c r="JZ164" s="753">
        <v>0.264</v>
      </c>
      <c r="KA164" s="753">
        <v>0.057</v>
      </c>
      <c r="KB164" s="753"/>
      <c r="KC164" s="753"/>
      <c r="KD164" s="753"/>
      <c r="KE164" s="753"/>
      <c r="KF164" s="753"/>
      <c r="KG164" s="753"/>
      <c r="KH164" s="753"/>
      <c r="KI164" s="753"/>
      <c r="KJ164" s="753"/>
      <c r="KK164" s="765" t="s">
        <v>281</v>
      </c>
      <c r="KL164" s="738">
        <v>82</v>
      </c>
      <c r="KM164" s="738">
        <v>390</v>
      </c>
      <c r="KN164" s="646" t="s">
        <v>282</v>
      </c>
      <c r="KO164" s="646" t="s">
        <v>1316</v>
      </c>
      <c r="KP164" s="779" t="s">
        <v>1310</v>
      </c>
      <c r="KQ164" s="789"/>
      <c r="KR164" s="750"/>
      <c r="KS164" s="789" t="s">
        <v>1319</v>
      </c>
      <c r="KT164" s="770" t="s">
        <v>1314</v>
      </c>
      <c r="KU164" s="789" t="s">
        <v>1315</v>
      </c>
      <c r="KV164" s="790" t="s">
        <v>1310</v>
      </c>
      <c r="KW164" s="791"/>
      <c r="KX164" s="790"/>
      <c r="KY164" s="789"/>
      <c r="KZ164" s="770"/>
    </row>
    <row r="165" s="628" customFormat="1" customHeight="1" spans="1:312">
      <c r="A165" s="682" t="s">
        <v>277</v>
      </c>
      <c r="B165" s="683">
        <v>161</v>
      </c>
      <c r="C165" s="684" t="s">
        <v>1320</v>
      </c>
      <c r="D165" s="779" t="s">
        <v>1321</v>
      </c>
      <c r="E165" s="685">
        <v>29.14</v>
      </c>
      <c r="F165" s="685">
        <v>28.92</v>
      </c>
      <c r="G165" s="688">
        <v>0.034352</v>
      </c>
      <c r="H165" s="686">
        <v>0.034895</v>
      </c>
      <c r="I165" s="696">
        <v>1.93864</v>
      </c>
      <c r="J165" s="696">
        <v>1.94582</v>
      </c>
      <c r="K165" s="696">
        <v>1.9544</v>
      </c>
      <c r="L165" s="696">
        <v>1.96381</v>
      </c>
      <c r="M165" s="696">
        <v>1.96583</v>
      </c>
      <c r="N165" s="696">
        <v>1.96756</v>
      </c>
      <c r="O165" s="696">
        <v>1.97488</v>
      </c>
      <c r="P165" s="696">
        <v>1.98035</v>
      </c>
      <c r="Q165" s="697">
        <v>1.98561</v>
      </c>
      <c r="R165" s="697">
        <v>1.99105</v>
      </c>
      <c r="S165" s="697">
        <v>1.9926</v>
      </c>
      <c r="T165" s="701">
        <v>1.99406</v>
      </c>
      <c r="U165" s="697">
        <v>2.0007</v>
      </c>
      <c r="V165" s="697">
        <v>2.001</v>
      </c>
      <c r="W165" s="697">
        <v>2.00912</v>
      </c>
      <c r="X165" s="697">
        <v>2.0254</v>
      </c>
      <c r="Y165" s="697">
        <v>2.02749</v>
      </c>
      <c r="Z165" s="697">
        <v>2.046</v>
      </c>
      <c r="AA165" s="697">
        <v>2.06424</v>
      </c>
      <c r="AB165" s="697">
        <v>2.0983</v>
      </c>
      <c r="AC165" s="704">
        <v>3.8328227</v>
      </c>
      <c r="AD165" s="704">
        <v>-0.0156183327</v>
      </c>
      <c r="AE165" s="704">
        <v>0.0535172772</v>
      </c>
      <c r="AF165" s="704">
        <v>0.00275764007</v>
      </c>
      <c r="AG165" s="704">
        <v>-0.00012813013</v>
      </c>
      <c r="AH165" s="704">
        <v>2.18199756e-5</v>
      </c>
      <c r="AI165" s="709">
        <v>0.2896</v>
      </c>
      <c r="AJ165" s="709">
        <v>0.2364</v>
      </c>
      <c r="AK165" s="709">
        <v>0.5997</v>
      </c>
      <c r="AL165" s="709">
        <v>0.2407</v>
      </c>
      <c r="AM165" s="709">
        <v>0.2327</v>
      </c>
      <c r="AN165" s="709">
        <v>0.5304</v>
      </c>
      <c r="AO165" s="709">
        <v>-0.0002</v>
      </c>
      <c r="AP165" s="709">
        <v>0.0045</v>
      </c>
      <c r="AQ165" s="709">
        <v>0.0025</v>
      </c>
      <c r="AR165" s="709">
        <v>0.0004</v>
      </c>
      <c r="AS165" s="714">
        <v>2.2</v>
      </c>
      <c r="AT165" s="716">
        <v>2.2</v>
      </c>
      <c r="AU165" s="716">
        <v>2.3</v>
      </c>
      <c r="AV165" s="716">
        <v>2.2</v>
      </c>
      <c r="AW165" s="716">
        <v>2.3</v>
      </c>
      <c r="AX165" s="716">
        <v>2.3</v>
      </c>
      <c r="AY165" s="716">
        <v>2.4</v>
      </c>
      <c r="AZ165" s="716">
        <v>2.5</v>
      </c>
      <c r="BA165" s="716">
        <v>2.6</v>
      </c>
      <c r="BB165" s="716">
        <v>2.6</v>
      </c>
      <c r="BC165" s="716">
        <v>2.7</v>
      </c>
      <c r="BD165" s="716">
        <v>2.9</v>
      </c>
      <c r="BE165" s="716">
        <v>2.9</v>
      </c>
      <c r="BF165" s="716">
        <v>3</v>
      </c>
      <c r="BG165" s="716">
        <v>3</v>
      </c>
      <c r="BH165" s="716">
        <v>3</v>
      </c>
      <c r="BI165" s="716">
        <v>3.1</v>
      </c>
      <c r="BJ165" s="716">
        <v>3.2</v>
      </c>
      <c r="BK165" s="716">
        <v>3.3</v>
      </c>
      <c r="BL165" s="716">
        <v>3.5</v>
      </c>
      <c r="BM165" s="716">
        <v>3.6</v>
      </c>
      <c r="BN165" s="716">
        <v>3.7</v>
      </c>
      <c r="BO165" s="716">
        <v>3.4</v>
      </c>
      <c r="BP165" s="716">
        <v>3.4</v>
      </c>
      <c r="BQ165" s="716">
        <v>3.5</v>
      </c>
      <c r="BR165" s="716">
        <v>3.6</v>
      </c>
      <c r="BS165" s="716">
        <v>3.7</v>
      </c>
      <c r="BT165" s="716">
        <v>3.8</v>
      </c>
      <c r="BU165" s="716">
        <v>4</v>
      </c>
      <c r="BV165" s="716">
        <v>4.3</v>
      </c>
      <c r="BW165" s="716">
        <v>4.5</v>
      </c>
      <c r="BX165" s="716">
        <v>4.6</v>
      </c>
      <c r="BY165" s="716">
        <v>4.7</v>
      </c>
      <c r="BZ165" s="716">
        <v>3.4</v>
      </c>
      <c r="CA165" s="716">
        <v>3.4</v>
      </c>
      <c r="CB165" s="716">
        <v>3.5</v>
      </c>
      <c r="CC165" s="716">
        <v>3.7</v>
      </c>
      <c r="CD165" s="716">
        <v>3.7</v>
      </c>
      <c r="CE165" s="716">
        <v>3.8</v>
      </c>
      <c r="CF165" s="716">
        <v>4.1</v>
      </c>
      <c r="CG165" s="716">
        <v>4.3</v>
      </c>
      <c r="CH165" s="716">
        <v>4.5</v>
      </c>
      <c r="CI165" s="716">
        <v>4.6</v>
      </c>
      <c r="CJ165" s="716">
        <v>4.8</v>
      </c>
      <c r="CK165" s="716">
        <v>3.5</v>
      </c>
      <c r="CL165" s="716">
        <v>3.5</v>
      </c>
      <c r="CM165" s="716">
        <v>3.6</v>
      </c>
      <c r="CN165" s="716">
        <v>3.7</v>
      </c>
      <c r="CO165" s="716">
        <v>3.8</v>
      </c>
      <c r="CP165" s="716">
        <v>3.9</v>
      </c>
      <c r="CQ165" s="716">
        <v>4.2</v>
      </c>
      <c r="CR165" s="716">
        <v>4.4</v>
      </c>
      <c r="CS165" s="716">
        <v>4.6</v>
      </c>
      <c r="CT165" s="716">
        <v>4.7</v>
      </c>
      <c r="CU165" s="716">
        <v>4.8</v>
      </c>
      <c r="CV165" s="716">
        <v>3.8</v>
      </c>
      <c r="CW165" s="716">
        <v>3.9</v>
      </c>
      <c r="CX165" s="716">
        <v>4</v>
      </c>
      <c r="CY165" s="716">
        <v>4.2</v>
      </c>
      <c r="CZ165" s="716">
        <v>4.3</v>
      </c>
      <c r="DA165" s="716">
        <v>4.5</v>
      </c>
      <c r="DB165" s="716">
        <v>4.7</v>
      </c>
      <c r="DC165" s="716">
        <v>4.9</v>
      </c>
      <c r="DD165" s="716">
        <v>5.1</v>
      </c>
      <c r="DE165" s="716">
        <v>5.2</v>
      </c>
      <c r="DF165" s="716">
        <v>5.3</v>
      </c>
      <c r="DG165" s="716">
        <v>4.5</v>
      </c>
      <c r="DH165" s="716">
        <v>4.5</v>
      </c>
      <c r="DI165" s="716">
        <v>4.6</v>
      </c>
      <c r="DJ165" s="716">
        <v>4.8</v>
      </c>
      <c r="DK165" s="716">
        <v>4.9</v>
      </c>
      <c r="DL165" s="716">
        <v>5</v>
      </c>
      <c r="DM165" s="716">
        <v>5.4</v>
      </c>
      <c r="DN165" s="716">
        <v>5.7</v>
      </c>
      <c r="DO165" s="716">
        <v>5.9</v>
      </c>
      <c r="DP165" s="716">
        <v>6</v>
      </c>
      <c r="DQ165" s="716">
        <v>6.1</v>
      </c>
      <c r="DR165" s="716">
        <v>5.8</v>
      </c>
      <c r="DS165" s="716">
        <v>5.9</v>
      </c>
      <c r="DT165" s="716">
        <v>6.1</v>
      </c>
      <c r="DU165" s="716">
        <v>6.3</v>
      </c>
      <c r="DV165" s="716">
        <v>6.6</v>
      </c>
      <c r="DW165" s="716">
        <v>6.8</v>
      </c>
      <c r="DX165" s="716">
        <v>7</v>
      </c>
      <c r="DY165" s="716">
        <v>7.2</v>
      </c>
      <c r="DZ165" s="716">
        <v>7.4</v>
      </c>
      <c r="EA165" s="716">
        <v>7.6</v>
      </c>
      <c r="EB165" s="716">
        <v>7.7</v>
      </c>
      <c r="EC165" s="716">
        <v>5.9</v>
      </c>
      <c r="ED165" s="716">
        <v>5.9</v>
      </c>
      <c r="EE165" s="716">
        <v>6.1</v>
      </c>
      <c r="EF165" s="716">
        <v>6.4</v>
      </c>
      <c r="EG165" s="716">
        <v>6.6</v>
      </c>
      <c r="EH165" s="716">
        <v>6.8</v>
      </c>
      <c r="EI165" s="716">
        <v>7.1</v>
      </c>
      <c r="EJ165" s="716">
        <v>7.3</v>
      </c>
      <c r="EK165" s="716">
        <v>7.5</v>
      </c>
      <c r="EL165" s="716">
        <v>7.7</v>
      </c>
      <c r="EM165" s="716">
        <v>7.8</v>
      </c>
      <c r="EN165" s="716">
        <v>7.3</v>
      </c>
      <c r="EO165" s="716">
        <v>7.4</v>
      </c>
      <c r="EP165" s="716">
        <v>7.7</v>
      </c>
      <c r="EQ165" s="716">
        <v>8.1</v>
      </c>
      <c r="ER165" s="716">
        <v>8.3</v>
      </c>
      <c r="ES165" s="716">
        <v>8.6</v>
      </c>
      <c r="ET165" s="716">
        <v>9</v>
      </c>
      <c r="EU165" s="716">
        <v>9.3</v>
      </c>
      <c r="EV165" s="716">
        <v>9.5</v>
      </c>
      <c r="EW165" s="716">
        <v>9.7</v>
      </c>
      <c r="EX165" s="716">
        <v>9.9</v>
      </c>
      <c r="EY165" s="716">
        <v>0.3</v>
      </c>
      <c r="EZ165" s="716">
        <v>0.8</v>
      </c>
      <c r="FA165" s="716">
        <v>1.3</v>
      </c>
      <c r="FB165" s="716">
        <v>1.7</v>
      </c>
      <c r="FC165" s="716">
        <v>2.1</v>
      </c>
      <c r="FD165" s="716">
        <v>2.4</v>
      </c>
      <c r="FE165" s="716">
        <v>2.8</v>
      </c>
      <c r="FF165" s="716">
        <v>3.2</v>
      </c>
      <c r="FG165" s="716">
        <v>3.5</v>
      </c>
      <c r="FH165" s="716">
        <v>3.7</v>
      </c>
      <c r="FI165" s="716">
        <v>3.9</v>
      </c>
      <c r="FJ165" s="726">
        <v>-2.9e-7</v>
      </c>
      <c r="FK165" s="726">
        <v>1.09e-8</v>
      </c>
      <c r="FL165" s="726">
        <v>-1.93e-11</v>
      </c>
      <c r="FM165" s="726">
        <v>9.83e-7</v>
      </c>
      <c r="FN165" s="726">
        <v>8.75e-10</v>
      </c>
      <c r="FO165" s="726">
        <v>0.267</v>
      </c>
      <c r="FP165" s="729">
        <v>1</v>
      </c>
      <c r="FQ165" s="729">
        <v>1</v>
      </c>
      <c r="FR165" s="729">
        <v>1</v>
      </c>
      <c r="FS165" s="729">
        <v>1</v>
      </c>
      <c r="FT165" s="729">
        <v>1</v>
      </c>
      <c r="FU165" s="729">
        <v>1</v>
      </c>
      <c r="FV165" s="681">
        <v>1</v>
      </c>
      <c r="FW165" s="729"/>
      <c r="FX165" s="729"/>
      <c r="FY165" s="729"/>
      <c r="FZ165" s="782">
        <v>725</v>
      </c>
      <c r="GA165" s="782">
        <v>761</v>
      </c>
      <c r="GB165" s="681">
        <v>682</v>
      </c>
      <c r="GC165" s="681">
        <v>718</v>
      </c>
      <c r="GD165" s="747">
        <v>1.1</v>
      </c>
      <c r="GE165" s="729"/>
      <c r="GF165" s="681">
        <v>70</v>
      </c>
      <c r="GG165" s="681">
        <v>88</v>
      </c>
      <c r="GH165" s="681">
        <v>61</v>
      </c>
      <c r="GI165" s="681">
        <v>64</v>
      </c>
      <c r="GJ165" s="681">
        <v>65</v>
      </c>
      <c r="GK165" s="681">
        <v>67</v>
      </c>
      <c r="GL165" s="681">
        <v>68</v>
      </c>
      <c r="GM165" s="681">
        <v>70</v>
      </c>
      <c r="GN165" s="681">
        <v>71</v>
      </c>
      <c r="GO165" s="681">
        <v>72</v>
      </c>
      <c r="GP165" s="681">
        <v>74</v>
      </c>
      <c r="GQ165" s="681">
        <v>75</v>
      </c>
      <c r="GR165" s="681">
        <v>75</v>
      </c>
      <c r="GS165" s="681">
        <v>76</v>
      </c>
      <c r="GT165" s="681">
        <v>76</v>
      </c>
      <c r="GU165" s="681">
        <v>77</v>
      </c>
      <c r="GV165" s="681">
        <v>78</v>
      </c>
      <c r="GW165" s="681">
        <v>79</v>
      </c>
      <c r="GX165" s="681">
        <v>80</v>
      </c>
      <c r="GY165" s="681">
        <v>82</v>
      </c>
      <c r="GZ165" s="681">
        <v>83</v>
      </c>
      <c r="HA165" s="681">
        <v>84</v>
      </c>
      <c r="HB165" s="681">
        <v>85</v>
      </c>
      <c r="HC165" s="681"/>
      <c r="HD165" s="750">
        <v>150</v>
      </c>
      <c r="HE165" s="681"/>
      <c r="HF165" s="681">
        <v>720</v>
      </c>
      <c r="HG165" s="681">
        <v>61</v>
      </c>
      <c r="HH165" s="714">
        <v>133.7</v>
      </c>
      <c r="HI165" s="714">
        <v>50</v>
      </c>
      <c r="HJ165" s="753">
        <v>0.338</v>
      </c>
      <c r="HK165" s="681">
        <v>81</v>
      </c>
      <c r="HL165" s="685">
        <v>0.74</v>
      </c>
      <c r="HM165" s="747">
        <v>5.02</v>
      </c>
      <c r="HN165" s="729" t="s">
        <v>1322</v>
      </c>
      <c r="HO165" s="714" t="s">
        <v>1323</v>
      </c>
      <c r="HP165" s="714">
        <v>-2.5</v>
      </c>
      <c r="HQ165" s="753">
        <v>0.935</v>
      </c>
      <c r="HR165" s="753">
        <v>0.979</v>
      </c>
      <c r="HS165" s="753">
        <v>0.99</v>
      </c>
      <c r="HT165" s="753">
        <v>0.996</v>
      </c>
      <c r="HU165" s="753">
        <v>0.999</v>
      </c>
      <c r="HV165" s="753">
        <v>0.999</v>
      </c>
      <c r="HW165" s="753">
        <v>0.999</v>
      </c>
      <c r="HX165" s="753">
        <v>0.999</v>
      </c>
      <c r="HY165" s="753">
        <v>0.999</v>
      </c>
      <c r="HZ165" s="753">
        <v>0.999</v>
      </c>
      <c r="IA165" s="753">
        <v>0.999</v>
      </c>
      <c r="IB165" s="753">
        <v>0.999</v>
      </c>
      <c r="IC165" s="753">
        <v>0.999</v>
      </c>
      <c r="ID165" s="753">
        <v>0.999</v>
      </c>
      <c r="IE165" s="753">
        <v>0.999</v>
      </c>
      <c r="IF165" s="753">
        <v>0.999</v>
      </c>
      <c r="IG165" s="753">
        <v>0.999</v>
      </c>
      <c r="IH165" s="753">
        <v>0.997</v>
      </c>
      <c r="II165" s="753">
        <v>0.992</v>
      </c>
      <c r="IJ165" s="753">
        <v>0.988</v>
      </c>
      <c r="IK165" s="753">
        <v>0.982</v>
      </c>
      <c r="IL165" s="753">
        <v>0.972</v>
      </c>
      <c r="IM165" s="753">
        <v>0.951</v>
      </c>
      <c r="IN165" s="753">
        <v>0.906</v>
      </c>
      <c r="IO165" s="753">
        <v>0.848</v>
      </c>
      <c r="IP165" s="753">
        <v>0.739</v>
      </c>
      <c r="IQ165" s="753">
        <v>0.515</v>
      </c>
      <c r="IR165" s="753">
        <v>0.205</v>
      </c>
      <c r="IS165" s="753"/>
      <c r="IT165" s="753"/>
      <c r="IU165" s="753"/>
      <c r="IV165" s="753"/>
      <c r="IW165" s="753"/>
      <c r="IX165" s="753"/>
      <c r="IY165" s="753"/>
      <c r="IZ165" s="753"/>
      <c r="JA165" s="753">
        <v>0.875</v>
      </c>
      <c r="JB165" s="753">
        <v>0.959</v>
      </c>
      <c r="JC165" s="753">
        <v>0.981</v>
      </c>
      <c r="JD165" s="753">
        <v>0.993</v>
      </c>
      <c r="JE165" s="753">
        <v>0.998</v>
      </c>
      <c r="JF165" s="753">
        <v>0.998</v>
      </c>
      <c r="JG165" s="753">
        <v>0.998</v>
      </c>
      <c r="JH165" s="753">
        <v>0.998</v>
      </c>
      <c r="JI165" s="753">
        <v>0.998</v>
      </c>
      <c r="JJ165" s="753">
        <v>0.998</v>
      </c>
      <c r="JK165" s="753">
        <v>0.998</v>
      </c>
      <c r="JL165" s="753">
        <v>0.998</v>
      </c>
      <c r="JM165" s="753">
        <v>0.998</v>
      </c>
      <c r="JN165" s="753">
        <v>0.998</v>
      </c>
      <c r="JO165" s="753">
        <v>0.998</v>
      </c>
      <c r="JP165" s="753">
        <v>0.998</v>
      </c>
      <c r="JQ165" s="753">
        <v>0.998</v>
      </c>
      <c r="JR165" s="753">
        <v>0.995</v>
      </c>
      <c r="JS165" s="753">
        <v>0.984</v>
      </c>
      <c r="JT165" s="753">
        <v>0.976</v>
      </c>
      <c r="JU165" s="753">
        <v>0.964</v>
      </c>
      <c r="JV165" s="753">
        <v>0.945</v>
      </c>
      <c r="JW165" s="753">
        <v>0.904</v>
      </c>
      <c r="JX165" s="753">
        <v>0.82</v>
      </c>
      <c r="JY165" s="753">
        <v>0.719</v>
      </c>
      <c r="JZ165" s="753">
        <v>0.546</v>
      </c>
      <c r="KA165" s="753">
        <v>0.265</v>
      </c>
      <c r="KB165" s="753">
        <v>0.042</v>
      </c>
      <c r="KC165" s="753"/>
      <c r="KD165" s="753"/>
      <c r="KE165" s="753"/>
      <c r="KF165" s="753"/>
      <c r="KG165" s="753"/>
      <c r="KH165" s="753"/>
      <c r="KI165" s="753"/>
      <c r="KJ165" s="753"/>
      <c r="KK165" s="765" t="s">
        <v>281</v>
      </c>
      <c r="KL165" s="738">
        <v>86</v>
      </c>
      <c r="KM165" s="738">
        <v>432</v>
      </c>
      <c r="KN165" s="646" t="s">
        <v>282</v>
      </c>
      <c r="KO165" s="646" t="s">
        <v>1320</v>
      </c>
      <c r="KP165" s="779" t="s">
        <v>1321</v>
      </c>
      <c r="KQ165" s="789" t="s">
        <v>1324</v>
      </c>
      <c r="KR165" s="750" t="s">
        <v>1321</v>
      </c>
      <c r="KS165" s="789" t="s">
        <v>1325</v>
      </c>
      <c r="KT165" s="770" t="s">
        <v>1326</v>
      </c>
      <c r="KU165" s="789" t="s">
        <v>1327</v>
      </c>
      <c r="KV165" s="790" t="s">
        <v>1321</v>
      </c>
      <c r="KW165" s="791"/>
      <c r="KX165" s="790"/>
      <c r="KY165" s="789" t="s">
        <v>1328</v>
      </c>
      <c r="KZ165" s="770" t="s">
        <v>1321</v>
      </c>
    </row>
    <row r="166" s="628" customFormat="1" customHeight="1" spans="1:312">
      <c r="A166" s="682" t="s">
        <v>277</v>
      </c>
      <c r="B166" s="683">
        <v>162</v>
      </c>
      <c r="C166" s="684" t="s">
        <v>1329</v>
      </c>
      <c r="D166" s="779" t="s">
        <v>1321</v>
      </c>
      <c r="E166" s="685">
        <v>29.14</v>
      </c>
      <c r="F166" s="685">
        <v>28.92</v>
      </c>
      <c r="G166" s="688">
        <v>0.034352</v>
      </c>
      <c r="H166" s="686">
        <v>0.034895</v>
      </c>
      <c r="I166" s="696">
        <v>1.93864</v>
      </c>
      <c r="J166" s="696">
        <v>1.94582</v>
      </c>
      <c r="K166" s="696">
        <v>1.9544</v>
      </c>
      <c r="L166" s="696">
        <v>1.96381</v>
      </c>
      <c r="M166" s="696">
        <v>1.96583</v>
      </c>
      <c r="N166" s="696">
        <v>1.96756</v>
      </c>
      <c r="O166" s="696">
        <v>1.97488</v>
      </c>
      <c r="P166" s="696">
        <v>1.98035</v>
      </c>
      <c r="Q166" s="697">
        <v>1.98561</v>
      </c>
      <c r="R166" s="697">
        <v>1.99105</v>
      </c>
      <c r="S166" s="697">
        <v>1.9926</v>
      </c>
      <c r="T166" s="701">
        <v>1.99406</v>
      </c>
      <c r="U166" s="697">
        <v>2.0007</v>
      </c>
      <c r="V166" s="697">
        <v>2.001</v>
      </c>
      <c r="W166" s="697">
        <v>2.00912</v>
      </c>
      <c r="X166" s="697">
        <v>2.0254</v>
      </c>
      <c r="Y166" s="697">
        <v>2.02749</v>
      </c>
      <c r="Z166" s="697">
        <v>2.046</v>
      </c>
      <c r="AA166" s="697">
        <v>2.06424</v>
      </c>
      <c r="AB166" s="697">
        <v>2.0983</v>
      </c>
      <c r="AC166" s="704">
        <v>3.8328227</v>
      </c>
      <c r="AD166" s="704">
        <v>-0.0156183327</v>
      </c>
      <c r="AE166" s="704">
        <v>0.0535172772</v>
      </c>
      <c r="AF166" s="704">
        <v>0.00275764007</v>
      </c>
      <c r="AG166" s="704">
        <v>-0.00012813013</v>
      </c>
      <c r="AH166" s="704">
        <v>2.18199756e-5</v>
      </c>
      <c r="AI166" s="709">
        <v>0.2896</v>
      </c>
      <c r="AJ166" s="709">
        <v>0.2364</v>
      </c>
      <c r="AK166" s="709">
        <v>0.5997</v>
      </c>
      <c r="AL166" s="709">
        <v>0.2407</v>
      </c>
      <c r="AM166" s="709">
        <v>0.2327</v>
      </c>
      <c r="AN166" s="709">
        <v>0.5304</v>
      </c>
      <c r="AO166" s="709">
        <v>-0.0002</v>
      </c>
      <c r="AP166" s="709">
        <v>0.0045</v>
      </c>
      <c r="AQ166" s="709">
        <v>0.0025</v>
      </c>
      <c r="AR166" s="709">
        <v>0.0004</v>
      </c>
      <c r="AS166" s="714">
        <v>2.2</v>
      </c>
      <c r="AT166" s="716">
        <v>2.2</v>
      </c>
      <c r="AU166" s="716">
        <v>2.3</v>
      </c>
      <c r="AV166" s="716">
        <v>2.2</v>
      </c>
      <c r="AW166" s="716">
        <v>2.3</v>
      </c>
      <c r="AX166" s="716">
        <v>2.3</v>
      </c>
      <c r="AY166" s="716">
        <v>2.4</v>
      </c>
      <c r="AZ166" s="716">
        <v>2.5</v>
      </c>
      <c r="BA166" s="716">
        <v>2.6</v>
      </c>
      <c r="BB166" s="716">
        <v>2.6</v>
      </c>
      <c r="BC166" s="716">
        <v>2.7</v>
      </c>
      <c r="BD166" s="716">
        <v>2.9</v>
      </c>
      <c r="BE166" s="716">
        <v>2.9</v>
      </c>
      <c r="BF166" s="716">
        <v>3</v>
      </c>
      <c r="BG166" s="716">
        <v>3</v>
      </c>
      <c r="BH166" s="716">
        <v>3</v>
      </c>
      <c r="BI166" s="716">
        <v>3.1</v>
      </c>
      <c r="BJ166" s="716">
        <v>3.2</v>
      </c>
      <c r="BK166" s="716">
        <v>3.3</v>
      </c>
      <c r="BL166" s="716">
        <v>3.5</v>
      </c>
      <c r="BM166" s="716">
        <v>3.6</v>
      </c>
      <c r="BN166" s="716">
        <v>3.7</v>
      </c>
      <c r="BO166" s="716">
        <v>3.4</v>
      </c>
      <c r="BP166" s="716">
        <v>3.4</v>
      </c>
      <c r="BQ166" s="716">
        <v>3.5</v>
      </c>
      <c r="BR166" s="716">
        <v>3.6</v>
      </c>
      <c r="BS166" s="716">
        <v>3.7</v>
      </c>
      <c r="BT166" s="716">
        <v>3.8</v>
      </c>
      <c r="BU166" s="716">
        <v>4</v>
      </c>
      <c r="BV166" s="716">
        <v>4.3</v>
      </c>
      <c r="BW166" s="716">
        <v>4.5</v>
      </c>
      <c r="BX166" s="716">
        <v>4.6</v>
      </c>
      <c r="BY166" s="716">
        <v>4.7</v>
      </c>
      <c r="BZ166" s="716">
        <v>3.4</v>
      </c>
      <c r="CA166" s="716">
        <v>3.4</v>
      </c>
      <c r="CB166" s="716">
        <v>3.5</v>
      </c>
      <c r="CC166" s="716">
        <v>3.7</v>
      </c>
      <c r="CD166" s="716">
        <v>3.7</v>
      </c>
      <c r="CE166" s="716">
        <v>3.8</v>
      </c>
      <c r="CF166" s="716">
        <v>4.1</v>
      </c>
      <c r="CG166" s="716">
        <v>4.3</v>
      </c>
      <c r="CH166" s="716">
        <v>4.5</v>
      </c>
      <c r="CI166" s="716">
        <v>4.6</v>
      </c>
      <c r="CJ166" s="716">
        <v>4.8</v>
      </c>
      <c r="CK166" s="716">
        <v>3.5</v>
      </c>
      <c r="CL166" s="716">
        <v>3.5</v>
      </c>
      <c r="CM166" s="716">
        <v>3.6</v>
      </c>
      <c r="CN166" s="716">
        <v>3.7</v>
      </c>
      <c r="CO166" s="716">
        <v>3.8</v>
      </c>
      <c r="CP166" s="716">
        <v>3.9</v>
      </c>
      <c r="CQ166" s="716">
        <v>4.2</v>
      </c>
      <c r="CR166" s="716">
        <v>4.4</v>
      </c>
      <c r="CS166" s="716">
        <v>4.6</v>
      </c>
      <c r="CT166" s="716">
        <v>4.7</v>
      </c>
      <c r="CU166" s="716">
        <v>4.8</v>
      </c>
      <c r="CV166" s="716">
        <v>3.8</v>
      </c>
      <c r="CW166" s="716">
        <v>3.9</v>
      </c>
      <c r="CX166" s="716">
        <v>4</v>
      </c>
      <c r="CY166" s="716">
        <v>4.2</v>
      </c>
      <c r="CZ166" s="716">
        <v>4.3</v>
      </c>
      <c r="DA166" s="716">
        <v>4.5</v>
      </c>
      <c r="DB166" s="716">
        <v>4.7</v>
      </c>
      <c r="DC166" s="716">
        <v>4.9</v>
      </c>
      <c r="DD166" s="716">
        <v>5.1</v>
      </c>
      <c r="DE166" s="716">
        <v>5.2</v>
      </c>
      <c r="DF166" s="716">
        <v>5.3</v>
      </c>
      <c r="DG166" s="716">
        <v>4.5</v>
      </c>
      <c r="DH166" s="716">
        <v>4.5</v>
      </c>
      <c r="DI166" s="716">
        <v>4.6</v>
      </c>
      <c r="DJ166" s="716">
        <v>4.8</v>
      </c>
      <c r="DK166" s="716">
        <v>4.9</v>
      </c>
      <c r="DL166" s="716">
        <v>5</v>
      </c>
      <c r="DM166" s="716">
        <v>5.4</v>
      </c>
      <c r="DN166" s="716">
        <v>5.7</v>
      </c>
      <c r="DO166" s="716">
        <v>5.9</v>
      </c>
      <c r="DP166" s="716">
        <v>6</v>
      </c>
      <c r="DQ166" s="716">
        <v>6.1</v>
      </c>
      <c r="DR166" s="716">
        <v>5.8</v>
      </c>
      <c r="DS166" s="716">
        <v>5.9</v>
      </c>
      <c r="DT166" s="716">
        <v>6.1</v>
      </c>
      <c r="DU166" s="716">
        <v>6.3</v>
      </c>
      <c r="DV166" s="716">
        <v>6.6</v>
      </c>
      <c r="DW166" s="716">
        <v>6.8</v>
      </c>
      <c r="DX166" s="716">
        <v>7</v>
      </c>
      <c r="DY166" s="716">
        <v>7.2</v>
      </c>
      <c r="DZ166" s="716">
        <v>7.4</v>
      </c>
      <c r="EA166" s="716">
        <v>7.6</v>
      </c>
      <c r="EB166" s="716">
        <v>7.7</v>
      </c>
      <c r="EC166" s="716">
        <v>5.9</v>
      </c>
      <c r="ED166" s="716">
        <v>5.9</v>
      </c>
      <c r="EE166" s="716">
        <v>6.1</v>
      </c>
      <c r="EF166" s="716">
        <v>6.4</v>
      </c>
      <c r="EG166" s="716">
        <v>6.6</v>
      </c>
      <c r="EH166" s="716">
        <v>6.8</v>
      </c>
      <c r="EI166" s="716">
        <v>7.1</v>
      </c>
      <c r="EJ166" s="716">
        <v>7.3</v>
      </c>
      <c r="EK166" s="716">
        <v>7.5</v>
      </c>
      <c r="EL166" s="716">
        <v>7.7</v>
      </c>
      <c r="EM166" s="716">
        <v>7.8</v>
      </c>
      <c r="EN166" s="716">
        <v>7.3</v>
      </c>
      <c r="EO166" s="716">
        <v>7.4</v>
      </c>
      <c r="EP166" s="716">
        <v>7.7</v>
      </c>
      <c r="EQ166" s="716">
        <v>8.1</v>
      </c>
      <c r="ER166" s="716">
        <v>8.3</v>
      </c>
      <c r="ES166" s="716">
        <v>8.6</v>
      </c>
      <c r="ET166" s="716">
        <v>9</v>
      </c>
      <c r="EU166" s="716">
        <v>9.3</v>
      </c>
      <c r="EV166" s="716">
        <v>9.5</v>
      </c>
      <c r="EW166" s="716">
        <v>9.7</v>
      </c>
      <c r="EX166" s="716">
        <v>9.9</v>
      </c>
      <c r="EY166" s="716">
        <v>0.3</v>
      </c>
      <c r="EZ166" s="716">
        <v>0.8</v>
      </c>
      <c r="FA166" s="716">
        <v>1.3</v>
      </c>
      <c r="FB166" s="716">
        <v>1.7</v>
      </c>
      <c r="FC166" s="716">
        <v>2.1</v>
      </c>
      <c r="FD166" s="716">
        <v>2.4</v>
      </c>
      <c r="FE166" s="716">
        <v>2.8</v>
      </c>
      <c r="FF166" s="716">
        <v>3.2</v>
      </c>
      <c r="FG166" s="716">
        <v>3.5</v>
      </c>
      <c r="FH166" s="716">
        <v>3.7</v>
      </c>
      <c r="FI166" s="716">
        <v>3.9</v>
      </c>
      <c r="FJ166" s="726">
        <v>-2.9e-7</v>
      </c>
      <c r="FK166" s="726">
        <v>1.09e-8</v>
      </c>
      <c r="FL166" s="726">
        <v>-1.93e-11</v>
      </c>
      <c r="FM166" s="726">
        <v>9.83e-7</v>
      </c>
      <c r="FN166" s="726">
        <v>8.75e-10</v>
      </c>
      <c r="FO166" s="726">
        <v>0.267</v>
      </c>
      <c r="FP166" s="729">
        <v>1</v>
      </c>
      <c r="FQ166" s="729">
        <v>1</v>
      </c>
      <c r="FR166" s="729">
        <v>1</v>
      </c>
      <c r="FS166" s="729">
        <v>1</v>
      </c>
      <c r="FT166" s="729">
        <v>1</v>
      </c>
      <c r="FU166" s="729">
        <v>1</v>
      </c>
      <c r="FV166" s="681">
        <v>1</v>
      </c>
      <c r="FW166" s="729"/>
      <c r="FX166" s="729"/>
      <c r="FY166" s="729"/>
      <c r="FZ166" s="782">
        <v>725</v>
      </c>
      <c r="GA166" s="782">
        <v>761</v>
      </c>
      <c r="GB166" s="681">
        <v>682</v>
      </c>
      <c r="GC166" s="681">
        <v>718</v>
      </c>
      <c r="GD166" s="747">
        <v>1.1</v>
      </c>
      <c r="GE166" s="729"/>
      <c r="GF166" s="681">
        <v>70</v>
      </c>
      <c r="GG166" s="681">
        <v>88</v>
      </c>
      <c r="GH166" s="681">
        <v>61</v>
      </c>
      <c r="GI166" s="681">
        <v>64</v>
      </c>
      <c r="GJ166" s="681">
        <v>65</v>
      </c>
      <c r="GK166" s="681">
        <v>67</v>
      </c>
      <c r="GL166" s="681">
        <v>68</v>
      </c>
      <c r="GM166" s="681">
        <v>70</v>
      </c>
      <c r="GN166" s="681">
        <v>71</v>
      </c>
      <c r="GO166" s="681">
        <v>72</v>
      </c>
      <c r="GP166" s="681">
        <v>74</v>
      </c>
      <c r="GQ166" s="681">
        <v>75</v>
      </c>
      <c r="GR166" s="681">
        <v>75</v>
      </c>
      <c r="GS166" s="681">
        <v>76</v>
      </c>
      <c r="GT166" s="681">
        <v>76</v>
      </c>
      <c r="GU166" s="681">
        <v>77</v>
      </c>
      <c r="GV166" s="681">
        <v>78</v>
      </c>
      <c r="GW166" s="681">
        <v>79</v>
      </c>
      <c r="GX166" s="681">
        <v>80</v>
      </c>
      <c r="GY166" s="681">
        <v>82</v>
      </c>
      <c r="GZ166" s="681">
        <v>83</v>
      </c>
      <c r="HA166" s="681">
        <v>84</v>
      </c>
      <c r="HB166" s="681">
        <v>85</v>
      </c>
      <c r="HC166" s="681"/>
      <c r="HD166" s="750">
        <v>150</v>
      </c>
      <c r="HE166" s="681"/>
      <c r="HF166" s="681">
        <v>720</v>
      </c>
      <c r="HG166" s="681">
        <v>61</v>
      </c>
      <c r="HH166" s="714">
        <v>133.7</v>
      </c>
      <c r="HI166" s="714">
        <v>50</v>
      </c>
      <c r="HJ166" s="753">
        <v>0.338</v>
      </c>
      <c r="HK166" s="681">
        <v>81</v>
      </c>
      <c r="HL166" s="685">
        <v>0.74</v>
      </c>
      <c r="HM166" s="747">
        <v>5.02</v>
      </c>
      <c r="HN166" s="729" t="s">
        <v>1330</v>
      </c>
      <c r="HO166" s="714" t="s">
        <v>1331</v>
      </c>
      <c r="HP166" s="714">
        <v>-1.5</v>
      </c>
      <c r="HQ166" s="753">
        <v>0.916</v>
      </c>
      <c r="HR166" s="753">
        <v>0.974</v>
      </c>
      <c r="HS166" s="753">
        <v>0.988</v>
      </c>
      <c r="HT166" s="753">
        <v>0.995</v>
      </c>
      <c r="HU166" s="753">
        <v>0.999</v>
      </c>
      <c r="HV166" s="753">
        <v>0.999</v>
      </c>
      <c r="HW166" s="753">
        <v>0.999</v>
      </c>
      <c r="HX166" s="753">
        <v>0.999</v>
      </c>
      <c r="HY166" s="753">
        <v>0.999</v>
      </c>
      <c r="HZ166" s="753">
        <v>0.999</v>
      </c>
      <c r="IA166" s="753">
        <v>0.999</v>
      </c>
      <c r="IB166" s="753">
        <v>0.999</v>
      </c>
      <c r="IC166" s="753">
        <v>0.999</v>
      </c>
      <c r="ID166" s="753">
        <v>0.999</v>
      </c>
      <c r="IE166" s="753">
        <v>0.999</v>
      </c>
      <c r="IF166" s="753">
        <v>0.999</v>
      </c>
      <c r="IG166" s="753">
        <v>0.999</v>
      </c>
      <c r="IH166" s="753">
        <v>0.998</v>
      </c>
      <c r="II166" s="753">
        <v>0.993</v>
      </c>
      <c r="IJ166" s="753">
        <v>0.989</v>
      </c>
      <c r="IK166" s="753">
        <v>0.984</v>
      </c>
      <c r="IL166" s="753">
        <v>0.977</v>
      </c>
      <c r="IM166" s="753">
        <v>0.959</v>
      </c>
      <c r="IN166" s="753">
        <v>0.922</v>
      </c>
      <c r="IO166" s="753">
        <v>0.872</v>
      </c>
      <c r="IP166" s="753">
        <v>0.769</v>
      </c>
      <c r="IQ166" s="753">
        <v>0.547</v>
      </c>
      <c r="IR166" s="753">
        <v>0.226</v>
      </c>
      <c r="IS166" s="753"/>
      <c r="IT166" s="753"/>
      <c r="IU166" s="753"/>
      <c r="IV166" s="753"/>
      <c r="IW166" s="753"/>
      <c r="IX166" s="753"/>
      <c r="IY166" s="753"/>
      <c r="IZ166" s="753"/>
      <c r="JA166" s="753">
        <v>0.84</v>
      </c>
      <c r="JB166" s="753">
        <v>0.948</v>
      </c>
      <c r="JC166" s="753">
        <v>0.975</v>
      </c>
      <c r="JD166" s="753">
        <v>0.99</v>
      </c>
      <c r="JE166" s="753">
        <v>0.997</v>
      </c>
      <c r="JF166" s="753">
        <v>0.998</v>
      </c>
      <c r="JG166" s="753">
        <v>0.998</v>
      </c>
      <c r="JH166" s="753">
        <v>0.998</v>
      </c>
      <c r="JI166" s="753">
        <v>0.998</v>
      </c>
      <c r="JJ166" s="753">
        <v>0.998</v>
      </c>
      <c r="JK166" s="753">
        <v>0.998</v>
      </c>
      <c r="JL166" s="753">
        <v>0.998</v>
      </c>
      <c r="JM166" s="753">
        <v>0.998</v>
      </c>
      <c r="JN166" s="753">
        <v>0.998</v>
      </c>
      <c r="JO166" s="753">
        <v>0.998</v>
      </c>
      <c r="JP166" s="753">
        <v>0.998</v>
      </c>
      <c r="JQ166" s="753">
        <v>0.998</v>
      </c>
      <c r="JR166" s="753">
        <v>0.996</v>
      </c>
      <c r="JS166" s="753">
        <v>0.987</v>
      </c>
      <c r="JT166" s="753">
        <v>0.979</v>
      </c>
      <c r="JU166" s="753">
        <v>0.969</v>
      </c>
      <c r="JV166" s="753">
        <v>0.954</v>
      </c>
      <c r="JW166" s="753">
        <v>0.919</v>
      </c>
      <c r="JX166" s="753">
        <v>0.85</v>
      </c>
      <c r="JY166" s="753">
        <v>0.761</v>
      </c>
      <c r="JZ166" s="753">
        <v>0.591</v>
      </c>
      <c r="KA166" s="753">
        <v>0.299</v>
      </c>
      <c r="KB166" s="753">
        <v>0.051</v>
      </c>
      <c r="KC166" s="753"/>
      <c r="KD166" s="753"/>
      <c r="KE166" s="753"/>
      <c r="KF166" s="753"/>
      <c r="KG166" s="753"/>
      <c r="KH166" s="753"/>
      <c r="KI166" s="753"/>
      <c r="KJ166" s="753"/>
      <c r="KK166" s="765" t="s">
        <v>281</v>
      </c>
      <c r="KL166" s="738">
        <v>105</v>
      </c>
      <c r="KM166" s="738">
        <v>527</v>
      </c>
      <c r="KN166" s="646" t="s">
        <v>282</v>
      </c>
      <c r="KO166" s="646" t="s">
        <v>1329</v>
      </c>
      <c r="KP166" s="779" t="s">
        <v>1321</v>
      </c>
      <c r="KQ166" s="789" t="s">
        <v>1332</v>
      </c>
      <c r="KR166" s="750" t="s">
        <v>1321</v>
      </c>
      <c r="KS166" s="789"/>
      <c r="KT166" s="770"/>
      <c r="KU166" s="789" t="s">
        <v>1333</v>
      </c>
      <c r="KV166" s="790" t="s">
        <v>1321</v>
      </c>
      <c r="KW166" s="791"/>
      <c r="KX166" s="790"/>
      <c r="KY166" s="789" t="s">
        <v>1328</v>
      </c>
      <c r="KZ166" s="770" t="s">
        <v>1321</v>
      </c>
    </row>
    <row r="167" s="628" customFormat="1" customHeight="1" spans="1:312">
      <c r="A167" s="682" t="s">
        <v>374</v>
      </c>
      <c r="B167" s="683">
        <v>163</v>
      </c>
      <c r="C167" s="684" t="s">
        <v>1334</v>
      </c>
      <c r="D167" s="779">
        <v>883270</v>
      </c>
      <c r="E167" s="685">
        <v>27</v>
      </c>
      <c r="F167" s="685">
        <v>26.78</v>
      </c>
      <c r="G167" s="688">
        <v>0.032686</v>
      </c>
      <c r="H167" s="686">
        <v>0.033246</v>
      </c>
      <c r="I167" s="696">
        <v>1.82367</v>
      </c>
      <c r="J167" s="696">
        <v>1.83046</v>
      </c>
      <c r="K167" s="696">
        <v>1.83859</v>
      </c>
      <c r="L167" s="696">
        <v>1.84749</v>
      </c>
      <c r="M167" s="696">
        <v>1.84939</v>
      </c>
      <c r="N167" s="696">
        <v>1.85103</v>
      </c>
      <c r="O167" s="696">
        <v>1.8579</v>
      </c>
      <c r="P167" s="696">
        <v>1.86304</v>
      </c>
      <c r="Q167" s="697">
        <v>1.868</v>
      </c>
      <c r="R167" s="697">
        <v>1.87312</v>
      </c>
      <c r="S167" s="697">
        <v>1.87457</v>
      </c>
      <c r="T167" s="701">
        <v>1.87595</v>
      </c>
      <c r="U167" s="697">
        <v>1.88223</v>
      </c>
      <c r="V167" s="697">
        <v>1.88252</v>
      </c>
      <c r="W167" s="697">
        <v>1.89022</v>
      </c>
      <c r="X167" s="697">
        <v>1.90581</v>
      </c>
      <c r="Y167" s="697">
        <v>1.90782</v>
      </c>
      <c r="Z167" s="697">
        <v>1.92583</v>
      </c>
      <c r="AA167" s="697">
        <v>1.94392</v>
      </c>
      <c r="AB167" s="697">
        <v>1.97855</v>
      </c>
      <c r="AC167" s="704">
        <v>3.39234287</v>
      </c>
      <c r="AD167" s="704">
        <v>-0.0139491556</v>
      </c>
      <c r="AE167" s="704">
        <v>0.0474887284</v>
      </c>
      <c r="AF167" s="704">
        <v>0.00228412158</v>
      </c>
      <c r="AG167" s="704">
        <v>-8.32791862e-5</v>
      </c>
      <c r="AH167" s="704">
        <v>2.34034525e-5</v>
      </c>
      <c r="AI167" s="709">
        <v>0.2876</v>
      </c>
      <c r="AJ167" s="709">
        <v>0.2356</v>
      </c>
      <c r="AK167" s="709">
        <v>0.6125</v>
      </c>
      <c r="AL167" s="709">
        <v>0.2391</v>
      </c>
      <c r="AM167" s="709">
        <v>0.2316</v>
      </c>
      <c r="AN167" s="709">
        <v>0.5417</v>
      </c>
      <c r="AO167" s="709">
        <v>0.0017</v>
      </c>
      <c r="AP167" s="709">
        <v>0.0137</v>
      </c>
      <c r="AQ167" s="709">
        <v>0.0049</v>
      </c>
      <c r="AR167" s="709">
        <v>0.0004</v>
      </c>
      <c r="AS167" s="714">
        <v>1.2</v>
      </c>
      <c r="AT167" s="716">
        <v>1.3</v>
      </c>
      <c r="AU167" s="716">
        <v>1.4</v>
      </c>
      <c r="AV167" s="716">
        <v>1.6</v>
      </c>
      <c r="AW167" s="716">
        <v>1.8</v>
      </c>
      <c r="AX167" s="716">
        <v>2</v>
      </c>
      <c r="AY167" s="716">
        <v>2.1</v>
      </c>
      <c r="AZ167" s="716">
        <v>2.3</v>
      </c>
      <c r="BA167" s="716">
        <v>2.3</v>
      </c>
      <c r="BB167" s="716">
        <v>2.4</v>
      </c>
      <c r="BC167" s="716">
        <v>2.5</v>
      </c>
      <c r="BD167" s="716">
        <v>1.8</v>
      </c>
      <c r="BE167" s="716">
        <v>1.9</v>
      </c>
      <c r="BF167" s="716">
        <v>2.1</v>
      </c>
      <c r="BG167" s="716">
        <v>2.3</v>
      </c>
      <c r="BH167" s="716">
        <v>2.5</v>
      </c>
      <c r="BI167" s="716">
        <v>2.6</v>
      </c>
      <c r="BJ167" s="716">
        <v>2.8</v>
      </c>
      <c r="BK167" s="716">
        <v>3</v>
      </c>
      <c r="BL167" s="716">
        <v>3.1</v>
      </c>
      <c r="BM167" s="716">
        <v>3.2</v>
      </c>
      <c r="BN167" s="716">
        <v>3.3</v>
      </c>
      <c r="BO167" s="716">
        <v>2.1</v>
      </c>
      <c r="BP167" s="716">
        <v>2.2</v>
      </c>
      <c r="BQ167" s="716">
        <v>2.3</v>
      </c>
      <c r="BR167" s="716">
        <v>2.5</v>
      </c>
      <c r="BS167" s="716">
        <v>2.8</v>
      </c>
      <c r="BT167" s="716">
        <v>2.9</v>
      </c>
      <c r="BU167" s="716">
        <v>3.2</v>
      </c>
      <c r="BV167" s="716">
        <v>3.3</v>
      </c>
      <c r="BW167" s="716">
        <v>3.5</v>
      </c>
      <c r="BX167" s="716">
        <v>3.7</v>
      </c>
      <c r="BY167" s="716">
        <v>3.8</v>
      </c>
      <c r="BZ167" s="716">
        <v>2.1</v>
      </c>
      <c r="CA167" s="716">
        <v>2.3</v>
      </c>
      <c r="CB167" s="716">
        <v>2.5</v>
      </c>
      <c r="CC167" s="716">
        <v>2.6</v>
      </c>
      <c r="CD167" s="716">
        <v>2.9</v>
      </c>
      <c r="CE167" s="716">
        <v>3</v>
      </c>
      <c r="CF167" s="716">
        <v>3.3</v>
      </c>
      <c r="CG167" s="716">
        <v>3.4</v>
      </c>
      <c r="CH167" s="716">
        <v>3.6</v>
      </c>
      <c r="CI167" s="716">
        <v>3.8</v>
      </c>
      <c r="CJ167" s="716">
        <v>3.9</v>
      </c>
      <c r="CK167" s="716">
        <v>2.2</v>
      </c>
      <c r="CL167" s="716">
        <v>2.4</v>
      </c>
      <c r="CM167" s="716">
        <v>2.6</v>
      </c>
      <c r="CN167" s="716">
        <v>2.7</v>
      </c>
      <c r="CO167" s="716">
        <v>2.9</v>
      </c>
      <c r="CP167" s="716">
        <v>3</v>
      </c>
      <c r="CQ167" s="716">
        <v>3.3</v>
      </c>
      <c r="CR167" s="716">
        <v>3.4</v>
      </c>
      <c r="CS167" s="716">
        <v>3.6</v>
      </c>
      <c r="CT167" s="716">
        <v>3.9</v>
      </c>
      <c r="CU167" s="716">
        <v>4</v>
      </c>
      <c r="CV167" s="716">
        <v>2.4</v>
      </c>
      <c r="CW167" s="716">
        <v>2.6</v>
      </c>
      <c r="CX167" s="716">
        <v>2.8</v>
      </c>
      <c r="CY167" s="716">
        <v>3.1</v>
      </c>
      <c r="CZ167" s="716">
        <v>3.2</v>
      </c>
      <c r="DA167" s="716">
        <v>3.4</v>
      </c>
      <c r="DB167" s="716">
        <v>3.5</v>
      </c>
      <c r="DC167" s="716">
        <v>3.6</v>
      </c>
      <c r="DD167" s="716">
        <v>3.9</v>
      </c>
      <c r="DE167" s="716">
        <v>4.1</v>
      </c>
      <c r="DF167" s="716">
        <v>4.3</v>
      </c>
      <c r="DG167" s="716">
        <v>3.2</v>
      </c>
      <c r="DH167" s="716">
        <v>3.4</v>
      </c>
      <c r="DI167" s="716">
        <v>3.5</v>
      </c>
      <c r="DJ167" s="716">
        <v>3.7</v>
      </c>
      <c r="DK167" s="716">
        <v>3.8</v>
      </c>
      <c r="DL167" s="716">
        <v>4.1</v>
      </c>
      <c r="DM167" s="716">
        <v>4.3</v>
      </c>
      <c r="DN167" s="716">
        <v>4.5</v>
      </c>
      <c r="DO167" s="716">
        <v>4.6</v>
      </c>
      <c r="DP167" s="716">
        <v>4.7</v>
      </c>
      <c r="DQ167" s="716">
        <v>4.9</v>
      </c>
      <c r="DR167" s="716">
        <v>4.3</v>
      </c>
      <c r="DS167" s="716">
        <v>4.5</v>
      </c>
      <c r="DT167" s="716">
        <v>4.6</v>
      </c>
      <c r="DU167" s="716">
        <v>4.8</v>
      </c>
      <c r="DV167" s="716">
        <v>5</v>
      </c>
      <c r="DW167" s="716">
        <v>5.1</v>
      </c>
      <c r="DX167" s="716">
        <v>5.2</v>
      </c>
      <c r="DY167" s="716">
        <v>5.4</v>
      </c>
      <c r="DZ167" s="716">
        <v>5.5</v>
      </c>
      <c r="EA167" s="716">
        <v>5.6</v>
      </c>
      <c r="EB167" s="716">
        <v>5.9</v>
      </c>
      <c r="EC167" s="716">
        <v>4.5</v>
      </c>
      <c r="ED167" s="716">
        <v>4.7</v>
      </c>
      <c r="EE167" s="716">
        <v>4.8</v>
      </c>
      <c r="EF167" s="716">
        <v>4.9</v>
      </c>
      <c r="EG167" s="716">
        <v>5.1</v>
      </c>
      <c r="EH167" s="716">
        <v>5.3</v>
      </c>
      <c r="EI167" s="716">
        <v>5.4</v>
      </c>
      <c r="EJ167" s="716">
        <v>5.5</v>
      </c>
      <c r="EK167" s="716">
        <v>5.6</v>
      </c>
      <c r="EL167" s="716">
        <v>5.7</v>
      </c>
      <c r="EM167" s="716">
        <v>6</v>
      </c>
      <c r="EN167" s="716">
        <v>6.4</v>
      </c>
      <c r="EO167" s="716">
        <v>6.6</v>
      </c>
      <c r="EP167" s="716">
        <v>6.7</v>
      </c>
      <c r="EQ167" s="716">
        <v>6.9</v>
      </c>
      <c r="ER167" s="716">
        <v>7.1</v>
      </c>
      <c r="ES167" s="716">
        <v>7.3</v>
      </c>
      <c r="ET167" s="716">
        <v>7.6</v>
      </c>
      <c r="EU167" s="716">
        <v>7.7</v>
      </c>
      <c r="EV167" s="716">
        <v>7.9</v>
      </c>
      <c r="EW167" s="716">
        <v>8.2</v>
      </c>
      <c r="EX167" s="716">
        <v>8.4</v>
      </c>
      <c r="EY167" s="716">
        <v>-0.8</v>
      </c>
      <c r="EZ167" s="716">
        <v>-0.1</v>
      </c>
      <c r="FA167" s="716">
        <v>0.4</v>
      </c>
      <c r="FB167" s="716">
        <v>0.8</v>
      </c>
      <c r="FC167" s="716">
        <v>1.3</v>
      </c>
      <c r="FD167" s="716">
        <v>1.6</v>
      </c>
      <c r="FE167" s="716">
        <v>2</v>
      </c>
      <c r="FF167" s="716">
        <v>2.3</v>
      </c>
      <c r="FG167" s="716">
        <v>2.6</v>
      </c>
      <c r="FH167" s="716">
        <v>3</v>
      </c>
      <c r="FI167" s="716">
        <v>3.2</v>
      </c>
      <c r="FJ167" s="726">
        <v>-4.29e-7</v>
      </c>
      <c r="FK167" s="726">
        <v>1.62e-8</v>
      </c>
      <c r="FL167" s="726">
        <v>-2.51e-11</v>
      </c>
      <c r="FM167" s="726">
        <v>5.81e-7</v>
      </c>
      <c r="FN167" s="726">
        <v>5.62e-12</v>
      </c>
      <c r="FO167" s="726">
        <v>0.34</v>
      </c>
      <c r="FP167" s="729">
        <v>1</v>
      </c>
      <c r="FQ167" s="729">
        <v>1</v>
      </c>
      <c r="FR167" s="729">
        <v>1</v>
      </c>
      <c r="FS167" s="729">
        <v>1</v>
      </c>
      <c r="FT167" s="729">
        <v>1</v>
      </c>
      <c r="FU167" s="729">
        <v>2</v>
      </c>
      <c r="FV167" s="681"/>
      <c r="FW167" s="729"/>
      <c r="FX167" s="729"/>
      <c r="FY167" s="729"/>
      <c r="FZ167" s="782">
        <v>717</v>
      </c>
      <c r="GA167" s="782">
        <v>762</v>
      </c>
      <c r="GB167" s="681">
        <v>678</v>
      </c>
      <c r="GC167" s="681">
        <v>709</v>
      </c>
      <c r="GD167" s="747">
        <v>1.13</v>
      </c>
      <c r="GE167" s="729"/>
      <c r="GF167" s="681">
        <v>70</v>
      </c>
      <c r="GG167" s="681">
        <v>83</v>
      </c>
      <c r="GH167" s="681">
        <v>60</v>
      </c>
      <c r="GI167" s="681">
        <v>63</v>
      </c>
      <c r="GJ167" s="681">
        <v>63</v>
      </c>
      <c r="GK167" s="681">
        <v>65</v>
      </c>
      <c r="GL167" s="681">
        <v>68</v>
      </c>
      <c r="GM167" s="681">
        <v>69</v>
      </c>
      <c r="GN167" s="681">
        <v>70</v>
      </c>
      <c r="GO167" s="681">
        <v>73</v>
      </c>
      <c r="GP167" s="681">
        <v>74</v>
      </c>
      <c r="GQ167" s="681">
        <v>75</v>
      </c>
      <c r="GR167" s="681">
        <v>75</v>
      </c>
      <c r="GS167" s="681">
        <v>75</v>
      </c>
      <c r="GT167" s="681">
        <v>76</v>
      </c>
      <c r="GU167" s="681">
        <v>76</v>
      </c>
      <c r="GV167" s="681">
        <v>76</v>
      </c>
      <c r="GW167" s="681">
        <v>77</v>
      </c>
      <c r="GX167" s="681">
        <v>78</v>
      </c>
      <c r="GY167" s="681">
        <v>79</v>
      </c>
      <c r="GZ167" s="681">
        <v>80</v>
      </c>
      <c r="HA167" s="681">
        <v>81</v>
      </c>
      <c r="HB167" s="681">
        <v>83</v>
      </c>
      <c r="HC167" s="681"/>
      <c r="HD167" s="750">
        <v>206</v>
      </c>
      <c r="HE167" s="681"/>
      <c r="HF167" s="681">
        <v>608</v>
      </c>
      <c r="HG167" s="681">
        <v>94</v>
      </c>
      <c r="HH167" s="714">
        <v>112.2</v>
      </c>
      <c r="HI167" s="714">
        <v>43.3</v>
      </c>
      <c r="HJ167" s="753">
        <v>0.294</v>
      </c>
      <c r="HK167" s="681">
        <v>97</v>
      </c>
      <c r="HL167" s="685">
        <v>1.66</v>
      </c>
      <c r="HM167" s="747">
        <v>4.05</v>
      </c>
      <c r="HN167" s="729" t="s">
        <v>1281</v>
      </c>
      <c r="HO167" s="714" t="s">
        <v>1335</v>
      </c>
      <c r="HP167" s="714">
        <v>-0.7</v>
      </c>
      <c r="HQ167" s="753">
        <v>0.969</v>
      </c>
      <c r="HR167" s="753">
        <v>0.987</v>
      </c>
      <c r="HS167" s="753">
        <v>0.995</v>
      </c>
      <c r="HT167" s="753">
        <v>0.998</v>
      </c>
      <c r="HU167" s="753">
        <v>0.999</v>
      </c>
      <c r="HV167" s="753">
        <v>0.999</v>
      </c>
      <c r="HW167" s="753">
        <v>0.999</v>
      </c>
      <c r="HX167" s="753">
        <v>0.999</v>
      </c>
      <c r="HY167" s="753">
        <v>0.999</v>
      </c>
      <c r="HZ167" s="753">
        <v>0.999</v>
      </c>
      <c r="IA167" s="753">
        <v>0.999</v>
      </c>
      <c r="IB167" s="753">
        <v>0.999</v>
      </c>
      <c r="IC167" s="753">
        <v>0.999</v>
      </c>
      <c r="ID167" s="753">
        <v>0.999</v>
      </c>
      <c r="IE167" s="753">
        <v>0.998</v>
      </c>
      <c r="IF167" s="753">
        <v>0.998</v>
      </c>
      <c r="IG167" s="753">
        <v>0.997</v>
      </c>
      <c r="IH167" s="753">
        <v>0.993</v>
      </c>
      <c r="II167" s="753">
        <v>0.982</v>
      </c>
      <c r="IJ167" s="753">
        <v>0.975</v>
      </c>
      <c r="IK167" s="753">
        <v>0.964</v>
      </c>
      <c r="IL167" s="753">
        <v>0.944</v>
      </c>
      <c r="IM167" s="753">
        <v>0.902</v>
      </c>
      <c r="IN167" s="753">
        <v>0.804</v>
      </c>
      <c r="IO167" s="753">
        <v>0.701</v>
      </c>
      <c r="IP167" s="753">
        <v>0.512</v>
      </c>
      <c r="IQ167" s="753">
        <v>0.23</v>
      </c>
      <c r="IR167" s="753"/>
      <c r="IS167" s="753"/>
      <c r="IT167" s="753"/>
      <c r="IU167" s="753"/>
      <c r="IV167" s="753"/>
      <c r="IW167" s="753"/>
      <c r="IX167" s="753"/>
      <c r="IY167" s="753"/>
      <c r="IZ167" s="753"/>
      <c r="JA167" s="753">
        <v>0.938</v>
      </c>
      <c r="JB167" s="753">
        <v>0.975</v>
      </c>
      <c r="JC167" s="753">
        <v>0.991</v>
      </c>
      <c r="JD167" s="753">
        <v>0.997</v>
      </c>
      <c r="JE167" s="753">
        <v>0.998</v>
      </c>
      <c r="JF167" s="753">
        <v>0.998</v>
      </c>
      <c r="JG167" s="753">
        <v>0.998</v>
      </c>
      <c r="JH167" s="753">
        <v>0.998</v>
      </c>
      <c r="JI167" s="753">
        <v>0.998</v>
      </c>
      <c r="JJ167" s="753">
        <v>0.998</v>
      </c>
      <c r="JK167" s="753">
        <v>0.998</v>
      </c>
      <c r="JL167" s="753">
        <v>0.998</v>
      </c>
      <c r="JM167" s="753">
        <v>0.998</v>
      </c>
      <c r="JN167" s="753">
        <v>0.998</v>
      </c>
      <c r="JO167" s="753">
        <v>0.997</v>
      </c>
      <c r="JP167" s="753">
        <v>0.997</v>
      </c>
      <c r="JQ167" s="753">
        <v>0.995</v>
      </c>
      <c r="JR167" s="753">
        <v>0.987</v>
      </c>
      <c r="JS167" s="753">
        <v>0.965</v>
      </c>
      <c r="JT167" s="753">
        <v>0.95</v>
      </c>
      <c r="JU167" s="753">
        <v>0.929</v>
      </c>
      <c r="JV167" s="753">
        <v>0.891</v>
      </c>
      <c r="JW167" s="753">
        <v>0.813</v>
      </c>
      <c r="JX167" s="753">
        <v>0.647</v>
      </c>
      <c r="JY167" s="753">
        <v>0.491</v>
      </c>
      <c r="JZ167" s="753">
        <v>0.262</v>
      </c>
      <c r="KA167" s="753">
        <v>0.053</v>
      </c>
      <c r="KB167" s="753"/>
      <c r="KC167" s="753"/>
      <c r="KD167" s="753"/>
      <c r="KE167" s="753"/>
      <c r="KF167" s="753"/>
      <c r="KG167" s="753"/>
      <c r="KH167" s="753"/>
      <c r="KI167" s="753"/>
      <c r="KJ167" s="753"/>
      <c r="KK167" s="765" t="s">
        <v>281</v>
      </c>
      <c r="KL167" s="738">
        <v>118</v>
      </c>
      <c r="KM167" s="738">
        <v>478</v>
      </c>
      <c r="KN167" s="646" t="s">
        <v>339</v>
      </c>
      <c r="KO167" s="646" t="s">
        <v>1334</v>
      </c>
      <c r="KP167" s="779">
        <v>883270</v>
      </c>
      <c r="KQ167" s="789"/>
      <c r="KR167" s="750"/>
      <c r="KS167" s="789"/>
      <c r="KT167" s="770"/>
      <c r="KU167" s="789"/>
      <c r="KV167" s="790"/>
      <c r="KW167" s="791"/>
      <c r="KX167" s="790"/>
      <c r="KY167" s="789"/>
      <c r="KZ167" s="770"/>
    </row>
    <row r="168" s="628" customFormat="1" customHeight="1" spans="1:312">
      <c r="A168" s="682" t="s">
        <v>374</v>
      </c>
      <c r="B168" s="683">
        <v>164</v>
      </c>
      <c r="C168" s="684" t="s">
        <v>1336</v>
      </c>
      <c r="D168" s="779" t="s">
        <v>1337</v>
      </c>
      <c r="E168" s="685">
        <v>26.94</v>
      </c>
      <c r="F168" s="685">
        <v>26.74</v>
      </c>
      <c r="G168" s="688">
        <v>0.039005</v>
      </c>
      <c r="H168" s="686">
        <v>0.039645</v>
      </c>
      <c r="I168" s="696">
        <v>1.98329</v>
      </c>
      <c r="J168" s="696">
        <v>1.99055</v>
      </c>
      <c r="K168" s="696">
        <v>1.99938</v>
      </c>
      <c r="L168" s="696">
        <v>2.0094</v>
      </c>
      <c r="M168" s="696">
        <v>2.01158</v>
      </c>
      <c r="N168" s="696">
        <v>2.01348</v>
      </c>
      <c r="O168" s="696">
        <v>2.02155</v>
      </c>
      <c r="P168" s="696">
        <v>2.02764</v>
      </c>
      <c r="Q168" s="697">
        <v>2.03354</v>
      </c>
      <c r="R168" s="697">
        <v>2.03965</v>
      </c>
      <c r="S168" s="697">
        <v>2.0414</v>
      </c>
      <c r="T168" s="701">
        <v>2.04306</v>
      </c>
      <c r="U168" s="697">
        <v>2.05057</v>
      </c>
      <c r="V168" s="697">
        <v>2.0509</v>
      </c>
      <c r="W168" s="697">
        <v>2.06011</v>
      </c>
      <c r="X168" s="697">
        <v>2.07865</v>
      </c>
      <c r="Y168" s="697">
        <v>2.08104</v>
      </c>
      <c r="Z168" s="697">
        <v>2.10221</v>
      </c>
      <c r="AA168" s="697">
        <v>2.12327</v>
      </c>
      <c r="AB168" s="697">
        <v>2.16304</v>
      </c>
      <c r="AC168" s="704">
        <v>4.00832073</v>
      </c>
      <c r="AD168" s="704">
        <v>-0.0159378407</v>
      </c>
      <c r="AE168" s="704">
        <v>0.0604102723</v>
      </c>
      <c r="AF168" s="704">
        <v>0.00381295608</v>
      </c>
      <c r="AG168" s="704">
        <v>-0.000246023955</v>
      </c>
      <c r="AH168" s="704">
        <v>3.41387429e-5</v>
      </c>
      <c r="AI168" s="709">
        <v>0.2884</v>
      </c>
      <c r="AJ168" s="709">
        <v>0.2361</v>
      </c>
      <c r="AK168" s="709">
        <v>0.604</v>
      </c>
      <c r="AL168" s="709">
        <v>0.2396</v>
      </c>
      <c r="AM168" s="709">
        <v>0.2323</v>
      </c>
      <c r="AN168" s="709">
        <v>0.534</v>
      </c>
      <c r="AO168" s="709">
        <v>0</v>
      </c>
      <c r="AP168" s="709">
        <v>0.0052</v>
      </c>
      <c r="AQ168" s="709">
        <v>0.0003</v>
      </c>
      <c r="AR168" s="709">
        <v>-0.001</v>
      </c>
      <c r="AS168" s="714">
        <v>1.4</v>
      </c>
      <c r="AT168" s="716">
        <v>1.6</v>
      </c>
      <c r="AU168" s="716">
        <v>1.7</v>
      </c>
      <c r="AV168" s="716">
        <v>1.9</v>
      </c>
      <c r="AW168" s="716">
        <v>2</v>
      </c>
      <c r="AX168" s="716">
        <v>2.3</v>
      </c>
      <c r="AY168" s="716">
        <v>2.5</v>
      </c>
      <c r="AZ168" s="716">
        <v>2.5</v>
      </c>
      <c r="BA168" s="716">
        <v>2.6</v>
      </c>
      <c r="BB168" s="716">
        <v>2.8</v>
      </c>
      <c r="BC168" s="716">
        <v>3</v>
      </c>
      <c r="BD168" s="716">
        <v>2.1</v>
      </c>
      <c r="BE168" s="716">
        <v>2.2</v>
      </c>
      <c r="BF168" s="716">
        <v>2.3</v>
      </c>
      <c r="BG168" s="716">
        <v>2.5</v>
      </c>
      <c r="BH168" s="716">
        <v>2.6</v>
      </c>
      <c r="BI168" s="716">
        <v>2.7</v>
      </c>
      <c r="BJ168" s="716">
        <v>3.1</v>
      </c>
      <c r="BK168" s="716">
        <v>3.2</v>
      </c>
      <c r="BL168" s="716">
        <v>3.3</v>
      </c>
      <c r="BM168" s="716">
        <v>3.5</v>
      </c>
      <c r="BN168" s="716">
        <v>3.7</v>
      </c>
      <c r="BO168" s="716">
        <v>2.6</v>
      </c>
      <c r="BP168" s="716">
        <v>2.7</v>
      </c>
      <c r="BQ168" s="716">
        <v>2.8</v>
      </c>
      <c r="BR168" s="716">
        <v>2.9</v>
      </c>
      <c r="BS168" s="716">
        <v>3</v>
      </c>
      <c r="BT168" s="716">
        <v>3.2</v>
      </c>
      <c r="BU168" s="716">
        <v>3.5</v>
      </c>
      <c r="BV168" s="716">
        <v>3.7</v>
      </c>
      <c r="BW168" s="716">
        <v>3.9</v>
      </c>
      <c r="BX168" s="716">
        <v>4.1</v>
      </c>
      <c r="BY168" s="716">
        <v>4.3</v>
      </c>
      <c r="BZ168" s="716">
        <v>2.6</v>
      </c>
      <c r="CA168" s="716">
        <v>2.7</v>
      </c>
      <c r="CB168" s="716">
        <v>2.9</v>
      </c>
      <c r="CC168" s="716">
        <v>3</v>
      </c>
      <c r="CD168" s="716">
        <v>3.1</v>
      </c>
      <c r="CE168" s="716">
        <v>3.3</v>
      </c>
      <c r="CF168" s="716">
        <v>3.5</v>
      </c>
      <c r="CG168" s="716">
        <v>3.7</v>
      </c>
      <c r="CH168" s="716">
        <v>3.9</v>
      </c>
      <c r="CI168" s="716">
        <v>4.1</v>
      </c>
      <c r="CJ168" s="716">
        <v>4.4</v>
      </c>
      <c r="CK168" s="716">
        <v>2.7</v>
      </c>
      <c r="CL168" s="716">
        <v>2.8</v>
      </c>
      <c r="CM168" s="716">
        <v>3</v>
      </c>
      <c r="CN168" s="716">
        <v>3.1</v>
      </c>
      <c r="CO168" s="716">
        <v>3.3</v>
      </c>
      <c r="CP168" s="716">
        <v>3.4</v>
      </c>
      <c r="CQ168" s="716">
        <v>3.6</v>
      </c>
      <c r="CR168" s="716">
        <v>3.7</v>
      </c>
      <c r="CS168" s="716">
        <v>3.9</v>
      </c>
      <c r="CT168" s="716">
        <v>4.2</v>
      </c>
      <c r="CU168" s="716">
        <v>4.5</v>
      </c>
      <c r="CV168" s="716">
        <v>2.9</v>
      </c>
      <c r="CW168" s="716">
        <v>3.2</v>
      </c>
      <c r="CX168" s="716">
        <v>3.4</v>
      </c>
      <c r="CY168" s="716">
        <v>3.6</v>
      </c>
      <c r="CZ168" s="716">
        <v>3.7</v>
      </c>
      <c r="DA168" s="716">
        <v>3.9</v>
      </c>
      <c r="DB168" s="716">
        <v>4.2</v>
      </c>
      <c r="DC168" s="716">
        <v>4.4</v>
      </c>
      <c r="DD168" s="716">
        <v>4.7</v>
      </c>
      <c r="DE168" s="716">
        <v>5.1</v>
      </c>
      <c r="DF168" s="716">
        <v>5.3</v>
      </c>
      <c r="DG168" s="716">
        <v>3.6</v>
      </c>
      <c r="DH168" s="716">
        <v>3.8</v>
      </c>
      <c r="DI168" s="716">
        <v>4</v>
      </c>
      <c r="DJ168" s="716">
        <v>4.1</v>
      </c>
      <c r="DK168" s="716">
        <v>4.4</v>
      </c>
      <c r="DL168" s="716">
        <v>4.7</v>
      </c>
      <c r="DM168" s="716">
        <v>5.1</v>
      </c>
      <c r="DN168" s="716">
        <v>5.3</v>
      </c>
      <c r="DO168" s="716">
        <v>5.7</v>
      </c>
      <c r="DP168" s="716">
        <v>6.1</v>
      </c>
      <c r="DQ168" s="716">
        <v>6.4</v>
      </c>
      <c r="DR168" s="716">
        <v>4.9</v>
      </c>
      <c r="DS168" s="716">
        <v>5.3</v>
      </c>
      <c r="DT168" s="716">
        <v>5.6</v>
      </c>
      <c r="DU168" s="716">
        <v>6</v>
      </c>
      <c r="DV168" s="716">
        <v>6.3</v>
      </c>
      <c r="DW168" s="716">
        <v>6.7</v>
      </c>
      <c r="DX168" s="716">
        <v>7</v>
      </c>
      <c r="DY168" s="716">
        <v>7.4</v>
      </c>
      <c r="DZ168" s="716">
        <v>7.7</v>
      </c>
      <c r="EA168" s="716">
        <v>8</v>
      </c>
      <c r="EB168" s="716">
        <v>8.4</v>
      </c>
      <c r="EC168" s="716">
        <v>5.1</v>
      </c>
      <c r="ED168" s="716">
        <v>5.4</v>
      </c>
      <c r="EE168" s="716">
        <v>5.7</v>
      </c>
      <c r="EF168" s="716">
        <v>6</v>
      </c>
      <c r="EG168" s="716">
        <v>6.4</v>
      </c>
      <c r="EH168" s="716">
        <v>6.7</v>
      </c>
      <c r="EI168" s="716">
        <v>7.1</v>
      </c>
      <c r="EJ168" s="716">
        <v>7.4</v>
      </c>
      <c r="EK168" s="716">
        <v>7.7</v>
      </c>
      <c r="EL168" s="716">
        <v>8.1</v>
      </c>
      <c r="EM168" s="716">
        <v>8.5</v>
      </c>
      <c r="EN168" s="716">
        <v>6.2</v>
      </c>
      <c r="EO168" s="716">
        <v>6.4</v>
      </c>
      <c r="EP168" s="716">
        <v>6.8</v>
      </c>
      <c r="EQ168" s="716">
        <v>7.2</v>
      </c>
      <c r="ER168" s="716">
        <v>7.5</v>
      </c>
      <c r="ES168" s="716">
        <v>7.7</v>
      </c>
      <c r="ET168" s="716">
        <v>8</v>
      </c>
      <c r="EU168" s="716">
        <v>8.4</v>
      </c>
      <c r="EV168" s="716">
        <v>8.7</v>
      </c>
      <c r="EW168" s="716">
        <v>9.1</v>
      </c>
      <c r="EX168" s="716">
        <v>9.7</v>
      </c>
      <c r="EY168" s="716">
        <v>-0.6</v>
      </c>
      <c r="EZ168" s="716">
        <v>0</v>
      </c>
      <c r="FA168" s="716">
        <v>0.6</v>
      </c>
      <c r="FB168" s="716">
        <v>1.1</v>
      </c>
      <c r="FC168" s="716">
        <v>1.5</v>
      </c>
      <c r="FD168" s="716">
        <v>1.8</v>
      </c>
      <c r="FE168" s="716">
        <v>2.2</v>
      </c>
      <c r="FF168" s="716">
        <v>2.5</v>
      </c>
      <c r="FG168" s="716">
        <v>2.8</v>
      </c>
      <c r="FH168" s="716">
        <v>3.2</v>
      </c>
      <c r="FI168" s="716">
        <v>3.6</v>
      </c>
      <c r="FJ168" s="726">
        <v>-1.09e-6</v>
      </c>
      <c r="FK168" s="726">
        <v>1.24e-8</v>
      </c>
      <c r="FL168" s="726">
        <v>-1.7e-11</v>
      </c>
      <c r="FM168" s="726">
        <v>9.96e-7</v>
      </c>
      <c r="FN168" s="726">
        <v>1.03e-9</v>
      </c>
      <c r="FO168" s="726">
        <v>0.251</v>
      </c>
      <c r="FP168" s="729">
        <v>1</v>
      </c>
      <c r="FQ168" s="729">
        <v>1</v>
      </c>
      <c r="FR168" s="729">
        <v>1</v>
      </c>
      <c r="FS168" s="729">
        <v>1</v>
      </c>
      <c r="FT168" s="729">
        <v>1</v>
      </c>
      <c r="FU168" s="729">
        <v>2</v>
      </c>
      <c r="FV168" s="681">
        <v>1</v>
      </c>
      <c r="FW168" s="729"/>
      <c r="FX168" s="729"/>
      <c r="FY168" s="729"/>
      <c r="FZ168" s="782">
        <v>749</v>
      </c>
      <c r="GA168" s="782">
        <v>784</v>
      </c>
      <c r="GB168" s="681">
        <v>726</v>
      </c>
      <c r="GC168" s="681">
        <v>743</v>
      </c>
      <c r="GD168" s="747">
        <v>1.02</v>
      </c>
      <c r="GE168" s="729"/>
      <c r="GF168" s="681">
        <v>74</v>
      </c>
      <c r="GG168" s="681">
        <v>90</v>
      </c>
      <c r="GH168" s="681">
        <v>65</v>
      </c>
      <c r="GI168" s="681">
        <v>68</v>
      </c>
      <c r="GJ168" s="681">
        <v>71</v>
      </c>
      <c r="GK168" s="681">
        <v>69</v>
      </c>
      <c r="GL168" s="681">
        <v>71</v>
      </c>
      <c r="GM168" s="681">
        <v>74</v>
      </c>
      <c r="GN168" s="681">
        <v>73</v>
      </c>
      <c r="GO168" s="681">
        <v>76</v>
      </c>
      <c r="GP168" s="681">
        <v>78</v>
      </c>
      <c r="GQ168" s="681">
        <v>75</v>
      </c>
      <c r="GR168" s="681">
        <v>80</v>
      </c>
      <c r="GS168" s="681">
        <v>82</v>
      </c>
      <c r="GT168" s="681">
        <v>78</v>
      </c>
      <c r="GU168" s="681">
        <v>82</v>
      </c>
      <c r="GV168" s="681">
        <v>81</v>
      </c>
      <c r="GW168" s="681">
        <v>81</v>
      </c>
      <c r="GX168" s="681">
        <v>85</v>
      </c>
      <c r="GY168" s="681">
        <v>83</v>
      </c>
      <c r="GZ168" s="681">
        <v>86</v>
      </c>
      <c r="HA168" s="681">
        <v>86</v>
      </c>
      <c r="HB168" s="681">
        <v>88</v>
      </c>
      <c r="HC168" s="681"/>
      <c r="HD168" s="750">
        <v>170</v>
      </c>
      <c r="HE168" s="681"/>
      <c r="HF168" s="681">
        <v>699</v>
      </c>
      <c r="HG168" s="681">
        <v>63</v>
      </c>
      <c r="HH168" s="714">
        <v>131.4</v>
      </c>
      <c r="HI168" s="714">
        <v>50.2</v>
      </c>
      <c r="HJ168" s="753">
        <v>0.308</v>
      </c>
      <c r="HK168" s="681">
        <v>86</v>
      </c>
      <c r="HL168" s="685">
        <v>0.62</v>
      </c>
      <c r="HM168" s="747">
        <v>5.27</v>
      </c>
      <c r="HN168" s="729" t="s">
        <v>1338</v>
      </c>
      <c r="HO168" s="714" t="s">
        <v>1339</v>
      </c>
      <c r="HP168" s="714">
        <v>-1.5</v>
      </c>
      <c r="HQ168" s="753">
        <v>0.953</v>
      </c>
      <c r="HR168" s="753">
        <v>0.985</v>
      </c>
      <c r="HS168" s="753">
        <v>0.994</v>
      </c>
      <c r="HT168" s="753">
        <v>0.998</v>
      </c>
      <c r="HU168" s="753">
        <v>0.998</v>
      </c>
      <c r="HV168" s="753">
        <v>0.998</v>
      </c>
      <c r="HW168" s="753">
        <v>0.998</v>
      </c>
      <c r="HX168" s="753">
        <v>0.998</v>
      </c>
      <c r="HY168" s="753">
        <v>0.998</v>
      </c>
      <c r="HZ168" s="753">
        <v>0.998</v>
      </c>
      <c r="IA168" s="753">
        <v>0.998</v>
      </c>
      <c r="IB168" s="753">
        <v>0.998</v>
      </c>
      <c r="IC168" s="753">
        <v>0.998</v>
      </c>
      <c r="ID168" s="753">
        <v>0.998</v>
      </c>
      <c r="IE168" s="753">
        <v>0.998</v>
      </c>
      <c r="IF168" s="753">
        <v>0.998</v>
      </c>
      <c r="IG168" s="753">
        <v>0.996</v>
      </c>
      <c r="IH168" s="753">
        <v>0.992</v>
      </c>
      <c r="II168" s="753">
        <v>0.976</v>
      </c>
      <c r="IJ168" s="753">
        <v>0.963</v>
      </c>
      <c r="IK168" s="753">
        <v>0.944</v>
      </c>
      <c r="IL168" s="753">
        <v>0.914</v>
      </c>
      <c r="IM168" s="753">
        <v>0.854</v>
      </c>
      <c r="IN168" s="753">
        <v>0.727</v>
      </c>
      <c r="IO168" s="753">
        <v>0.618</v>
      </c>
      <c r="IP168" s="753">
        <v>0.459</v>
      </c>
      <c r="IQ168" s="753">
        <v>0.245</v>
      </c>
      <c r="IR168" s="753"/>
      <c r="IS168" s="753"/>
      <c r="IT168" s="753"/>
      <c r="IU168" s="753"/>
      <c r="IV168" s="753"/>
      <c r="IW168" s="753"/>
      <c r="IX168" s="753"/>
      <c r="IY168" s="753"/>
      <c r="IZ168" s="753"/>
      <c r="JA168" s="753">
        <v>0.907</v>
      </c>
      <c r="JB168" s="753">
        <v>0.97</v>
      </c>
      <c r="JC168" s="753">
        <v>0.988</v>
      </c>
      <c r="JD168" s="753">
        <v>0.996</v>
      </c>
      <c r="JE168" s="753">
        <v>0.996</v>
      </c>
      <c r="JF168" s="753">
        <v>0.996</v>
      </c>
      <c r="JG168" s="753">
        <v>0.996</v>
      </c>
      <c r="JH168" s="753">
        <v>0.996</v>
      </c>
      <c r="JI168" s="753">
        <v>0.996</v>
      </c>
      <c r="JJ168" s="753">
        <v>0.996</v>
      </c>
      <c r="JK168" s="753">
        <v>0.996</v>
      </c>
      <c r="JL168" s="753">
        <v>0.996</v>
      </c>
      <c r="JM168" s="753">
        <v>0.996</v>
      </c>
      <c r="JN168" s="753">
        <v>0.996</v>
      </c>
      <c r="JO168" s="753">
        <v>0.996</v>
      </c>
      <c r="JP168" s="753">
        <v>0.996</v>
      </c>
      <c r="JQ168" s="753">
        <v>0.994</v>
      </c>
      <c r="JR168" s="753">
        <v>0.986</v>
      </c>
      <c r="JS168" s="753">
        <v>0.953</v>
      </c>
      <c r="JT168" s="753">
        <v>0.928</v>
      </c>
      <c r="JU168" s="753">
        <v>0.892</v>
      </c>
      <c r="JV168" s="753">
        <v>0.835</v>
      </c>
      <c r="JW168" s="753">
        <v>0.729</v>
      </c>
      <c r="JX168" s="753">
        <v>0.529</v>
      </c>
      <c r="JY168" s="753">
        <v>0.382</v>
      </c>
      <c r="JZ168" s="753">
        <v>0.211</v>
      </c>
      <c r="KA168" s="753">
        <v>0.062</v>
      </c>
      <c r="KB168" s="753"/>
      <c r="KC168" s="753"/>
      <c r="KD168" s="753"/>
      <c r="KE168" s="753"/>
      <c r="KF168" s="753"/>
      <c r="KG168" s="753"/>
      <c r="KH168" s="753"/>
      <c r="KI168" s="753"/>
      <c r="KJ168" s="753"/>
      <c r="KK168" s="765" t="s">
        <v>281</v>
      </c>
      <c r="KL168" s="738">
        <v>118</v>
      </c>
      <c r="KM168" s="738">
        <v>622</v>
      </c>
      <c r="KN168" s="646" t="s">
        <v>282</v>
      </c>
      <c r="KO168" s="646" t="s">
        <v>1336</v>
      </c>
      <c r="KP168" s="779" t="s">
        <v>1337</v>
      </c>
      <c r="KQ168" s="789"/>
      <c r="KR168" s="750"/>
      <c r="KS168" s="789" t="s">
        <v>1340</v>
      </c>
      <c r="KT168" s="770" t="s">
        <v>1341</v>
      </c>
      <c r="KU168" s="789" t="s">
        <v>1342</v>
      </c>
      <c r="KV168" s="790" t="s">
        <v>1337</v>
      </c>
      <c r="KW168" s="791"/>
      <c r="KX168" s="790"/>
      <c r="KY168" s="789"/>
      <c r="KZ168" s="770"/>
    </row>
    <row r="169" s="628" customFormat="1" customHeight="1" spans="1:312">
      <c r="A169" s="682" t="s">
        <v>277</v>
      </c>
      <c r="B169" s="683">
        <v>165</v>
      </c>
      <c r="C169" s="684" t="s">
        <v>1343</v>
      </c>
      <c r="D169" s="779" t="s">
        <v>1344</v>
      </c>
      <c r="E169" s="685">
        <v>19.32</v>
      </c>
      <c r="F169" s="685">
        <v>19.16</v>
      </c>
      <c r="G169" s="688">
        <v>0.051908</v>
      </c>
      <c r="H169" s="686">
        <v>0.052967</v>
      </c>
      <c r="I169" s="696"/>
      <c r="J169" s="696"/>
      <c r="K169" s="696"/>
      <c r="L169" s="696">
        <v>1.95027</v>
      </c>
      <c r="M169" s="696">
        <v>1.95293</v>
      </c>
      <c r="N169" s="696">
        <v>1.95525</v>
      </c>
      <c r="O169" s="696">
        <v>1.9652</v>
      </c>
      <c r="P169" s="696">
        <v>1.97282</v>
      </c>
      <c r="Q169" s="697">
        <v>1.98028</v>
      </c>
      <c r="R169" s="697">
        <v>1.98811</v>
      </c>
      <c r="S169" s="697">
        <v>1.99036</v>
      </c>
      <c r="T169" s="701">
        <v>1.9925</v>
      </c>
      <c r="U169" s="697">
        <v>2.00228</v>
      </c>
      <c r="V169" s="697">
        <v>2.00272</v>
      </c>
      <c r="W169" s="697">
        <v>2.01489</v>
      </c>
      <c r="X169" s="697">
        <v>2.04002</v>
      </c>
      <c r="Y169" s="697">
        <v>2.04333</v>
      </c>
      <c r="Z169" s="697">
        <v>2.07334</v>
      </c>
      <c r="AA169" s="697">
        <v>2.10453</v>
      </c>
      <c r="AB169" s="697"/>
      <c r="AC169" s="704">
        <v>3.77070363</v>
      </c>
      <c r="AD169" s="704">
        <v>-0.0189710141</v>
      </c>
      <c r="AE169" s="704">
        <v>0.0672915528</v>
      </c>
      <c r="AF169" s="704">
        <v>0.00722871114</v>
      </c>
      <c r="AG169" s="704">
        <v>-0.000615434682</v>
      </c>
      <c r="AH169" s="704">
        <v>8.7056627e-5</v>
      </c>
      <c r="AI169" s="709">
        <v>0.2815</v>
      </c>
      <c r="AJ169" s="709">
        <v>0.2345</v>
      </c>
      <c r="AK169" s="709">
        <v>0.6419</v>
      </c>
      <c r="AL169" s="709">
        <v>0.2334</v>
      </c>
      <c r="AM169" s="709">
        <v>0.2298</v>
      </c>
      <c r="AN169" s="709">
        <v>0.5666</v>
      </c>
      <c r="AO169" s="709">
        <v>0.0046</v>
      </c>
      <c r="AP169" s="709">
        <v>0.0304</v>
      </c>
      <c r="AQ169" s="709">
        <v>-0.0007</v>
      </c>
      <c r="AR169" s="709">
        <v>-0.0054</v>
      </c>
      <c r="AS169" s="714">
        <v>4.9</v>
      </c>
      <c r="AT169" s="716">
        <v>5</v>
      </c>
      <c r="AU169" s="716">
        <v>5.1</v>
      </c>
      <c r="AV169" s="716">
        <v>5.3</v>
      </c>
      <c r="AW169" s="716">
        <v>5.5</v>
      </c>
      <c r="AX169" s="716">
        <v>5.7</v>
      </c>
      <c r="AY169" s="716">
        <v>6</v>
      </c>
      <c r="AZ169" s="716">
        <v>6</v>
      </c>
      <c r="BA169" s="716">
        <v>6.2</v>
      </c>
      <c r="BB169" s="716">
        <v>6.3</v>
      </c>
      <c r="BC169" s="716">
        <v>6.4</v>
      </c>
      <c r="BD169" s="716">
        <v>5.5</v>
      </c>
      <c r="BE169" s="716">
        <v>5.5</v>
      </c>
      <c r="BF169" s="716">
        <v>5.6</v>
      </c>
      <c r="BG169" s="716">
        <v>5.7</v>
      </c>
      <c r="BH169" s="716">
        <v>6</v>
      </c>
      <c r="BI169" s="716">
        <v>6.2</v>
      </c>
      <c r="BJ169" s="716">
        <v>6.4</v>
      </c>
      <c r="BK169" s="716">
        <v>6.6</v>
      </c>
      <c r="BL169" s="716">
        <v>6.8</v>
      </c>
      <c r="BM169" s="716">
        <v>7</v>
      </c>
      <c r="BN169" s="716">
        <v>7.1</v>
      </c>
      <c r="BO169" s="716">
        <v>5.6</v>
      </c>
      <c r="BP169" s="716">
        <v>5.8</v>
      </c>
      <c r="BQ169" s="716">
        <v>6</v>
      </c>
      <c r="BR169" s="716">
        <v>6.2</v>
      </c>
      <c r="BS169" s="716">
        <v>6.5</v>
      </c>
      <c r="BT169" s="716">
        <v>6.8</v>
      </c>
      <c r="BU169" s="716">
        <v>7.1</v>
      </c>
      <c r="BV169" s="716">
        <v>7.4</v>
      </c>
      <c r="BW169" s="716">
        <v>7.6</v>
      </c>
      <c r="BX169" s="716">
        <v>7.9</v>
      </c>
      <c r="BY169" s="716">
        <v>8.1</v>
      </c>
      <c r="BZ169" s="716">
        <v>5.8</v>
      </c>
      <c r="CA169" s="716">
        <v>6.1</v>
      </c>
      <c r="CB169" s="716">
        <v>6.2</v>
      </c>
      <c r="CC169" s="716">
        <v>6.5</v>
      </c>
      <c r="CD169" s="716">
        <v>6.7</v>
      </c>
      <c r="CE169" s="716">
        <v>6.9</v>
      </c>
      <c r="CF169" s="716">
        <v>7.3</v>
      </c>
      <c r="CG169" s="716">
        <v>7.6</v>
      </c>
      <c r="CH169" s="716">
        <v>7.8</v>
      </c>
      <c r="CI169" s="716">
        <v>8.1</v>
      </c>
      <c r="CJ169" s="716">
        <v>8.3</v>
      </c>
      <c r="CK169" s="716">
        <v>6.1</v>
      </c>
      <c r="CL169" s="716">
        <v>6.2</v>
      </c>
      <c r="CM169" s="716">
        <v>6.4</v>
      </c>
      <c r="CN169" s="716">
        <v>6.7</v>
      </c>
      <c r="CO169" s="716">
        <v>6.9</v>
      </c>
      <c r="CP169" s="716">
        <v>7.2</v>
      </c>
      <c r="CQ169" s="716">
        <v>7.6</v>
      </c>
      <c r="CR169" s="716">
        <v>8</v>
      </c>
      <c r="CS169" s="716">
        <v>8</v>
      </c>
      <c r="CT169" s="716">
        <v>8.3</v>
      </c>
      <c r="CU169" s="716">
        <v>8.5</v>
      </c>
      <c r="CV169" s="716">
        <v>6.4</v>
      </c>
      <c r="CW169" s="716">
        <v>6.8</v>
      </c>
      <c r="CX169" s="716">
        <v>7.1</v>
      </c>
      <c r="CY169" s="716">
        <v>7.5</v>
      </c>
      <c r="CZ169" s="716">
        <v>7.8</v>
      </c>
      <c r="DA169" s="716">
        <v>8.2</v>
      </c>
      <c r="DB169" s="716">
        <v>8.5</v>
      </c>
      <c r="DC169" s="716">
        <v>8.7</v>
      </c>
      <c r="DD169" s="716">
        <v>9.3</v>
      </c>
      <c r="DE169" s="716">
        <v>9.6</v>
      </c>
      <c r="DF169" s="716">
        <v>9.9</v>
      </c>
      <c r="DG169" s="716">
        <v>7.2</v>
      </c>
      <c r="DH169" s="716">
        <v>7.6</v>
      </c>
      <c r="DI169" s="716">
        <v>8.2</v>
      </c>
      <c r="DJ169" s="716">
        <v>8.6</v>
      </c>
      <c r="DK169" s="716">
        <v>9</v>
      </c>
      <c r="DL169" s="716">
        <v>9.3</v>
      </c>
      <c r="DM169" s="716">
        <v>9.8</v>
      </c>
      <c r="DN169" s="716">
        <v>10.5</v>
      </c>
      <c r="DO169" s="716">
        <v>10.8</v>
      </c>
      <c r="DP169" s="716">
        <v>11.3</v>
      </c>
      <c r="DQ169" s="716">
        <v>11.5</v>
      </c>
      <c r="DR169" s="716">
        <v>10.2</v>
      </c>
      <c r="DS169" s="716">
        <v>10.6</v>
      </c>
      <c r="DT169" s="716">
        <v>11.1</v>
      </c>
      <c r="DU169" s="716">
        <v>11.8</v>
      </c>
      <c r="DV169" s="716">
        <v>12.4</v>
      </c>
      <c r="DW169" s="716">
        <v>12.9</v>
      </c>
      <c r="DX169" s="716">
        <v>13.5</v>
      </c>
      <c r="DY169" s="716">
        <v>14</v>
      </c>
      <c r="DZ169" s="716">
        <v>14.6</v>
      </c>
      <c r="EA169" s="716">
        <v>15.1</v>
      </c>
      <c r="EB169" s="716">
        <v>15.5</v>
      </c>
      <c r="EC169" s="716">
        <v>10.6</v>
      </c>
      <c r="ED169" s="716">
        <v>10.9</v>
      </c>
      <c r="EE169" s="716">
        <v>11.6</v>
      </c>
      <c r="EF169" s="716">
        <v>12.2</v>
      </c>
      <c r="EG169" s="716">
        <v>12.8</v>
      </c>
      <c r="EH169" s="716">
        <v>13.3</v>
      </c>
      <c r="EI169" s="716">
        <v>14</v>
      </c>
      <c r="EJ169" s="716">
        <v>14.5</v>
      </c>
      <c r="EK169" s="716">
        <v>15.1</v>
      </c>
      <c r="EL169" s="716">
        <v>15.7</v>
      </c>
      <c r="EM169" s="716">
        <v>16.2</v>
      </c>
      <c r="EN169" s="716">
        <v>14.6</v>
      </c>
      <c r="EO169" s="716">
        <v>15</v>
      </c>
      <c r="EP169" s="716">
        <v>15.7</v>
      </c>
      <c r="EQ169" s="716">
        <v>16.5</v>
      </c>
      <c r="ER169" s="716">
        <v>17.5</v>
      </c>
      <c r="ES169" s="716">
        <v>18.5</v>
      </c>
      <c r="ET169" s="716">
        <v>19.4</v>
      </c>
      <c r="EU169" s="716">
        <v>20.3</v>
      </c>
      <c r="EV169" s="716">
        <v>21</v>
      </c>
      <c r="EW169" s="716">
        <v>21.9</v>
      </c>
      <c r="EX169" s="716">
        <v>22.6</v>
      </c>
      <c r="EY169" s="716">
        <v>2.8</v>
      </c>
      <c r="EZ169" s="716">
        <v>3.4</v>
      </c>
      <c r="FA169" s="716">
        <v>4</v>
      </c>
      <c r="FB169" s="716">
        <v>4.6</v>
      </c>
      <c r="FC169" s="716">
        <v>5.1</v>
      </c>
      <c r="FD169" s="716">
        <v>5.6</v>
      </c>
      <c r="FE169" s="716">
        <v>6.2</v>
      </c>
      <c r="FF169" s="716">
        <v>6.7</v>
      </c>
      <c r="FG169" s="716">
        <v>6.9</v>
      </c>
      <c r="FH169" s="716">
        <v>7.3</v>
      </c>
      <c r="FI169" s="716">
        <v>7.6</v>
      </c>
      <c r="FJ169" s="726">
        <v>3.25e-6</v>
      </c>
      <c r="FK169" s="726">
        <v>1.38e-8</v>
      </c>
      <c r="FL169" s="726">
        <v>-2.3e-11</v>
      </c>
      <c r="FM169" s="726">
        <v>1.02e-6</v>
      </c>
      <c r="FN169" s="726">
        <v>1.47e-9</v>
      </c>
      <c r="FO169" s="726">
        <v>0.356</v>
      </c>
      <c r="FP169" s="729">
        <v>1</v>
      </c>
      <c r="FQ169" s="729">
        <v>1</v>
      </c>
      <c r="FR169" s="729">
        <v>1</v>
      </c>
      <c r="FS169" s="729">
        <v>1</v>
      </c>
      <c r="FT169" s="729">
        <v>1</v>
      </c>
      <c r="FU169" s="729">
        <v>1</v>
      </c>
      <c r="FV169" s="681">
        <v>1</v>
      </c>
      <c r="FW169" s="729"/>
      <c r="FX169" s="729"/>
      <c r="FY169" s="729"/>
      <c r="FZ169" s="782">
        <v>519</v>
      </c>
      <c r="GA169" s="782">
        <v>558</v>
      </c>
      <c r="GB169" s="681">
        <v>496</v>
      </c>
      <c r="GC169" s="681">
        <v>514</v>
      </c>
      <c r="GD169" s="747">
        <v>0.72</v>
      </c>
      <c r="GE169" s="729"/>
      <c r="GF169" s="681">
        <v>75</v>
      </c>
      <c r="GG169" s="681">
        <v>91</v>
      </c>
      <c r="GH169" s="681">
        <v>67</v>
      </c>
      <c r="GI169" s="681">
        <v>69</v>
      </c>
      <c r="GJ169" s="681">
        <v>71</v>
      </c>
      <c r="GK169" s="681">
        <v>71</v>
      </c>
      <c r="GL169" s="681">
        <v>71</v>
      </c>
      <c r="GM169" s="681">
        <v>73</v>
      </c>
      <c r="GN169" s="681">
        <v>73</v>
      </c>
      <c r="GO169" s="681">
        <v>74</v>
      </c>
      <c r="GP169" s="681">
        <v>74</v>
      </c>
      <c r="GQ169" s="681">
        <v>74</v>
      </c>
      <c r="GR169" s="681">
        <v>75</v>
      </c>
      <c r="GS169" s="681">
        <v>77</v>
      </c>
      <c r="GT169" s="681">
        <v>79</v>
      </c>
      <c r="GU169" s="681">
        <v>79</v>
      </c>
      <c r="GV169" s="681">
        <v>81</v>
      </c>
      <c r="GW169" s="681">
        <v>81</v>
      </c>
      <c r="GX169" s="681">
        <v>81</v>
      </c>
      <c r="GY169" s="681">
        <v>82</v>
      </c>
      <c r="GZ169" s="681">
        <v>82</v>
      </c>
      <c r="HA169" s="681">
        <v>86</v>
      </c>
      <c r="HB169" s="681">
        <v>86</v>
      </c>
      <c r="HC169" s="681">
        <v>182</v>
      </c>
      <c r="HD169" s="750">
        <v>182</v>
      </c>
      <c r="HE169" s="681">
        <v>195</v>
      </c>
      <c r="HF169" s="681">
        <v>403</v>
      </c>
      <c r="HG169" s="681">
        <v>251</v>
      </c>
      <c r="HH169" s="714">
        <v>84.8</v>
      </c>
      <c r="HI169" s="714">
        <v>33.6</v>
      </c>
      <c r="HJ169" s="753">
        <v>0.263</v>
      </c>
      <c r="HK169" s="681">
        <v>53</v>
      </c>
      <c r="HL169" s="685">
        <v>2.11</v>
      </c>
      <c r="HM169" s="747">
        <v>5.1</v>
      </c>
      <c r="HN169" s="729" t="s">
        <v>1345</v>
      </c>
      <c r="HO169" s="714" t="s">
        <v>1346</v>
      </c>
      <c r="HP169" s="714">
        <v>-3.5</v>
      </c>
      <c r="HQ169" s="753">
        <v>0.967</v>
      </c>
      <c r="HR169" s="753">
        <v>0.983</v>
      </c>
      <c r="HS169" s="753">
        <v>0.993</v>
      </c>
      <c r="HT169" s="753">
        <v>0.997</v>
      </c>
      <c r="HU169" s="753">
        <v>0.998</v>
      </c>
      <c r="HV169" s="753">
        <v>0.999</v>
      </c>
      <c r="HW169" s="753">
        <v>0.999</v>
      </c>
      <c r="HX169" s="753">
        <v>0.998</v>
      </c>
      <c r="HY169" s="753">
        <v>0.998</v>
      </c>
      <c r="HZ169" s="753">
        <v>0.997</v>
      </c>
      <c r="IA169" s="753">
        <v>0.998</v>
      </c>
      <c r="IB169" s="753">
        <v>0.997</v>
      </c>
      <c r="IC169" s="753">
        <v>0.997</v>
      </c>
      <c r="ID169" s="753">
        <v>0.996</v>
      </c>
      <c r="IE169" s="753">
        <v>0.996</v>
      </c>
      <c r="IF169" s="753">
        <v>0.994</v>
      </c>
      <c r="IG169" s="753">
        <v>0.993</v>
      </c>
      <c r="IH169" s="753">
        <v>0.985</v>
      </c>
      <c r="II169" s="753">
        <v>0.961</v>
      </c>
      <c r="IJ169" s="753">
        <v>0.943</v>
      </c>
      <c r="IK169" s="753">
        <v>0.915</v>
      </c>
      <c r="IL169" s="753">
        <v>0.857</v>
      </c>
      <c r="IM169" s="753">
        <v>0.675</v>
      </c>
      <c r="IN169" s="753">
        <v>0.195</v>
      </c>
      <c r="IO169" s="753"/>
      <c r="IP169" s="753"/>
      <c r="IQ169" s="753"/>
      <c r="IR169" s="753"/>
      <c r="IS169" s="753"/>
      <c r="IT169" s="753"/>
      <c r="IU169" s="753"/>
      <c r="IV169" s="753"/>
      <c r="IW169" s="753"/>
      <c r="IX169" s="753"/>
      <c r="IY169" s="753"/>
      <c r="IZ169" s="753"/>
      <c r="JA169" s="753">
        <v>0.936</v>
      </c>
      <c r="JB169" s="753">
        <v>0.966</v>
      </c>
      <c r="JC169" s="753">
        <v>0.987</v>
      </c>
      <c r="JD169" s="753">
        <v>0.993</v>
      </c>
      <c r="JE169" s="753">
        <v>0.996</v>
      </c>
      <c r="JF169" s="753">
        <v>0.997</v>
      </c>
      <c r="JG169" s="753">
        <v>0.998</v>
      </c>
      <c r="JH169" s="753">
        <v>0.996</v>
      </c>
      <c r="JI169" s="753">
        <v>0.995</v>
      </c>
      <c r="JJ169" s="753">
        <v>0.995</v>
      </c>
      <c r="JK169" s="753">
        <v>0.995</v>
      </c>
      <c r="JL169" s="753">
        <v>0.994</v>
      </c>
      <c r="JM169" s="753">
        <v>0.993</v>
      </c>
      <c r="JN169" s="753">
        <v>0.992</v>
      </c>
      <c r="JO169" s="753">
        <v>0.991</v>
      </c>
      <c r="JP169" s="753">
        <v>0.989</v>
      </c>
      <c r="JQ169" s="753">
        <v>0.986</v>
      </c>
      <c r="JR169" s="753">
        <v>0.97</v>
      </c>
      <c r="JS169" s="753">
        <v>0.924</v>
      </c>
      <c r="JT169" s="753">
        <v>0.889</v>
      </c>
      <c r="JU169" s="753">
        <v>0.838</v>
      </c>
      <c r="JV169" s="753">
        <v>0.734</v>
      </c>
      <c r="JW169" s="753">
        <v>0.456</v>
      </c>
      <c r="JX169" s="753">
        <v>0.038</v>
      </c>
      <c r="JY169" s="753"/>
      <c r="JZ169" s="753"/>
      <c r="KA169" s="753"/>
      <c r="KB169" s="753"/>
      <c r="KC169" s="753"/>
      <c r="KD169" s="753"/>
      <c r="KE169" s="753"/>
      <c r="KF169" s="753"/>
      <c r="KG169" s="753"/>
      <c r="KH169" s="753"/>
      <c r="KI169" s="753"/>
      <c r="KJ169" s="753"/>
      <c r="KK169" s="765" t="s">
        <v>281</v>
      </c>
      <c r="KL169" s="738">
        <v>273</v>
      </c>
      <c r="KM169" s="738">
        <v>1392</v>
      </c>
      <c r="KN169" s="646" t="s">
        <v>282</v>
      </c>
      <c r="KO169" s="646" t="s">
        <v>1343</v>
      </c>
      <c r="KP169" s="779" t="s">
        <v>1344</v>
      </c>
      <c r="KQ169" s="789"/>
      <c r="KR169" s="750"/>
      <c r="KS169" s="789"/>
      <c r="KT169" s="770"/>
      <c r="KU169" s="789" t="s">
        <v>1347</v>
      </c>
      <c r="KV169" s="790" t="s">
        <v>1344</v>
      </c>
      <c r="KW169" s="791"/>
      <c r="KX169" s="790"/>
      <c r="KY169" s="789"/>
      <c r="KZ169" s="770"/>
    </row>
    <row r="170" s="628" customFormat="1" customHeight="1" spans="1:312">
      <c r="A170" s="682" t="s">
        <v>277</v>
      </c>
      <c r="B170" s="683">
        <v>166</v>
      </c>
      <c r="C170" s="684" t="s">
        <v>1348</v>
      </c>
      <c r="D170" s="779">
        <v>497816</v>
      </c>
      <c r="E170" s="685">
        <v>81.61</v>
      </c>
      <c r="F170" s="685">
        <v>81.2</v>
      </c>
      <c r="G170" s="688">
        <v>0.00609</v>
      </c>
      <c r="H170" s="686">
        <v>0.006139</v>
      </c>
      <c r="I170" s="696">
        <v>1.4795</v>
      </c>
      <c r="J170" s="696">
        <v>1.48263</v>
      </c>
      <c r="K170" s="696">
        <v>1.48606</v>
      </c>
      <c r="L170" s="696">
        <v>1.4891</v>
      </c>
      <c r="M170" s="696">
        <v>1.48965</v>
      </c>
      <c r="N170" s="696">
        <v>1.4901</v>
      </c>
      <c r="O170" s="696">
        <v>1.49183</v>
      </c>
      <c r="P170" s="696">
        <v>1.49301</v>
      </c>
      <c r="Q170" s="697">
        <v>1.49407</v>
      </c>
      <c r="R170" s="697">
        <v>1.49514</v>
      </c>
      <c r="S170" s="697">
        <v>1.49543</v>
      </c>
      <c r="T170" s="701">
        <v>1.49571</v>
      </c>
      <c r="U170" s="697">
        <v>1.49694</v>
      </c>
      <c r="V170" s="697">
        <v>1.497</v>
      </c>
      <c r="W170" s="697">
        <v>1.49845</v>
      </c>
      <c r="X170" s="697">
        <v>1.50123</v>
      </c>
      <c r="Y170" s="697">
        <v>1.50157</v>
      </c>
      <c r="Z170" s="697">
        <v>1.50451</v>
      </c>
      <c r="AA170" s="697">
        <v>1.50721</v>
      </c>
      <c r="AB170" s="697">
        <v>1.51173</v>
      </c>
      <c r="AC170" s="704">
        <v>2.21807952</v>
      </c>
      <c r="AD170" s="704">
        <v>-0.00567922113</v>
      </c>
      <c r="AE170" s="704">
        <v>0.00828756139</v>
      </c>
      <c r="AF170" s="704">
        <v>9.66891434e-5</v>
      </c>
      <c r="AG170" s="704">
        <v>3.56668643e-6</v>
      </c>
      <c r="AH170" s="704">
        <v>-3.63065113e-7</v>
      </c>
      <c r="AI170" s="709">
        <v>0.3054</v>
      </c>
      <c r="AJ170" s="709">
        <v>0.2381</v>
      </c>
      <c r="AK170" s="709">
        <v>0.5386</v>
      </c>
      <c r="AL170" s="709">
        <v>0.2557</v>
      </c>
      <c r="AM170" s="709">
        <v>0.2362</v>
      </c>
      <c r="AN170" s="709">
        <v>0.4789</v>
      </c>
      <c r="AO170" s="709">
        <v>0.0113</v>
      </c>
      <c r="AP170" s="709">
        <v>0.0305</v>
      </c>
      <c r="AQ170" s="709">
        <v>-0.108</v>
      </c>
      <c r="AR170" s="709">
        <v>-0.0528</v>
      </c>
      <c r="AS170" s="714">
        <v>-5.4</v>
      </c>
      <c r="AT170" s="716">
        <v>-5.6</v>
      </c>
      <c r="AU170" s="716">
        <v>-5.8</v>
      </c>
      <c r="AV170" s="716">
        <v>-6.1</v>
      </c>
      <c r="AW170" s="716">
        <v>-6.4</v>
      </c>
      <c r="AX170" s="716">
        <v>-6.6</v>
      </c>
      <c r="AY170" s="716">
        <v>-6.8</v>
      </c>
      <c r="AZ170" s="716">
        <v>-7</v>
      </c>
      <c r="BA170" s="716">
        <v>-7.2</v>
      </c>
      <c r="BB170" s="716">
        <v>-7.5</v>
      </c>
      <c r="BC170" s="716">
        <v>-7.9</v>
      </c>
      <c r="BD170" s="716">
        <v>-5.3</v>
      </c>
      <c r="BE170" s="716">
        <v>-5.4</v>
      </c>
      <c r="BF170" s="716">
        <v>-5.8</v>
      </c>
      <c r="BG170" s="716">
        <v>-6</v>
      </c>
      <c r="BH170" s="716">
        <v>-6.3</v>
      </c>
      <c r="BI170" s="716">
        <v>-6.5</v>
      </c>
      <c r="BJ170" s="716">
        <v>-6.8</v>
      </c>
      <c r="BK170" s="716">
        <v>-6.9</v>
      </c>
      <c r="BL170" s="716">
        <v>-7.2</v>
      </c>
      <c r="BM170" s="716">
        <v>-7.5</v>
      </c>
      <c r="BN170" s="716">
        <v>-7.8</v>
      </c>
      <c r="BO170" s="716">
        <v>-5.3</v>
      </c>
      <c r="BP170" s="716">
        <v>-5.3</v>
      </c>
      <c r="BQ170" s="716">
        <v>-5.7</v>
      </c>
      <c r="BR170" s="716">
        <v>-5.9</v>
      </c>
      <c r="BS170" s="716">
        <v>-6.2</v>
      </c>
      <c r="BT170" s="716">
        <v>-6.4</v>
      </c>
      <c r="BU170" s="716">
        <v>-6.7</v>
      </c>
      <c r="BV170" s="716">
        <v>-6.9</v>
      </c>
      <c r="BW170" s="716">
        <v>-7.1</v>
      </c>
      <c r="BX170" s="716">
        <v>-7.4</v>
      </c>
      <c r="BY170" s="716">
        <v>-7.7</v>
      </c>
      <c r="BZ170" s="716">
        <v>-5.2</v>
      </c>
      <c r="CA170" s="716">
        <v>-5.3</v>
      </c>
      <c r="CB170" s="716">
        <v>-5.7</v>
      </c>
      <c r="CC170" s="716">
        <v>-5.9</v>
      </c>
      <c r="CD170" s="716">
        <v>-6.2</v>
      </c>
      <c r="CE170" s="716">
        <v>-6.4</v>
      </c>
      <c r="CF170" s="716">
        <v>-6.6</v>
      </c>
      <c r="CG170" s="716">
        <v>-6.9</v>
      </c>
      <c r="CH170" s="716">
        <v>-7.1</v>
      </c>
      <c r="CI170" s="716">
        <v>-7.4</v>
      </c>
      <c r="CJ170" s="716">
        <v>-7.6</v>
      </c>
      <c r="CK170" s="716">
        <v>-5.1</v>
      </c>
      <c r="CL170" s="716">
        <v>-5.3</v>
      </c>
      <c r="CM170" s="716">
        <v>-5.7</v>
      </c>
      <c r="CN170" s="716">
        <v>-5.9</v>
      </c>
      <c r="CO170" s="716">
        <v>-6.2</v>
      </c>
      <c r="CP170" s="716">
        <v>-6.5</v>
      </c>
      <c r="CQ170" s="716">
        <v>-6.6</v>
      </c>
      <c r="CR170" s="716">
        <v>-6.9</v>
      </c>
      <c r="CS170" s="716">
        <v>-7.1</v>
      </c>
      <c r="CT170" s="716">
        <v>-7.4</v>
      </c>
      <c r="CU170" s="716">
        <v>-7.6</v>
      </c>
      <c r="CV170" s="716">
        <v>-5</v>
      </c>
      <c r="CW170" s="716">
        <v>-5.3</v>
      </c>
      <c r="CX170" s="716">
        <v>-5.6</v>
      </c>
      <c r="CY170" s="716">
        <v>-5.9</v>
      </c>
      <c r="CZ170" s="716">
        <v>-6</v>
      </c>
      <c r="DA170" s="716">
        <v>-6.4</v>
      </c>
      <c r="DB170" s="716">
        <v>-6.6</v>
      </c>
      <c r="DC170" s="716">
        <v>-6.9</v>
      </c>
      <c r="DD170" s="716">
        <v>-7.1</v>
      </c>
      <c r="DE170" s="716">
        <v>-7.3</v>
      </c>
      <c r="DF170" s="716">
        <v>-7.5</v>
      </c>
      <c r="DG170" s="716">
        <v>-4.9</v>
      </c>
      <c r="DH170" s="716">
        <v>-5.2</v>
      </c>
      <c r="DI170" s="716">
        <v>-5.5</v>
      </c>
      <c r="DJ170" s="716">
        <v>-5.8</v>
      </c>
      <c r="DK170" s="716">
        <v>-6</v>
      </c>
      <c r="DL170" s="716">
        <v>-6.3</v>
      </c>
      <c r="DM170" s="716">
        <v>-6.5</v>
      </c>
      <c r="DN170" s="716">
        <v>-6.8</v>
      </c>
      <c r="DO170" s="716">
        <v>-6.9</v>
      </c>
      <c r="DP170" s="716">
        <v>-7.1</v>
      </c>
      <c r="DQ170" s="716">
        <v>-7.4</v>
      </c>
      <c r="DR170" s="716">
        <v>-4.6</v>
      </c>
      <c r="DS170" s="716">
        <v>-5.1</v>
      </c>
      <c r="DT170" s="716">
        <v>-5.2</v>
      </c>
      <c r="DU170" s="716">
        <v>-5.7</v>
      </c>
      <c r="DV170" s="716">
        <v>-5.9</v>
      </c>
      <c r="DW170" s="716">
        <v>-6</v>
      </c>
      <c r="DX170" s="716">
        <v>-6.3</v>
      </c>
      <c r="DY170" s="716">
        <v>-6.5</v>
      </c>
      <c r="DZ170" s="716">
        <v>-6.8</v>
      </c>
      <c r="EA170" s="716">
        <v>-7.1</v>
      </c>
      <c r="EB170" s="716">
        <v>-7.3</v>
      </c>
      <c r="EC170" s="716">
        <v>-4.6</v>
      </c>
      <c r="ED170" s="716">
        <v>-5</v>
      </c>
      <c r="EE170" s="716">
        <v>-5.2</v>
      </c>
      <c r="EF170" s="716">
        <v>-5.6</v>
      </c>
      <c r="EG170" s="716">
        <v>-5.8</v>
      </c>
      <c r="EH170" s="716">
        <v>-6</v>
      </c>
      <c r="EI170" s="716">
        <v>-6.2</v>
      </c>
      <c r="EJ170" s="716">
        <v>-6.4</v>
      </c>
      <c r="EK170" s="716">
        <v>-6.7</v>
      </c>
      <c r="EL170" s="716">
        <v>-7</v>
      </c>
      <c r="EM170" s="716">
        <v>-7.2</v>
      </c>
      <c r="EN170" s="716">
        <v>-4.5</v>
      </c>
      <c r="EO170" s="716">
        <v>-4.8</v>
      </c>
      <c r="EP170" s="716">
        <v>-5.1</v>
      </c>
      <c r="EQ170" s="716">
        <v>-5.5</v>
      </c>
      <c r="ER170" s="716">
        <v>-5.7</v>
      </c>
      <c r="ES170" s="716">
        <v>-5.9</v>
      </c>
      <c r="ET170" s="716">
        <v>-6</v>
      </c>
      <c r="EU170" s="716">
        <v>-6.1</v>
      </c>
      <c r="EV170" s="716">
        <v>-6.4</v>
      </c>
      <c r="EW170" s="716">
        <v>-6.8</v>
      </c>
      <c r="EX170" s="716">
        <v>-7.1</v>
      </c>
      <c r="EY170" s="716">
        <v>-7.5</v>
      </c>
      <c r="EZ170" s="716">
        <v>-7.3</v>
      </c>
      <c r="FA170" s="716">
        <v>-7.4</v>
      </c>
      <c r="FB170" s="716">
        <v>-7.4</v>
      </c>
      <c r="FC170" s="716">
        <v>-7.5</v>
      </c>
      <c r="FD170" s="716">
        <v>-7.6</v>
      </c>
      <c r="FE170" s="716">
        <v>-7.6</v>
      </c>
      <c r="FF170" s="716">
        <v>-7.8</v>
      </c>
      <c r="FG170" s="716">
        <v>-7.9</v>
      </c>
      <c r="FH170" s="716">
        <v>-8.1</v>
      </c>
      <c r="FI170" s="716">
        <v>-8.3</v>
      </c>
      <c r="FJ170" s="726">
        <v>-1.9e-5</v>
      </c>
      <c r="FK170" s="726">
        <v>-2.71e-9</v>
      </c>
      <c r="FL170" s="726">
        <v>-2.9e-11</v>
      </c>
      <c r="FM170" s="726">
        <v>3.52e-7</v>
      </c>
      <c r="FN170" s="726">
        <v>9.31e-11</v>
      </c>
      <c r="FO170" s="726">
        <v>0.228</v>
      </c>
      <c r="FP170" s="729">
        <v>1</v>
      </c>
      <c r="FQ170" s="729">
        <v>2</v>
      </c>
      <c r="FR170" s="729">
        <v>1</v>
      </c>
      <c r="FS170" s="729">
        <v>3</v>
      </c>
      <c r="FT170" s="729">
        <v>2</v>
      </c>
      <c r="FU170" s="729">
        <v>2</v>
      </c>
      <c r="FV170" s="681">
        <v>1</v>
      </c>
      <c r="FW170" s="729"/>
      <c r="FX170" s="729"/>
      <c r="FY170" s="729"/>
      <c r="FZ170" s="782">
        <v>464</v>
      </c>
      <c r="GA170" s="782">
        <v>489</v>
      </c>
      <c r="GB170" s="681">
        <v>421</v>
      </c>
      <c r="GC170" s="681">
        <v>442</v>
      </c>
      <c r="GD170" s="747">
        <v>0.74</v>
      </c>
      <c r="GE170" s="729"/>
      <c r="GF170" s="681">
        <v>124</v>
      </c>
      <c r="GG170" s="681">
        <v>152</v>
      </c>
      <c r="GH170" s="681">
        <v>115</v>
      </c>
      <c r="GI170" s="681">
        <v>118</v>
      </c>
      <c r="GJ170" s="681">
        <v>121</v>
      </c>
      <c r="GK170" s="681">
        <v>123</v>
      </c>
      <c r="GL170" s="681">
        <v>125</v>
      </c>
      <c r="GM170" s="681">
        <v>127</v>
      </c>
      <c r="GN170" s="681">
        <v>128</v>
      </c>
      <c r="GO170" s="681">
        <v>130</v>
      </c>
      <c r="GP170" s="681">
        <v>133</v>
      </c>
      <c r="GQ170" s="681">
        <v>136</v>
      </c>
      <c r="GR170" s="681">
        <v>138</v>
      </c>
      <c r="GS170" s="681">
        <v>140</v>
      </c>
      <c r="GT170" s="681">
        <v>142</v>
      </c>
      <c r="GU170" s="681">
        <v>144</v>
      </c>
      <c r="GV170" s="681">
        <v>145</v>
      </c>
      <c r="GW170" s="681">
        <v>146</v>
      </c>
      <c r="GX170" s="681">
        <v>147</v>
      </c>
      <c r="GY170" s="681">
        <v>148</v>
      </c>
      <c r="GZ170" s="681">
        <v>149</v>
      </c>
      <c r="HA170" s="681">
        <v>150</v>
      </c>
      <c r="HB170" s="681">
        <v>151</v>
      </c>
      <c r="HC170" s="681"/>
      <c r="HD170" s="750">
        <v>58</v>
      </c>
      <c r="HE170" s="681"/>
      <c r="HF170" s="681">
        <v>350</v>
      </c>
      <c r="HG170" s="681">
        <v>385</v>
      </c>
      <c r="HH170" s="714">
        <v>71.6</v>
      </c>
      <c r="HI170" s="714">
        <v>27.4</v>
      </c>
      <c r="HJ170" s="753">
        <v>0.307</v>
      </c>
      <c r="HK170" s="681">
        <v>33</v>
      </c>
      <c r="HL170" s="685">
        <v>0.69</v>
      </c>
      <c r="HM170" s="747">
        <v>3.67</v>
      </c>
      <c r="HN170" s="729" t="s">
        <v>279</v>
      </c>
      <c r="HO170" s="714" t="s">
        <v>280</v>
      </c>
      <c r="HP170" s="714">
        <v>-2.4</v>
      </c>
      <c r="HQ170" s="753">
        <v>0.999</v>
      </c>
      <c r="HR170" s="753">
        <v>0.999</v>
      </c>
      <c r="HS170" s="753">
        <v>0.999</v>
      </c>
      <c r="HT170" s="753">
        <v>0.999</v>
      </c>
      <c r="HU170" s="753">
        <v>0.999</v>
      </c>
      <c r="HV170" s="753">
        <v>0.999</v>
      </c>
      <c r="HW170" s="753">
        <v>0.999</v>
      </c>
      <c r="HX170" s="753">
        <v>0.999</v>
      </c>
      <c r="HY170" s="753">
        <v>0.999</v>
      </c>
      <c r="HZ170" s="753">
        <v>0.999</v>
      </c>
      <c r="IA170" s="753">
        <v>0.999</v>
      </c>
      <c r="IB170" s="753">
        <v>0.999</v>
      </c>
      <c r="IC170" s="753">
        <v>0.999</v>
      </c>
      <c r="ID170" s="753">
        <v>0.999</v>
      </c>
      <c r="IE170" s="753">
        <v>0.999</v>
      </c>
      <c r="IF170" s="753">
        <v>0.999</v>
      </c>
      <c r="IG170" s="753">
        <v>0.999</v>
      </c>
      <c r="IH170" s="753">
        <v>0.999</v>
      </c>
      <c r="II170" s="753">
        <v>0.999</v>
      </c>
      <c r="IJ170" s="753">
        <v>0.999</v>
      </c>
      <c r="IK170" s="753">
        <v>0.999</v>
      </c>
      <c r="IL170" s="753">
        <v>0.999</v>
      </c>
      <c r="IM170" s="753">
        <v>0.999</v>
      </c>
      <c r="IN170" s="753">
        <v>0.999</v>
      </c>
      <c r="IO170" s="753">
        <v>0.999</v>
      </c>
      <c r="IP170" s="753">
        <v>0.999</v>
      </c>
      <c r="IQ170" s="753">
        <v>0.995</v>
      </c>
      <c r="IR170" s="753">
        <v>0.984</v>
      </c>
      <c r="IS170" s="753">
        <v>0.97</v>
      </c>
      <c r="IT170" s="753">
        <v>0.942</v>
      </c>
      <c r="IU170" s="753">
        <v>0.886</v>
      </c>
      <c r="IV170" s="753">
        <v>0.788</v>
      </c>
      <c r="IW170" s="753">
        <v>0.643</v>
      </c>
      <c r="IX170" s="753">
        <v>0.466</v>
      </c>
      <c r="IY170" s="753">
        <v>0.298</v>
      </c>
      <c r="IZ170" s="753">
        <v>0.176</v>
      </c>
      <c r="JA170" s="753">
        <v>0.998</v>
      </c>
      <c r="JB170" s="753">
        <v>0.998</v>
      </c>
      <c r="JC170" s="753">
        <v>0.998</v>
      </c>
      <c r="JD170" s="753">
        <v>0.998</v>
      </c>
      <c r="JE170" s="753">
        <v>0.998</v>
      </c>
      <c r="JF170" s="753">
        <v>0.998</v>
      </c>
      <c r="JG170" s="753">
        <v>0.998</v>
      </c>
      <c r="JH170" s="753">
        <v>0.998</v>
      </c>
      <c r="JI170" s="753">
        <v>0.998</v>
      </c>
      <c r="JJ170" s="753">
        <v>0.998</v>
      </c>
      <c r="JK170" s="753">
        <v>0.998</v>
      </c>
      <c r="JL170" s="753">
        <v>0.998</v>
      </c>
      <c r="JM170" s="753">
        <v>0.998</v>
      </c>
      <c r="JN170" s="753">
        <v>0.998</v>
      </c>
      <c r="JO170" s="753">
        <v>0.998</v>
      </c>
      <c r="JP170" s="753">
        <v>0.998</v>
      </c>
      <c r="JQ170" s="753">
        <v>0.998</v>
      </c>
      <c r="JR170" s="753">
        <v>0.998</v>
      </c>
      <c r="JS170" s="753">
        <v>0.998</v>
      </c>
      <c r="JT170" s="753">
        <v>0.998</v>
      </c>
      <c r="JU170" s="753">
        <v>0.998</v>
      </c>
      <c r="JV170" s="753">
        <v>0.998</v>
      </c>
      <c r="JW170" s="753">
        <v>0.998</v>
      </c>
      <c r="JX170" s="753">
        <v>0.998</v>
      </c>
      <c r="JY170" s="753">
        <v>0.998</v>
      </c>
      <c r="JZ170" s="753">
        <v>0.998</v>
      </c>
      <c r="KA170" s="753">
        <v>0.993</v>
      </c>
      <c r="KB170" s="753">
        <v>0.975</v>
      </c>
      <c r="KC170" s="753">
        <v>0.948</v>
      </c>
      <c r="KD170" s="753">
        <v>0.893</v>
      </c>
      <c r="KE170" s="753">
        <v>0.788</v>
      </c>
      <c r="KF170" s="753">
        <v>0.621</v>
      </c>
      <c r="KG170" s="753">
        <v>0.41</v>
      </c>
      <c r="KH170" s="753">
        <v>0.212</v>
      </c>
      <c r="KI170" s="753">
        <v>0.086</v>
      </c>
      <c r="KJ170" s="753">
        <v>0.031</v>
      </c>
      <c r="KK170" s="765" t="s">
        <v>1349</v>
      </c>
      <c r="KL170" s="738">
        <v>127</v>
      </c>
      <c r="KM170" s="738">
        <v>466</v>
      </c>
      <c r="KN170" s="646" t="s">
        <v>282</v>
      </c>
      <c r="KO170" s="646" t="s">
        <v>1348</v>
      </c>
      <c r="KP170" s="779">
        <v>497816</v>
      </c>
      <c r="KQ170" s="789"/>
      <c r="KR170" s="750"/>
      <c r="KS170" s="789" t="s">
        <v>1350</v>
      </c>
      <c r="KT170" s="770" t="s">
        <v>288</v>
      </c>
      <c r="KU170" s="789" t="s">
        <v>1351</v>
      </c>
      <c r="KV170" s="790">
        <v>497816</v>
      </c>
      <c r="KW170" s="791" t="s">
        <v>287</v>
      </c>
      <c r="KX170" s="790" t="s">
        <v>288</v>
      </c>
      <c r="KY170" s="789"/>
      <c r="KZ170" s="770"/>
    </row>
    <row r="171" s="628" customFormat="1" customHeight="1" spans="1:312">
      <c r="A171" s="682" t="s">
        <v>374</v>
      </c>
      <c r="B171" s="683">
        <v>167</v>
      </c>
      <c r="C171" s="780" t="s">
        <v>1352</v>
      </c>
      <c r="D171" s="679">
        <v>459902</v>
      </c>
      <c r="E171" s="685">
        <v>90.19</v>
      </c>
      <c r="F171" s="685">
        <v>89.77</v>
      </c>
      <c r="G171" s="686">
        <v>0.005085</v>
      </c>
      <c r="H171" s="686">
        <v>0.005122</v>
      </c>
      <c r="I171" s="696">
        <v>1.44358</v>
      </c>
      <c r="J171" s="696">
        <v>1.4463</v>
      </c>
      <c r="K171" s="696">
        <v>1.44928</v>
      </c>
      <c r="L171" s="696">
        <v>1.45191</v>
      </c>
      <c r="M171" s="696">
        <v>1.45238</v>
      </c>
      <c r="N171" s="696">
        <v>1.45277</v>
      </c>
      <c r="O171" s="696">
        <v>1.45425</v>
      </c>
      <c r="P171" s="696">
        <v>1.45524</v>
      </c>
      <c r="Q171" s="697">
        <v>1.45615</v>
      </c>
      <c r="R171" s="697">
        <v>1.45704</v>
      </c>
      <c r="S171" s="697">
        <v>1.45729</v>
      </c>
      <c r="T171" s="701">
        <v>1.45752</v>
      </c>
      <c r="U171" s="697">
        <v>1.45855</v>
      </c>
      <c r="V171" s="697">
        <v>1.4586</v>
      </c>
      <c r="W171" s="697">
        <v>1.45981</v>
      </c>
      <c r="X171" s="697">
        <v>1.46212</v>
      </c>
      <c r="Y171" s="697">
        <v>1.46241</v>
      </c>
      <c r="Z171" s="697">
        <v>1.46486</v>
      </c>
      <c r="AA171" s="697">
        <v>1.4671</v>
      </c>
      <c r="AB171" s="697">
        <v>1.47085</v>
      </c>
      <c r="AC171" s="704">
        <v>2.10866977</v>
      </c>
      <c r="AD171" s="704">
        <v>-0.00481589397</v>
      </c>
      <c r="AE171" s="704">
        <v>0.00702478609</v>
      </c>
      <c r="AF171" s="704">
        <v>-2.48667024e-5</v>
      </c>
      <c r="AG171" s="704">
        <v>1.78185408e-5</v>
      </c>
      <c r="AH171" s="704">
        <v>-1.09874507e-6</v>
      </c>
      <c r="AI171" s="709">
        <v>0.3068</v>
      </c>
      <c r="AJ171" s="709">
        <v>0.238</v>
      </c>
      <c r="AK171" s="709">
        <v>0.5388</v>
      </c>
      <c r="AL171" s="709">
        <v>0.2558</v>
      </c>
      <c r="AM171" s="709">
        <v>0.2362</v>
      </c>
      <c r="AN171" s="709">
        <v>0.4783</v>
      </c>
      <c r="AO171" s="709">
        <v>0.0139</v>
      </c>
      <c r="AP171" s="709">
        <v>0.045</v>
      </c>
      <c r="AQ171" s="709">
        <v>-0.1374</v>
      </c>
      <c r="AR171" s="709">
        <v>-0.0682</v>
      </c>
      <c r="AS171" s="714">
        <v>-7</v>
      </c>
      <c r="AT171" s="714">
        <v>-7.2</v>
      </c>
      <c r="AU171" s="714">
        <v>-7.3</v>
      </c>
      <c r="AV171" s="714">
        <v>-7.3</v>
      </c>
      <c r="AW171" s="714">
        <v>-7.5</v>
      </c>
      <c r="AX171" s="714">
        <v>-7.6</v>
      </c>
      <c r="AY171" s="714">
        <v>-7.9</v>
      </c>
      <c r="AZ171" s="714">
        <v>-8</v>
      </c>
      <c r="BA171" s="714">
        <v>-8.1</v>
      </c>
      <c r="BB171" s="714">
        <v>-8.2</v>
      </c>
      <c r="BC171" s="714">
        <v>-8.4</v>
      </c>
      <c r="BD171" s="714">
        <v>-6.7</v>
      </c>
      <c r="BE171" s="714">
        <v>-6.8</v>
      </c>
      <c r="BF171" s="714">
        <v>-6.9</v>
      </c>
      <c r="BG171" s="714">
        <v>-7</v>
      </c>
      <c r="BH171" s="714">
        <v>-7.1</v>
      </c>
      <c r="BI171" s="714">
        <v>-7.3</v>
      </c>
      <c r="BJ171" s="714">
        <v>-7.6</v>
      </c>
      <c r="BK171" s="714">
        <v>-7.8</v>
      </c>
      <c r="BL171" s="714">
        <v>-8.1</v>
      </c>
      <c r="BM171" s="714">
        <v>-8</v>
      </c>
      <c r="BN171" s="714">
        <v>-8.3</v>
      </c>
      <c r="BO171" s="714">
        <v>-6.5</v>
      </c>
      <c r="BP171" s="714">
        <v>-6.5</v>
      </c>
      <c r="BQ171" s="714">
        <v>-6.7</v>
      </c>
      <c r="BR171" s="714">
        <v>-6.8</v>
      </c>
      <c r="BS171" s="714">
        <v>-7</v>
      </c>
      <c r="BT171" s="714">
        <v>-7.2</v>
      </c>
      <c r="BU171" s="714">
        <v>-7.5</v>
      </c>
      <c r="BV171" s="714">
        <v>-7.7</v>
      </c>
      <c r="BW171" s="714">
        <v>-8</v>
      </c>
      <c r="BX171" s="714">
        <v>-8</v>
      </c>
      <c r="BY171" s="714">
        <v>-8.3</v>
      </c>
      <c r="BZ171" s="714">
        <v>-6.4</v>
      </c>
      <c r="CA171" s="714">
        <v>-6.5</v>
      </c>
      <c r="CB171" s="714">
        <v>-6.7</v>
      </c>
      <c r="CC171" s="714">
        <v>-6.8</v>
      </c>
      <c r="CD171" s="714">
        <v>-6.9</v>
      </c>
      <c r="CE171" s="714">
        <v>-7.2</v>
      </c>
      <c r="CF171" s="714">
        <v>-7.5</v>
      </c>
      <c r="CG171" s="714">
        <v>-7.6</v>
      </c>
      <c r="CH171" s="714">
        <v>-7.9</v>
      </c>
      <c r="CI171" s="714">
        <v>-8</v>
      </c>
      <c r="CJ171" s="714">
        <v>-8.2</v>
      </c>
      <c r="CK171" s="714">
        <v>-6.2</v>
      </c>
      <c r="CL171" s="714">
        <v>-6.4</v>
      </c>
      <c r="CM171" s="714">
        <v>-6.6</v>
      </c>
      <c r="CN171" s="714">
        <v>-6.7</v>
      </c>
      <c r="CO171" s="714">
        <v>-6.8</v>
      </c>
      <c r="CP171" s="714">
        <v>-7.1</v>
      </c>
      <c r="CQ171" s="714">
        <v>-7.4</v>
      </c>
      <c r="CR171" s="714">
        <v>-7.4</v>
      </c>
      <c r="CS171" s="714">
        <v>-7.8</v>
      </c>
      <c r="CT171" s="714">
        <v>-7.9</v>
      </c>
      <c r="CU171" s="714">
        <v>-8.2</v>
      </c>
      <c r="CV171" s="714">
        <v>-6</v>
      </c>
      <c r="CW171" s="714">
        <v>-6.2</v>
      </c>
      <c r="CX171" s="714">
        <v>-6.4</v>
      </c>
      <c r="CY171" s="714">
        <v>-6.5</v>
      </c>
      <c r="CZ171" s="714">
        <v>-6.5</v>
      </c>
      <c r="DA171" s="714">
        <v>-6.7</v>
      </c>
      <c r="DB171" s="714">
        <v>-7</v>
      </c>
      <c r="DC171" s="714">
        <v>-7.2</v>
      </c>
      <c r="DD171" s="714">
        <v>-7.6</v>
      </c>
      <c r="DE171" s="714">
        <v>-7.8</v>
      </c>
      <c r="DF171" s="714">
        <v>-8</v>
      </c>
      <c r="DG171" s="714">
        <v>-5.9</v>
      </c>
      <c r="DH171" s="715">
        <v>-6</v>
      </c>
      <c r="DI171" s="715">
        <v>-6.3</v>
      </c>
      <c r="DJ171" s="715">
        <v>-6.5</v>
      </c>
      <c r="DK171" s="715">
        <v>-6.5</v>
      </c>
      <c r="DL171" s="715">
        <v>-6.6</v>
      </c>
      <c r="DM171" s="715">
        <v>-7</v>
      </c>
      <c r="DN171" s="714">
        <v>-7.1</v>
      </c>
      <c r="DO171" s="714">
        <v>-7.4</v>
      </c>
      <c r="DP171" s="714">
        <v>-7.7</v>
      </c>
      <c r="DQ171" s="714">
        <v>-8</v>
      </c>
      <c r="DR171" s="714">
        <v>-5.6</v>
      </c>
      <c r="DS171" s="715">
        <v>-5.8</v>
      </c>
      <c r="DT171" s="715">
        <v>-6</v>
      </c>
      <c r="DU171" s="715">
        <v>-6.1</v>
      </c>
      <c r="DV171" s="715">
        <v>-6.2</v>
      </c>
      <c r="DW171" s="715">
        <v>-6.5</v>
      </c>
      <c r="DX171" s="715">
        <v>-6.8</v>
      </c>
      <c r="DY171" s="714">
        <v>-6.9</v>
      </c>
      <c r="DZ171" s="714">
        <v>-7.2</v>
      </c>
      <c r="EA171" s="714">
        <v>-7.5</v>
      </c>
      <c r="EB171" s="714">
        <v>-7.9</v>
      </c>
      <c r="EC171" s="714">
        <v>-5.6</v>
      </c>
      <c r="ED171" s="715">
        <v>-5.8</v>
      </c>
      <c r="EE171" s="715">
        <v>-5.9</v>
      </c>
      <c r="EF171" s="715">
        <v>-6.1</v>
      </c>
      <c r="EG171" s="715">
        <v>-6.2</v>
      </c>
      <c r="EH171" s="715">
        <v>-6.5</v>
      </c>
      <c r="EI171" s="715">
        <v>-6.7</v>
      </c>
      <c r="EJ171" s="714">
        <v>-6.8</v>
      </c>
      <c r="EK171" s="714">
        <v>-7.2</v>
      </c>
      <c r="EL171" s="714">
        <v>-7.5</v>
      </c>
      <c r="EM171" s="714">
        <v>-7.8</v>
      </c>
      <c r="EN171" s="714">
        <v>-5.3</v>
      </c>
      <c r="EO171" s="715">
        <v>-5.5</v>
      </c>
      <c r="EP171" s="715">
        <v>-5.7</v>
      </c>
      <c r="EQ171" s="715">
        <v>-6</v>
      </c>
      <c r="ER171" s="715">
        <v>-6.2</v>
      </c>
      <c r="ES171" s="715">
        <v>-6.3</v>
      </c>
      <c r="ET171" s="715">
        <v>-6.6</v>
      </c>
      <c r="EU171" s="714">
        <v>-6.7</v>
      </c>
      <c r="EV171" s="714">
        <v>-7</v>
      </c>
      <c r="EW171" s="714">
        <v>-7.3</v>
      </c>
      <c r="EX171" s="714">
        <v>-7.6</v>
      </c>
      <c r="EY171" s="714">
        <v>-8.5</v>
      </c>
      <c r="EZ171" s="715">
        <v>-8.4</v>
      </c>
      <c r="FA171" s="715">
        <v>-8.3</v>
      </c>
      <c r="FB171" s="715">
        <v>-8.2</v>
      </c>
      <c r="FC171" s="715">
        <v>-8.1</v>
      </c>
      <c r="FD171" s="715">
        <v>-8.2</v>
      </c>
      <c r="FE171" s="715">
        <v>-8.4</v>
      </c>
      <c r="FF171" s="714">
        <v>-8.3</v>
      </c>
      <c r="FG171" s="714">
        <v>-8.6</v>
      </c>
      <c r="FH171" s="714">
        <v>-8.6</v>
      </c>
      <c r="FI171" s="714">
        <v>-8.8</v>
      </c>
      <c r="FJ171" s="723">
        <v>-2.37e-5</v>
      </c>
      <c r="FK171" s="723">
        <v>5.32e-9</v>
      </c>
      <c r="FL171" s="723">
        <v>-4.63e-11</v>
      </c>
      <c r="FM171" s="723">
        <v>9.51e-7</v>
      </c>
      <c r="FN171" s="723">
        <v>-1.08e-9</v>
      </c>
      <c r="FO171" s="723">
        <v>2.02e-8</v>
      </c>
      <c r="FP171" s="729">
        <v>1</v>
      </c>
      <c r="FQ171" s="729">
        <v>2</v>
      </c>
      <c r="FR171" s="729">
        <v>2</v>
      </c>
      <c r="FS171" s="729">
        <v>3</v>
      </c>
      <c r="FT171" s="729">
        <v>4</v>
      </c>
      <c r="FU171" s="729">
        <v>2</v>
      </c>
      <c r="FV171" s="681">
        <v>1</v>
      </c>
      <c r="FW171" s="729"/>
      <c r="FX171" s="729"/>
      <c r="FY171" s="729"/>
      <c r="FZ171" s="734">
        <v>442</v>
      </c>
      <c r="GA171" s="734">
        <v>467</v>
      </c>
      <c r="GB171" s="681">
        <v>423</v>
      </c>
      <c r="GC171" s="681">
        <v>436</v>
      </c>
      <c r="GD171" s="747">
        <v>0.71</v>
      </c>
      <c r="GE171" s="729"/>
      <c r="GF171" s="681">
        <v>134</v>
      </c>
      <c r="GG171" s="681">
        <v>164</v>
      </c>
      <c r="GH171" s="681">
        <v>123</v>
      </c>
      <c r="GI171" s="681">
        <v>126</v>
      </c>
      <c r="GJ171" s="681">
        <v>128</v>
      </c>
      <c r="GK171" s="681">
        <v>130</v>
      </c>
      <c r="GL171" s="681">
        <v>132</v>
      </c>
      <c r="GM171" s="681">
        <v>133</v>
      </c>
      <c r="GN171" s="681">
        <v>135</v>
      </c>
      <c r="GO171" s="681">
        <v>138</v>
      </c>
      <c r="GP171" s="681">
        <v>140</v>
      </c>
      <c r="GQ171" s="681">
        <v>143</v>
      </c>
      <c r="GR171" s="681">
        <v>144</v>
      </c>
      <c r="GS171" s="681">
        <v>145</v>
      </c>
      <c r="GT171" s="681">
        <v>146</v>
      </c>
      <c r="GU171" s="681">
        <v>147</v>
      </c>
      <c r="GV171" s="681">
        <v>149</v>
      </c>
      <c r="GW171" s="681">
        <v>150</v>
      </c>
      <c r="GX171" s="681">
        <v>151</v>
      </c>
      <c r="GY171" s="681">
        <v>153</v>
      </c>
      <c r="GZ171" s="681">
        <v>155</v>
      </c>
      <c r="HA171" s="681">
        <v>157</v>
      </c>
      <c r="HB171" s="681">
        <v>160</v>
      </c>
      <c r="HC171" s="681"/>
      <c r="HD171" s="681">
        <v>48</v>
      </c>
      <c r="HE171" s="681"/>
      <c r="HF171" s="681">
        <v>354</v>
      </c>
      <c r="HG171" s="738">
        <v>459</v>
      </c>
      <c r="HH171" s="714">
        <v>68.9</v>
      </c>
      <c r="HI171" s="714">
        <v>26.2</v>
      </c>
      <c r="HJ171" s="753">
        <v>0.313</v>
      </c>
      <c r="HK171" s="681">
        <v>48</v>
      </c>
      <c r="HL171" s="685">
        <v>0.6</v>
      </c>
      <c r="HM171" s="747">
        <v>3.64</v>
      </c>
      <c r="HN171" s="729" t="s">
        <v>308</v>
      </c>
      <c r="HO171" s="729" t="s">
        <v>309</v>
      </c>
      <c r="HP171" s="714">
        <v>-0.5</v>
      </c>
      <c r="HQ171" s="755">
        <v>0.999</v>
      </c>
      <c r="HR171" s="755">
        <v>0.999</v>
      </c>
      <c r="HS171" s="755">
        <v>0.999</v>
      </c>
      <c r="HT171" s="755">
        <v>0.999</v>
      </c>
      <c r="HU171" s="755">
        <v>0.999</v>
      </c>
      <c r="HV171" s="755">
        <v>0.999</v>
      </c>
      <c r="HW171" s="755">
        <v>0.999</v>
      </c>
      <c r="HX171" s="755">
        <v>0.999</v>
      </c>
      <c r="HY171" s="755">
        <v>0.999</v>
      </c>
      <c r="HZ171" s="755">
        <v>0.999</v>
      </c>
      <c r="IA171" s="755">
        <v>0.999</v>
      </c>
      <c r="IB171" s="755">
        <v>0.999</v>
      </c>
      <c r="IC171" s="755">
        <v>0.999</v>
      </c>
      <c r="ID171" s="755">
        <v>0.999</v>
      </c>
      <c r="IE171" s="755">
        <v>0.999</v>
      </c>
      <c r="IF171" s="755">
        <v>0.999</v>
      </c>
      <c r="IG171" s="755">
        <v>0.999</v>
      </c>
      <c r="IH171" s="755">
        <v>0.999</v>
      </c>
      <c r="II171" s="755">
        <v>0.999</v>
      </c>
      <c r="IJ171" s="755">
        <v>0.999</v>
      </c>
      <c r="IK171" s="755">
        <v>0.999</v>
      </c>
      <c r="IL171" s="755">
        <v>0.999</v>
      </c>
      <c r="IM171" s="755">
        <v>0.999</v>
      </c>
      <c r="IN171" s="755">
        <v>0.999</v>
      </c>
      <c r="IO171" s="755">
        <v>0.999</v>
      </c>
      <c r="IP171" s="755">
        <v>0.999</v>
      </c>
      <c r="IQ171" s="755">
        <v>0.999</v>
      </c>
      <c r="IR171" s="755">
        <v>0.998</v>
      </c>
      <c r="IS171" s="755">
        <v>0.997</v>
      </c>
      <c r="IT171" s="755">
        <v>0.993</v>
      </c>
      <c r="IU171" s="755">
        <v>0.984</v>
      </c>
      <c r="IV171" s="755">
        <v>0.967</v>
      </c>
      <c r="IW171" s="755">
        <v>0.935</v>
      </c>
      <c r="IX171" s="755">
        <v>0.883</v>
      </c>
      <c r="IY171" s="755">
        <v>0.809</v>
      </c>
      <c r="IZ171" s="755">
        <v>0.721</v>
      </c>
      <c r="JA171" s="755">
        <v>0.998</v>
      </c>
      <c r="JB171" s="755">
        <v>0.998</v>
      </c>
      <c r="JC171" s="755">
        <v>0.998</v>
      </c>
      <c r="JD171" s="755">
        <v>0.998</v>
      </c>
      <c r="JE171" s="755">
        <v>0.998</v>
      </c>
      <c r="JF171" s="755">
        <v>0.998</v>
      </c>
      <c r="JG171" s="755">
        <v>0.998</v>
      </c>
      <c r="JH171" s="755">
        <v>0.998</v>
      </c>
      <c r="JI171" s="755">
        <v>0.998</v>
      </c>
      <c r="JJ171" s="755">
        <v>0.998</v>
      </c>
      <c r="JK171" s="755">
        <v>0.998</v>
      </c>
      <c r="JL171" s="755">
        <v>0.998</v>
      </c>
      <c r="JM171" s="755">
        <v>0.998</v>
      </c>
      <c r="JN171" s="755">
        <v>0.998</v>
      </c>
      <c r="JO171" s="755">
        <v>0.998</v>
      </c>
      <c r="JP171" s="755">
        <v>0.998</v>
      </c>
      <c r="JQ171" s="755">
        <v>0.998</v>
      </c>
      <c r="JR171" s="755">
        <v>0.998</v>
      </c>
      <c r="JS171" s="755">
        <v>0.998</v>
      </c>
      <c r="JT171" s="755">
        <v>0.998</v>
      </c>
      <c r="JU171" s="755">
        <v>0.998</v>
      </c>
      <c r="JV171" s="755">
        <v>0.998</v>
      </c>
      <c r="JW171" s="755">
        <v>0.998</v>
      </c>
      <c r="JX171" s="755">
        <v>0.998</v>
      </c>
      <c r="JY171" s="755">
        <v>0.998</v>
      </c>
      <c r="JZ171" s="755">
        <v>0.998</v>
      </c>
      <c r="KA171" s="755">
        <v>0.998</v>
      </c>
      <c r="KB171" s="755">
        <v>0.996</v>
      </c>
      <c r="KC171" s="755">
        <v>0.994</v>
      </c>
      <c r="KD171" s="755">
        <v>0.986</v>
      </c>
      <c r="KE171" s="755">
        <v>0.968</v>
      </c>
      <c r="KF171" s="755">
        <v>0.935</v>
      </c>
      <c r="KG171" s="755">
        <v>0.874</v>
      </c>
      <c r="KH171" s="755">
        <v>0.779</v>
      </c>
      <c r="KI171" s="755">
        <v>0.654</v>
      </c>
      <c r="KJ171" s="755">
        <v>0.52</v>
      </c>
      <c r="KK171" s="765" t="s">
        <v>1349</v>
      </c>
      <c r="KL171" s="738">
        <v>127</v>
      </c>
      <c r="KM171" s="738">
        <v>462</v>
      </c>
      <c r="KN171" s="646" t="s">
        <v>339</v>
      </c>
      <c r="KO171" s="646" t="s">
        <v>1352</v>
      </c>
      <c r="KP171" s="679">
        <v>459902</v>
      </c>
      <c r="KQ171" s="789"/>
      <c r="KR171" s="750"/>
      <c r="KS171" s="789"/>
      <c r="KT171" s="770"/>
      <c r="KU171" s="789"/>
      <c r="KV171" s="750"/>
      <c r="KW171" s="771" t="s">
        <v>313</v>
      </c>
      <c r="KX171" s="750" t="s">
        <v>314</v>
      </c>
      <c r="KY171" s="789"/>
      <c r="KZ171" s="770"/>
    </row>
    <row r="172" s="628" customFormat="1" customHeight="1" spans="1:312">
      <c r="A172" s="682" t="s">
        <v>374</v>
      </c>
      <c r="B172" s="683">
        <v>168</v>
      </c>
      <c r="C172" s="780" t="s">
        <v>1353</v>
      </c>
      <c r="D172" s="679">
        <v>437951</v>
      </c>
      <c r="E172" s="685">
        <v>95.1</v>
      </c>
      <c r="F172" s="685">
        <v>94.66</v>
      </c>
      <c r="G172" s="686">
        <v>0.004595</v>
      </c>
      <c r="H172" s="686">
        <v>0.004628</v>
      </c>
      <c r="I172" s="696">
        <v>1.4231</v>
      </c>
      <c r="J172" s="696">
        <v>1.42566</v>
      </c>
      <c r="K172" s="696">
        <v>1.42846</v>
      </c>
      <c r="L172" s="696">
        <v>1.43091</v>
      </c>
      <c r="M172" s="696">
        <v>1.43134</v>
      </c>
      <c r="N172" s="696">
        <v>1.4317</v>
      </c>
      <c r="O172" s="696">
        <v>1.43306</v>
      </c>
      <c r="P172" s="696">
        <v>1.43396</v>
      </c>
      <c r="Q172" s="697">
        <v>1.43478</v>
      </c>
      <c r="R172" s="697">
        <v>1.43559</v>
      </c>
      <c r="S172" s="697">
        <v>1.43582</v>
      </c>
      <c r="T172" s="701">
        <v>1.43603</v>
      </c>
      <c r="U172" s="697">
        <v>1.43696</v>
      </c>
      <c r="V172" s="697">
        <v>1.437</v>
      </c>
      <c r="W172" s="697">
        <v>1.4381</v>
      </c>
      <c r="X172" s="697">
        <v>1.44019</v>
      </c>
      <c r="Y172" s="697">
        <v>1.44044</v>
      </c>
      <c r="Z172" s="697">
        <v>1.44264</v>
      </c>
      <c r="AA172" s="697">
        <v>1.44466</v>
      </c>
      <c r="AB172" s="697">
        <v>1.44803</v>
      </c>
      <c r="AC172" s="704">
        <v>2.04831817</v>
      </c>
      <c r="AD172" s="704">
        <v>-0.00448612591</v>
      </c>
      <c r="AE172" s="704">
        <v>0.00622248873</v>
      </c>
      <c r="AF172" s="704">
        <v>-7.9858103e-6</v>
      </c>
      <c r="AG172" s="704">
        <v>1.22118495e-5</v>
      </c>
      <c r="AH172" s="704">
        <v>-7.39464344e-7</v>
      </c>
      <c r="AI172" s="709">
        <v>0.3069</v>
      </c>
      <c r="AJ172" s="709">
        <v>0.2394</v>
      </c>
      <c r="AK172" s="709">
        <v>0.5332</v>
      </c>
      <c r="AL172" s="709">
        <v>0.255</v>
      </c>
      <c r="AM172" s="709">
        <v>0.2377</v>
      </c>
      <c r="AN172" s="709">
        <v>0.4754</v>
      </c>
      <c r="AO172" s="709">
        <v>0.0171</v>
      </c>
      <c r="AP172" s="709">
        <v>0.0475</v>
      </c>
      <c r="AQ172" s="709">
        <v>-0.1544</v>
      </c>
      <c r="AR172" s="709">
        <v>-0.078</v>
      </c>
      <c r="AS172" s="714">
        <v>-5.5</v>
      </c>
      <c r="AT172" s="714">
        <v>-6</v>
      </c>
      <c r="AU172" s="714">
        <v>-6.4</v>
      </c>
      <c r="AV172" s="714">
        <v>-6.7</v>
      </c>
      <c r="AW172" s="714">
        <v>-7</v>
      </c>
      <c r="AX172" s="714">
        <v>-7.2</v>
      </c>
      <c r="AY172" s="714">
        <v>-7.3</v>
      </c>
      <c r="AZ172" s="714">
        <v>-7.3</v>
      </c>
      <c r="BA172" s="714">
        <v>-7.3</v>
      </c>
      <c r="BB172" s="714">
        <v>-7.4</v>
      </c>
      <c r="BC172" s="714">
        <v>-7.5</v>
      </c>
      <c r="BD172" s="714">
        <v>-5.3</v>
      </c>
      <c r="BE172" s="714">
        <v>-5.8</v>
      </c>
      <c r="BF172" s="714">
        <v>-6.2</v>
      </c>
      <c r="BG172" s="714">
        <v>-6.5</v>
      </c>
      <c r="BH172" s="714">
        <v>-6.8</v>
      </c>
      <c r="BI172" s="714">
        <v>-7</v>
      </c>
      <c r="BJ172" s="714">
        <v>-7.2</v>
      </c>
      <c r="BK172" s="714">
        <v>-7.2</v>
      </c>
      <c r="BL172" s="714">
        <v>-7.2</v>
      </c>
      <c r="BM172" s="714">
        <v>-7.3</v>
      </c>
      <c r="BN172" s="714">
        <v>-7.4</v>
      </c>
      <c r="BO172" s="714">
        <v>-5.2</v>
      </c>
      <c r="BP172" s="714">
        <v>-5.7</v>
      </c>
      <c r="BQ172" s="714">
        <v>-6</v>
      </c>
      <c r="BR172" s="714">
        <v>-6.4</v>
      </c>
      <c r="BS172" s="714">
        <v>-6.7</v>
      </c>
      <c r="BT172" s="714">
        <v>-6.9</v>
      </c>
      <c r="BU172" s="714">
        <v>-7.1</v>
      </c>
      <c r="BV172" s="714">
        <v>-7.1</v>
      </c>
      <c r="BW172" s="714">
        <v>-7.1</v>
      </c>
      <c r="BX172" s="714">
        <v>-7.2</v>
      </c>
      <c r="BY172" s="714">
        <v>-7.2</v>
      </c>
      <c r="BZ172" s="714">
        <v>-5.2</v>
      </c>
      <c r="CA172" s="714">
        <v>-5.7</v>
      </c>
      <c r="CB172" s="714">
        <v>-6</v>
      </c>
      <c r="CC172" s="714">
        <v>-6.4</v>
      </c>
      <c r="CD172" s="714">
        <v>-6.7</v>
      </c>
      <c r="CE172" s="714">
        <v>-6.9</v>
      </c>
      <c r="CF172" s="714">
        <v>-7.1</v>
      </c>
      <c r="CG172" s="714">
        <v>-7.1</v>
      </c>
      <c r="CH172" s="714">
        <v>-7.1</v>
      </c>
      <c r="CI172" s="714">
        <v>-7.1</v>
      </c>
      <c r="CJ172" s="714">
        <v>-7.2</v>
      </c>
      <c r="CK172" s="714">
        <v>-5.1</v>
      </c>
      <c r="CL172" s="714">
        <v>-5.6</v>
      </c>
      <c r="CM172" s="714">
        <v>-5.9</v>
      </c>
      <c r="CN172" s="714">
        <v>-6.3</v>
      </c>
      <c r="CO172" s="714">
        <v>-6.6</v>
      </c>
      <c r="CP172" s="714">
        <v>-6.8</v>
      </c>
      <c r="CQ172" s="714">
        <v>-7</v>
      </c>
      <c r="CR172" s="714">
        <v>-7</v>
      </c>
      <c r="CS172" s="714">
        <v>-7.1</v>
      </c>
      <c r="CT172" s="714">
        <v>-7.1</v>
      </c>
      <c r="CU172" s="714">
        <v>-7.1</v>
      </c>
      <c r="CV172" s="714">
        <v>-5</v>
      </c>
      <c r="CW172" s="714">
        <v>-5.5</v>
      </c>
      <c r="CX172" s="714">
        <v>-5.8</v>
      </c>
      <c r="CY172" s="714">
        <v>-6.2</v>
      </c>
      <c r="CZ172" s="714">
        <v>-6.4</v>
      </c>
      <c r="DA172" s="714">
        <v>-6.7</v>
      </c>
      <c r="DB172" s="714">
        <v>-6.9</v>
      </c>
      <c r="DC172" s="714">
        <v>-6.9</v>
      </c>
      <c r="DD172" s="714">
        <v>-7</v>
      </c>
      <c r="DE172" s="714">
        <v>-7</v>
      </c>
      <c r="DF172" s="714">
        <v>-7</v>
      </c>
      <c r="DG172" s="714">
        <v>-4.9</v>
      </c>
      <c r="DH172" s="715">
        <v>-5.3</v>
      </c>
      <c r="DI172" s="715">
        <v>-5.7</v>
      </c>
      <c r="DJ172" s="715">
        <v>-6.1</v>
      </c>
      <c r="DK172" s="715">
        <v>-6.4</v>
      </c>
      <c r="DL172" s="715">
        <v>-6.6</v>
      </c>
      <c r="DM172" s="715">
        <v>-6.8</v>
      </c>
      <c r="DN172" s="714">
        <v>-6.8</v>
      </c>
      <c r="DO172" s="714">
        <v>-6.9</v>
      </c>
      <c r="DP172" s="714">
        <v>-6.8</v>
      </c>
      <c r="DQ172" s="714">
        <v>-6.9</v>
      </c>
      <c r="DR172" s="714">
        <v>-4.8</v>
      </c>
      <c r="DS172" s="715">
        <v>-5.1</v>
      </c>
      <c r="DT172" s="715">
        <v>-5.5</v>
      </c>
      <c r="DU172" s="715">
        <v>-5.8</v>
      </c>
      <c r="DV172" s="715">
        <v>-6.2</v>
      </c>
      <c r="DW172" s="715">
        <v>-6.5</v>
      </c>
      <c r="DX172" s="715">
        <v>-6.7</v>
      </c>
      <c r="DY172" s="714">
        <v>-6.7</v>
      </c>
      <c r="DZ172" s="714">
        <v>-6.7</v>
      </c>
      <c r="EA172" s="714">
        <v>-6.7</v>
      </c>
      <c r="EB172" s="714">
        <v>-6.8</v>
      </c>
      <c r="EC172" s="714">
        <v>-4.8</v>
      </c>
      <c r="ED172" s="715">
        <v>-5.1</v>
      </c>
      <c r="EE172" s="715">
        <v>-5.5</v>
      </c>
      <c r="EF172" s="715">
        <v>-5.8</v>
      </c>
      <c r="EG172" s="715">
        <v>-6.1</v>
      </c>
      <c r="EH172" s="715">
        <v>-6.4</v>
      </c>
      <c r="EI172" s="715">
        <v>-6.6</v>
      </c>
      <c r="EJ172" s="714">
        <v>-6.7</v>
      </c>
      <c r="EK172" s="714">
        <v>-6.7</v>
      </c>
      <c r="EL172" s="714">
        <v>-6.7</v>
      </c>
      <c r="EM172" s="714">
        <v>-6.7</v>
      </c>
      <c r="EN172" s="714">
        <v>-4.5</v>
      </c>
      <c r="EO172" s="715">
        <v>-4.9</v>
      </c>
      <c r="EP172" s="715">
        <v>-5.3</v>
      </c>
      <c r="EQ172" s="715">
        <v>-5.6</v>
      </c>
      <c r="ER172" s="715">
        <v>-5.9</v>
      </c>
      <c r="ES172" s="715">
        <v>-6.2</v>
      </c>
      <c r="ET172" s="715">
        <v>-6.4</v>
      </c>
      <c r="EU172" s="714">
        <v>-6.5</v>
      </c>
      <c r="EV172" s="714">
        <v>-6.6</v>
      </c>
      <c r="EW172" s="714">
        <v>-6.6</v>
      </c>
      <c r="EX172" s="714">
        <v>-6.5</v>
      </c>
      <c r="EY172" s="714">
        <v>-7.4</v>
      </c>
      <c r="EZ172" s="715">
        <v>-7.5</v>
      </c>
      <c r="FA172" s="715">
        <v>-7.6</v>
      </c>
      <c r="FB172" s="715">
        <v>-7.7</v>
      </c>
      <c r="FC172" s="715">
        <v>-7.8</v>
      </c>
      <c r="FD172" s="715">
        <v>-7.9</v>
      </c>
      <c r="FE172" s="715">
        <v>-8</v>
      </c>
      <c r="FF172" s="714">
        <v>-7.9</v>
      </c>
      <c r="FG172" s="714">
        <v>-7.9</v>
      </c>
      <c r="FH172" s="714">
        <v>-7.8</v>
      </c>
      <c r="FI172" s="714">
        <v>-7.7</v>
      </c>
      <c r="FJ172" s="723">
        <v>-2.28e-5</v>
      </c>
      <c r="FK172" s="723">
        <v>-4.73e-9</v>
      </c>
      <c r="FL172" s="723">
        <v>3.04e-11</v>
      </c>
      <c r="FM172" s="723">
        <v>6.79e-7</v>
      </c>
      <c r="FN172" s="723">
        <v>-1.59e-10</v>
      </c>
      <c r="FO172" s="723">
        <v>1.98e-7</v>
      </c>
      <c r="FP172" s="729">
        <v>1</v>
      </c>
      <c r="FQ172" s="729">
        <v>3</v>
      </c>
      <c r="FR172" s="729">
        <v>2</v>
      </c>
      <c r="FS172" s="729">
        <v>3</v>
      </c>
      <c r="FT172" s="729">
        <v>4</v>
      </c>
      <c r="FU172" s="729">
        <v>3</v>
      </c>
      <c r="FV172" s="681">
        <v>1</v>
      </c>
      <c r="FW172" s="729"/>
      <c r="FX172" s="729"/>
      <c r="FY172" s="729"/>
      <c r="FZ172" s="734">
        <v>409</v>
      </c>
      <c r="GA172" s="734">
        <v>443</v>
      </c>
      <c r="GB172" s="681">
        <v>377</v>
      </c>
      <c r="GC172" s="681">
        <v>390</v>
      </c>
      <c r="GD172" s="747">
        <v>0.97</v>
      </c>
      <c r="GE172" s="729"/>
      <c r="GF172" s="681">
        <v>139</v>
      </c>
      <c r="GG172" s="681">
        <v>170</v>
      </c>
      <c r="GH172" s="681">
        <v>129</v>
      </c>
      <c r="GI172" s="681">
        <v>131</v>
      </c>
      <c r="GJ172" s="681">
        <v>132</v>
      </c>
      <c r="GK172" s="681">
        <v>134</v>
      </c>
      <c r="GL172" s="681">
        <v>134</v>
      </c>
      <c r="GM172" s="681">
        <v>137</v>
      </c>
      <c r="GN172" s="681">
        <v>140</v>
      </c>
      <c r="GO172" s="681">
        <v>140</v>
      </c>
      <c r="GP172" s="681">
        <v>143</v>
      </c>
      <c r="GQ172" s="681">
        <v>145</v>
      </c>
      <c r="GR172" s="681">
        <v>145</v>
      </c>
      <c r="GS172" s="681">
        <v>147</v>
      </c>
      <c r="GT172" s="681">
        <v>149</v>
      </c>
      <c r="GU172" s="681">
        <v>150</v>
      </c>
      <c r="GV172" s="681">
        <v>152</v>
      </c>
      <c r="GW172" s="681">
        <v>154</v>
      </c>
      <c r="GX172" s="681">
        <v>156</v>
      </c>
      <c r="GY172" s="681">
        <v>159</v>
      </c>
      <c r="GZ172" s="681">
        <v>160</v>
      </c>
      <c r="HA172" s="681">
        <v>164</v>
      </c>
      <c r="HB172" s="681">
        <v>168</v>
      </c>
      <c r="HC172" s="681"/>
      <c r="HD172" s="681">
        <v>45</v>
      </c>
      <c r="HE172" s="681"/>
      <c r="HF172" s="681">
        <v>358</v>
      </c>
      <c r="HG172" s="738">
        <v>449</v>
      </c>
      <c r="HH172" s="714">
        <v>71.4</v>
      </c>
      <c r="HI172" s="714">
        <v>26.8</v>
      </c>
      <c r="HJ172" s="753">
        <v>0.333</v>
      </c>
      <c r="HK172" s="681">
        <v>32</v>
      </c>
      <c r="HL172" s="685">
        <v>0.59</v>
      </c>
      <c r="HM172" s="747">
        <v>3.56</v>
      </c>
      <c r="HN172" s="729" t="s">
        <v>318</v>
      </c>
      <c r="HO172" s="729" t="s">
        <v>319</v>
      </c>
      <c r="HP172" s="714">
        <v>-3.2</v>
      </c>
      <c r="HQ172" s="755">
        <v>0.999</v>
      </c>
      <c r="HR172" s="755">
        <v>0.999</v>
      </c>
      <c r="HS172" s="755">
        <v>0.999</v>
      </c>
      <c r="HT172" s="755">
        <v>0.999</v>
      </c>
      <c r="HU172" s="755">
        <v>0.999</v>
      </c>
      <c r="HV172" s="755">
        <v>0.999</v>
      </c>
      <c r="HW172" s="755">
        <v>0.999</v>
      </c>
      <c r="HX172" s="755">
        <v>0.999</v>
      </c>
      <c r="HY172" s="755">
        <v>0.999</v>
      </c>
      <c r="HZ172" s="755">
        <v>0.999</v>
      </c>
      <c r="IA172" s="755">
        <v>0.999</v>
      </c>
      <c r="IB172" s="755">
        <v>0.999</v>
      </c>
      <c r="IC172" s="755">
        <v>0.999</v>
      </c>
      <c r="ID172" s="755">
        <v>0.999</v>
      </c>
      <c r="IE172" s="755">
        <v>0.999</v>
      </c>
      <c r="IF172" s="755">
        <v>0.999</v>
      </c>
      <c r="IG172" s="755">
        <v>0.999</v>
      </c>
      <c r="IH172" s="755">
        <v>0.999</v>
      </c>
      <c r="II172" s="755">
        <v>0.999</v>
      </c>
      <c r="IJ172" s="755">
        <v>0.999</v>
      </c>
      <c r="IK172" s="755">
        <v>0.998</v>
      </c>
      <c r="IL172" s="755">
        <v>0.998</v>
      </c>
      <c r="IM172" s="755">
        <v>0.998</v>
      </c>
      <c r="IN172" s="755">
        <v>0.998</v>
      </c>
      <c r="IO172" s="755">
        <v>0.998</v>
      </c>
      <c r="IP172" s="755">
        <v>0.998</v>
      </c>
      <c r="IQ172" s="755">
        <v>0.997</v>
      </c>
      <c r="IR172" s="755">
        <v>0.994</v>
      </c>
      <c r="IS172" s="755">
        <v>0.986</v>
      </c>
      <c r="IT172" s="755">
        <v>0.965</v>
      </c>
      <c r="IU172" s="755">
        <v>0.925</v>
      </c>
      <c r="IV172" s="755">
        <v>0.845</v>
      </c>
      <c r="IW172" s="755">
        <v>0.716</v>
      </c>
      <c r="IX172" s="755">
        <v>0.535</v>
      </c>
      <c r="IY172" s="755">
        <v>0.367</v>
      </c>
      <c r="IZ172" s="755">
        <v>0.205</v>
      </c>
      <c r="JA172" s="755">
        <v>0.998</v>
      </c>
      <c r="JB172" s="755">
        <v>0.998</v>
      </c>
      <c r="JC172" s="755">
        <v>0.998</v>
      </c>
      <c r="JD172" s="755">
        <v>0.998</v>
      </c>
      <c r="JE172" s="755">
        <v>0.998</v>
      </c>
      <c r="JF172" s="755">
        <v>0.998</v>
      </c>
      <c r="JG172" s="755">
        <v>0.998</v>
      </c>
      <c r="JH172" s="755">
        <v>0.998</v>
      </c>
      <c r="JI172" s="755">
        <v>0.998</v>
      </c>
      <c r="JJ172" s="755">
        <v>0.998</v>
      </c>
      <c r="JK172" s="755">
        <v>0.998</v>
      </c>
      <c r="JL172" s="755">
        <v>0.998</v>
      </c>
      <c r="JM172" s="755">
        <v>0.998</v>
      </c>
      <c r="JN172" s="755">
        <v>0.998</v>
      </c>
      <c r="JO172" s="755">
        <v>0.998</v>
      </c>
      <c r="JP172" s="755">
        <v>0.998</v>
      </c>
      <c r="JQ172" s="755">
        <v>0.998</v>
      </c>
      <c r="JR172" s="755">
        <v>0.998</v>
      </c>
      <c r="JS172" s="755">
        <v>0.998</v>
      </c>
      <c r="JT172" s="755">
        <v>0.998</v>
      </c>
      <c r="JU172" s="755">
        <v>0.997</v>
      </c>
      <c r="JV172" s="755">
        <v>0.997</v>
      </c>
      <c r="JW172" s="755">
        <v>0.997</v>
      </c>
      <c r="JX172" s="755">
        <v>0.997</v>
      </c>
      <c r="JY172" s="755">
        <v>0.997</v>
      </c>
      <c r="JZ172" s="755">
        <v>0.997</v>
      </c>
      <c r="KA172" s="755">
        <v>0.995</v>
      </c>
      <c r="KB172" s="755">
        <v>0.988</v>
      </c>
      <c r="KC172" s="755">
        <v>0.973</v>
      </c>
      <c r="KD172" s="755">
        <v>0.932</v>
      </c>
      <c r="KE172" s="755">
        <v>0.856</v>
      </c>
      <c r="KF172" s="755">
        <v>0.714</v>
      </c>
      <c r="KG172" s="755">
        <v>0.513</v>
      </c>
      <c r="KH172" s="755">
        <v>0.286</v>
      </c>
      <c r="KI172" s="755">
        <v>0.135</v>
      </c>
      <c r="KJ172" s="755">
        <v>0.042</v>
      </c>
      <c r="KK172" s="765" t="s">
        <v>1349</v>
      </c>
      <c r="KL172" s="738">
        <v>165</v>
      </c>
      <c r="KM172" s="738">
        <v>587</v>
      </c>
      <c r="KN172" s="646" t="s">
        <v>339</v>
      </c>
      <c r="KO172" s="646" t="s">
        <v>1353</v>
      </c>
      <c r="KP172" s="679">
        <v>437951</v>
      </c>
      <c r="KQ172" s="789"/>
      <c r="KR172" s="750"/>
      <c r="KS172" s="789" t="s">
        <v>1354</v>
      </c>
      <c r="KT172" s="770" t="s">
        <v>1355</v>
      </c>
      <c r="KU172" s="789"/>
      <c r="KV172" s="750"/>
      <c r="KW172" s="771" t="s">
        <v>325</v>
      </c>
      <c r="KX172" s="750" t="s">
        <v>326</v>
      </c>
      <c r="KY172" s="789"/>
      <c r="KZ172" s="770"/>
    </row>
    <row r="173" s="628" customFormat="1" customHeight="1" spans="1:312">
      <c r="A173" s="682" t="s">
        <v>277</v>
      </c>
      <c r="B173" s="683">
        <v>169</v>
      </c>
      <c r="C173" s="780" t="s">
        <v>1356</v>
      </c>
      <c r="D173" s="679">
        <v>516641</v>
      </c>
      <c r="E173" s="685">
        <v>64.06</v>
      </c>
      <c r="F173" s="685">
        <v>63.87</v>
      </c>
      <c r="G173" s="686">
        <v>0.00806</v>
      </c>
      <c r="H173" s="686">
        <v>0.008114</v>
      </c>
      <c r="I173" s="696">
        <v>1.48801</v>
      </c>
      <c r="J173" s="696">
        <v>1.49383</v>
      </c>
      <c r="K173" s="696">
        <v>1.50003</v>
      </c>
      <c r="L173" s="696">
        <v>1.50516</v>
      </c>
      <c r="M173" s="696">
        <v>1.50603</v>
      </c>
      <c r="N173" s="696">
        <v>1.50673</v>
      </c>
      <c r="O173" s="696">
        <v>1.50929</v>
      </c>
      <c r="P173" s="696">
        <v>1.51094</v>
      </c>
      <c r="Q173" s="697">
        <v>1.51241</v>
      </c>
      <c r="R173" s="697">
        <v>1.51384</v>
      </c>
      <c r="S173" s="697">
        <v>1.51424</v>
      </c>
      <c r="T173" s="701">
        <v>1.51461</v>
      </c>
      <c r="U173" s="697">
        <v>1.51625</v>
      </c>
      <c r="V173" s="697">
        <v>1.51633</v>
      </c>
      <c r="W173" s="697">
        <v>1.51825</v>
      </c>
      <c r="X173" s="697">
        <v>1.5219</v>
      </c>
      <c r="Y173" s="697">
        <v>1.52236</v>
      </c>
      <c r="Z173" s="697">
        <v>1.52621</v>
      </c>
      <c r="AA173" s="697">
        <v>1.52976</v>
      </c>
      <c r="AB173" s="697">
        <v>1.53574</v>
      </c>
      <c r="AC173" s="704">
        <v>2.27095299</v>
      </c>
      <c r="AD173" s="704">
        <v>-0.0108648469</v>
      </c>
      <c r="AE173" s="704">
        <v>0.0105786491</v>
      </c>
      <c r="AF173" s="704">
        <v>0.000154454636</v>
      </c>
      <c r="AG173" s="704">
        <v>5.64088446e-6</v>
      </c>
      <c r="AH173" s="704">
        <v>-4.70999004e-7</v>
      </c>
      <c r="AI173" s="709">
        <v>0.3089</v>
      </c>
      <c r="AJ173" s="709">
        <v>0.2382</v>
      </c>
      <c r="AK173" s="709">
        <v>0.5347</v>
      </c>
      <c r="AL173" s="709">
        <v>0.2576</v>
      </c>
      <c r="AM173" s="709">
        <v>0.2366</v>
      </c>
      <c r="AN173" s="709">
        <v>0.4745</v>
      </c>
      <c r="AO173" s="709">
        <v>-0.002</v>
      </c>
      <c r="AP173" s="709">
        <v>-0.0025</v>
      </c>
      <c r="AQ173" s="709">
        <v>0.0316</v>
      </c>
      <c r="AR173" s="709">
        <v>0.0104</v>
      </c>
      <c r="AS173" s="714">
        <v>2.7</v>
      </c>
      <c r="AT173" s="714">
        <v>2.7</v>
      </c>
      <c r="AU173" s="714">
        <v>2.7</v>
      </c>
      <c r="AV173" s="714">
        <v>2.8</v>
      </c>
      <c r="AW173" s="714">
        <v>2.9</v>
      </c>
      <c r="AX173" s="714">
        <v>2.9</v>
      </c>
      <c r="AY173" s="714">
        <v>2.9</v>
      </c>
      <c r="AZ173" s="714">
        <v>3</v>
      </c>
      <c r="BA173" s="714">
        <v>3</v>
      </c>
      <c r="BB173" s="714">
        <v>3.1</v>
      </c>
      <c r="BC173" s="714">
        <v>3.1</v>
      </c>
      <c r="BD173" s="714">
        <v>2.8</v>
      </c>
      <c r="BE173" s="714">
        <v>2.8</v>
      </c>
      <c r="BF173" s="714">
        <v>2.9</v>
      </c>
      <c r="BG173" s="714">
        <v>3</v>
      </c>
      <c r="BH173" s="714">
        <v>3.1</v>
      </c>
      <c r="BI173" s="714">
        <v>3.2</v>
      </c>
      <c r="BJ173" s="714">
        <v>3.3</v>
      </c>
      <c r="BK173" s="714">
        <v>3.3</v>
      </c>
      <c r="BL173" s="714">
        <v>3.3</v>
      </c>
      <c r="BM173" s="714">
        <v>3.4</v>
      </c>
      <c r="BN173" s="714">
        <v>3.4</v>
      </c>
      <c r="BO173" s="714">
        <v>2.9</v>
      </c>
      <c r="BP173" s="714">
        <v>2.9</v>
      </c>
      <c r="BQ173" s="714">
        <v>3.1</v>
      </c>
      <c r="BR173" s="714">
        <v>3.2</v>
      </c>
      <c r="BS173" s="714">
        <v>3.2</v>
      </c>
      <c r="BT173" s="714">
        <v>3.2</v>
      </c>
      <c r="BU173" s="714">
        <v>3.4</v>
      </c>
      <c r="BV173" s="714">
        <v>3.5</v>
      </c>
      <c r="BW173" s="714">
        <v>3.5</v>
      </c>
      <c r="BX173" s="714">
        <v>3.5</v>
      </c>
      <c r="BY173" s="714">
        <v>3.7</v>
      </c>
      <c r="BZ173" s="714">
        <v>3</v>
      </c>
      <c r="CA173" s="714">
        <v>3.1</v>
      </c>
      <c r="CB173" s="714">
        <v>3.2</v>
      </c>
      <c r="CC173" s="714">
        <v>3.3</v>
      </c>
      <c r="CD173" s="714">
        <v>3.4</v>
      </c>
      <c r="CE173" s="714">
        <v>3.4</v>
      </c>
      <c r="CF173" s="714">
        <v>3.5</v>
      </c>
      <c r="CG173" s="714">
        <v>3.6</v>
      </c>
      <c r="CH173" s="714">
        <v>3.7</v>
      </c>
      <c r="CI173" s="714">
        <v>3.7</v>
      </c>
      <c r="CJ173" s="714">
        <v>3.9</v>
      </c>
      <c r="CK173" s="714">
        <v>3.1</v>
      </c>
      <c r="CL173" s="714">
        <v>3.1</v>
      </c>
      <c r="CM173" s="714">
        <v>3.3</v>
      </c>
      <c r="CN173" s="714">
        <v>3.3</v>
      </c>
      <c r="CO173" s="714">
        <v>3.5</v>
      </c>
      <c r="CP173" s="714">
        <v>3.5</v>
      </c>
      <c r="CQ173" s="714">
        <v>3.6</v>
      </c>
      <c r="CR173" s="714">
        <v>3.6</v>
      </c>
      <c r="CS173" s="714">
        <v>3.7</v>
      </c>
      <c r="CT173" s="714">
        <v>3.8</v>
      </c>
      <c r="CU173" s="714">
        <v>3.9</v>
      </c>
      <c r="CV173" s="714">
        <v>3.2</v>
      </c>
      <c r="CW173" s="714">
        <v>3.3</v>
      </c>
      <c r="CX173" s="714">
        <v>3.3</v>
      </c>
      <c r="CY173" s="714">
        <v>3.3</v>
      </c>
      <c r="CZ173" s="714">
        <v>3.5</v>
      </c>
      <c r="DA173" s="714">
        <v>3.6</v>
      </c>
      <c r="DB173" s="714">
        <v>3.6</v>
      </c>
      <c r="DC173" s="714">
        <v>3.7</v>
      </c>
      <c r="DD173" s="714">
        <v>3.8</v>
      </c>
      <c r="DE173" s="714">
        <v>3.9</v>
      </c>
      <c r="DF173" s="714">
        <v>4</v>
      </c>
      <c r="DG173" s="714">
        <v>3.3</v>
      </c>
      <c r="DH173" s="715">
        <v>3.4</v>
      </c>
      <c r="DI173" s="715">
        <v>3.4</v>
      </c>
      <c r="DJ173" s="715">
        <v>3.5</v>
      </c>
      <c r="DK173" s="715">
        <v>3.6</v>
      </c>
      <c r="DL173" s="715">
        <v>3.6</v>
      </c>
      <c r="DM173" s="715">
        <v>3.7</v>
      </c>
      <c r="DN173" s="714">
        <v>3.7</v>
      </c>
      <c r="DO173" s="714">
        <v>3.9</v>
      </c>
      <c r="DP173" s="714">
        <v>4</v>
      </c>
      <c r="DQ173" s="714">
        <v>4.2</v>
      </c>
      <c r="DR173" s="714">
        <v>3.5</v>
      </c>
      <c r="DS173" s="715">
        <v>3.6</v>
      </c>
      <c r="DT173" s="715">
        <v>3.7</v>
      </c>
      <c r="DU173" s="715">
        <v>3.7</v>
      </c>
      <c r="DV173" s="715">
        <v>3.7</v>
      </c>
      <c r="DW173" s="715">
        <v>3.8</v>
      </c>
      <c r="DX173" s="715">
        <v>3.8</v>
      </c>
      <c r="DY173" s="714">
        <v>3.9</v>
      </c>
      <c r="DZ173" s="714">
        <v>4</v>
      </c>
      <c r="EA173" s="714">
        <v>4.1</v>
      </c>
      <c r="EB173" s="714">
        <v>4.2</v>
      </c>
      <c r="EC173" s="714">
        <v>3.6</v>
      </c>
      <c r="ED173" s="715">
        <v>3.7</v>
      </c>
      <c r="EE173" s="715">
        <v>3.7</v>
      </c>
      <c r="EF173" s="715">
        <v>3.8</v>
      </c>
      <c r="EG173" s="715">
        <v>3.9</v>
      </c>
      <c r="EH173" s="715">
        <v>4</v>
      </c>
      <c r="EI173" s="715">
        <v>4</v>
      </c>
      <c r="EJ173" s="714">
        <v>4</v>
      </c>
      <c r="EK173" s="714">
        <v>4</v>
      </c>
      <c r="EL173" s="714">
        <v>4.2</v>
      </c>
      <c r="EM173" s="714">
        <v>4.3</v>
      </c>
      <c r="EN173" s="714">
        <v>3.9</v>
      </c>
      <c r="EO173" s="715">
        <v>4</v>
      </c>
      <c r="EP173" s="715">
        <v>4.1</v>
      </c>
      <c r="EQ173" s="715">
        <v>4.2</v>
      </c>
      <c r="ER173" s="715">
        <v>4.2</v>
      </c>
      <c r="ES173" s="715">
        <v>4.3</v>
      </c>
      <c r="ET173" s="715">
        <v>4.4</v>
      </c>
      <c r="EU173" s="714">
        <v>4.6</v>
      </c>
      <c r="EV173" s="714">
        <v>4.8</v>
      </c>
      <c r="EW173" s="714">
        <v>4.9</v>
      </c>
      <c r="EX173" s="714">
        <v>5.1</v>
      </c>
      <c r="EY173" s="714">
        <v>0.7</v>
      </c>
      <c r="EZ173" s="715">
        <v>1</v>
      </c>
      <c r="FA173" s="715">
        <v>1.5</v>
      </c>
      <c r="FB173" s="715">
        <v>1.8</v>
      </c>
      <c r="FC173" s="715">
        <v>2.2</v>
      </c>
      <c r="FD173" s="715">
        <v>2.3</v>
      </c>
      <c r="FE173" s="715">
        <v>2.6</v>
      </c>
      <c r="FF173" s="714">
        <v>2.7</v>
      </c>
      <c r="FG173" s="714">
        <v>2.9</v>
      </c>
      <c r="FH173" s="714">
        <v>3.1</v>
      </c>
      <c r="FI173" s="714">
        <v>3.2</v>
      </c>
      <c r="FJ173" s="723">
        <v>3.06e-6</v>
      </c>
      <c r="FK173" s="723">
        <v>1.56e-8</v>
      </c>
      <c r="FL173" s="723">
        <v>-3e-11</v>
      </c>
      <c r="FM173" s="723">
        <v>4.56e-7</v>
      </c>
      <c r="FN173" s="723">
        <v>3.4e-10</v>
      </c>
      <c r="FO173" s="723">
        <v>0.215</v>
      </c>
      <c r="FP173" s="729">
        <v>1</v>
      </c>
      <c r="FQ173" s="729">
        <v>1</v>
      </c>
      <c r="FR173" s="729">
        <v>1</v>
      </c>
      <c r="FS173" s="729">
        <v>1</v>
      </c>
      <c r="FT173" s="729">
        <v>2</v>
      </c>
      <c r="FU173" s="729">
        <v>1</v>
      </c>
      <c r="FV173" s="681">
        <v>1</v>
      </c>
      <c r="FW173" s="729"/>
      <c r="FX173" s="729"/>
      <c r="FY173" s="729"/>
      <c r="FZ173" s="734">
        <v>500</v>
      </c>
      <c r="GA173" s="734">
        <v>560</v>
      </c>
      <c r="GB173" s="681">
        <v>450</v>
      </c>
      <c r="GC173" s="681">
        <v>465</v>
      </c>
      <c r="GD173" s="747">
        <v>1.31</v>
      </c>
      <c r="GE173" s="729"/>
      <c r="GF173" s="681">
        <v>55</v>
      </c>
      <c r="GG173" s="681">
        <v>70</v>
      </c>
      <c r="GH173" s="681">
        <v>49</v>
      </c>
      <c r="GI173" s="681">
        <v>49</v>
      </c>
      <c r="GJ173" s="681">
        <v>50</v>
      </c>
      <c r="GK173" s="681">
        <v>51</v>
      </c>
      <c r="GL173" s="681">
        <v>53</v>
      </c>
      <c r="GM173" s="681">
        <v>54</v>
      </c>
      <c r="GN173" s="681">
        <v>55</v>
      </c>
      <c r="GO173" s="681">
        <v>56</v>
      </c>
      <c r="GP173" s="681">
        <v>57</v>
      </c>
      <c r="GQ173" s="681">
        <v>58</v>
      </c>
      <c r="GR173" s="681">
        <v>59</v>
      </c>
      <c r="GS173" s="681">
        <v>60</v>
      </c>
      <c r="GT173" s="681">
        <v>61</v>
      </c>
      <c r="GU173" s="681">
        <v>61</v>
      </c>
      <c r="GV173" s="681">
        <v>61</v>
      </c>
      <c r="GW173" s="681">
        <v>64</v>
      </c>
      <c r="GX173" s="681">
        <v>65</v>
      </c>
      <c r="GY173" s="681">
        <v>66</v>
      </c>
      <c r="GZ173" s="681">
        <v>66</v>
      </c>
      <c r="HA173" s="681">
        <v>68</v>
      </c>
      <c r="HB173" s="681">
        <v>69</v>
      </c>
      <c r="HC173" s="681"/>
      <c r="HD173" s="681">
        <v>55</v>
      </c>
      <c r="HE173" s="681"/>
      <c r="HF173" s="681">
        <v>581</v>
      </c>
      <c r="HG173" s="738">
        <v>81</v>
      </c>
      <c r="HH173" s="714">
        <v>79</v>
      </c>
      <c r="HI173" s="714">
        <v>32.7</v>
      </c>
      <c r="HJ173" s="753">
        <v>0.208</v>
      </c>
      <c r="HK173" s="681">
        <v>92</v>
      </c>
      <c r="HL173" s="685">
        <v>2.73</v>
      </c>
      <c r="HM173" s="747">
        <v>2.39</v>
      </c>
      <c r="HN173" s="729" t="s">
        <v>318</v>
      </c>
      <c r="HO173" s="729" t="s">
        <v>1357</v>
      </c>
      <c r="HP173" s="714">
        <v>-1.4</v>
      </c>
      <c r="HQ173" s="755">
        <v>0.878</v>
      </c>
      <c r="HR173" s="755">
        <v>0.939</v>
      </c>
      <c r="HS173" s="755">
        <v>0.985</v>
      </c>
      <c r="HT173" s="755">
        <v>0.995</v>
      </c>
      <c r="HU173" s="755">
        <v>0.999</v>
      </c>
      <c r="HV173" s="755">
        <v>0.999</v>
      </c>
      <c r="HW173" s="755">
        <v>0.999</v>
      </c>
      <c r="HX173" s="755">
        <v>0.999</v>
      </c>
      <c r="HY173" s="755">
        <v>0.999</v>
      </c>
      <c r="HZ173" s="755">
        <v>0.999</v>
      </c>
      <c r="IA173" s="755">
        <v>0.999</v>
      </c>
      <c r="IB173" s="755">
        <v>0.999</v>
      </c>
      <c r="IC173" s="755">
        <v>0.999</v>
      </c>
      <c r="ID173" s="755">
        <v>0.999</v>
      </c>
      <c r="IE173" s="755">
        <v>0.999</v>
      </c>
      <c r="IF173" s="755">
        <v>0.999</v>
      </c>
      <c r="IG173" s="755">
        <v>0.999</v>
      </c>
      <c r="IH173" s="755">
        <v>0.999</v>
      </c>
      <c r="II173" s="755">
        <v>0.999</v>
      </c>
      <c r="IJ173" s="755">
        <v>0.999</v>
      </c>
      <c r="IK173" s="755">
        <v>0.999</v>
      </c>
      <c r="IL173" s="755">
        <v>0.999</v>
      </c>
      <c r="IM173" s="755">
        <v>0.999</v>
      </c>
      <c r="IN173" s="755">
        <v>0.999</v>
      </c>
      <c r="IO173" s="755">
        <v>0.998</v>
      </c>
      <c r="IP173" s="755">
        <v>0.997</v>
      </c>
      <c r="IQ173" s="755">
        <v>0.996</v>
      </c>
      <c r="IR173" s="755">
        <v>0.993</v>
      </c>
      <c r="IS173" s="755">
        <v>0.987</v>
      </c>
      <c r="IT173" s="755">
        <v>0.973</v>
      </c>
      <c r="IU173" s="755">
        <v>0.947</v>
      </c>
      <c r="IV173" s="755">
        <v>0.891</v>
      </c>
      <c r="IW173" s="755">
        <v>0.774</v>
      </c>
      <c r="IX173" s="755">
        <v>0.556</v>
      </c>
      <c r="IY173" s="755">
        <v>0.256</v>
      </c>
      <c r="IZ173" s="755"/>
      <c r="JA173" s="755">
        <v>0.771</v>
      </c>
      <c r="JB173" s="755">
        <v>0.882</v>
      </c>
      <c r="JC173" s="755">
        <v>0.97</v>
      </c>
      <c r="JD173" s="755">
        <v>0.99</v>
      </c>
      <c r="JE173" s="755">
        <v>0.998</v>
      </c>
      <c r="JF173" s="755">
        <v>0.998</v>
      </c>
      <c r="JG173" s="755">
        <v>0.998</v>
      </c>
      <c r="JH173" s="755">
        <v>0.998</v>
      </c>
      <c r="JI173" s="755">
        <v>0.998</v>
      </c>
      <c r="JJ173" s="755">
        <v>0.998</v>
      </c>
      <c r="JK173" s="755">
        <v>0.998</v>
      </c>
      <c r="JL173" s="755">
        <v>0.998</v>
      </c>
      <c r="JM173" s="755">
        <v>0.998</v>
      </c>
      <c r="JN173" s="755">
        <v>0.998</v>
      </c>
      <c r="JO173" s="755">
        <v>0.998</v>
      </c>
      <c r="JP173" s="755">
        <v>0.998</v>
      </c>
      <c r="JQ173" s="755">
        <v>0.998</v>
      </c>
      <c r="JR173" s="755">
        <v>0.998</v>
      </c>
      <c r="JS173" s="755">
        <v>0.998</v>
      </c>
      <c r="JT173" s="755">
        <v>0.998</v>
      </c>
      <c r="JU173" s="755">
        <v>0.998</v>
      </c>
      <c r="JV173" s="755">
        <v>0.998</v>
      </c>
      <c r="JW173" s="755">
        <v>0.998</v>
      </c>
      <c r="JX173" s="755">
        <v>0.998</v>
      </c>
      <c r="JY173" s="755">
        <v>0.997</v>
      </c>
      <c r="JZ173" s="755">
        <v>0.996</v>
      </c>
      <c r="KA173" s="755">
        <v>0.995</v>
      </c>
      <c r="KB173" s="755">
        <v>0.987</v>
      </c>
      <c r="KC173" s="755">
        <v>0.976</v>
      </c>
      <c r="KD173" s="755">
        <v>0.95</v>
      </c>
      <c r="KE173" s="755">
        <v>0.898</v>
      </c>
      <c r="KF173" s="755">
        <v>0.794</v>
      </c>
      <c r="KG173" s="755">
        <v>0.598</v>
      </c>
      <c r="KH173" s="755">
        <v>0.308</v>
      </c>
      <c r="KI173" s="755">
        <v>0.066</v>
      </c>
      <c r="KJ173" s="755"/>
      <c r="KK173" s="765" t="s">
        <v>1349</v>
      </c>
      <c r="KL173" s="738">
        <v>55</v>
      </c>
      <c r="KM173" s="738">
        <v>131</v>
      </c>
      <c r="KN173" s="646" t="s">
        <v>282</v>
      </c>
      <c r="KO173" s="646" t="s">
        <v>1356</v>
      </c>
      <c r="KP173" s="679">
        <v>516641</v>
      </c>
      <c r="KQ173" s="789" t="s">
        <v>1358</v>
      </c>
      <c r="KR173" s="750" t="s">
        <v>392</v>
      </c>
      <c r="KS173" s="789" t="s">
        <v>1359</v>
      </c>
      <c r="KT173" s="770" t="s">
        <v>1360</v>
      </c>
      <c r="KU173" s="789"/>
      <c r="KV173" s="750"/>
      <c r="KW173" s="771" t="s">
        <v>395</v>
      </c>
      <c r="KX173" s="750" t="s">
        <v>392</v>
      </c>
      <c r="KY173" s="789" t="s">
        <v>1361</v>
      </c>
      <c r="KZ173" s="770" t="s">
        <v>392</v>
      </c>
    </row>
    <row r="174" s="628" customFormat="1" customHeight="1" spans="1:312">
      <c r="A174" s="682" t="s">
        <v>277</v>
      </c>
      <c r="B174" s="683">
        <v>170</v>
      </c>
      <c r="C174" s="781" t="s">
        <v>1362</v>
      </c>
      <c r="D174" s="687">
        <v>592670</v>
      </c>
      <c r="E174" s="685">
        <v>67</v>
      </c>
      <c r="F174" s="685">
        <v>66.73</v>
      </c>
      <c r="G174" s="688">
        <v>0.008833</v>
      </c>
      <c r="H174" s="686">
        <v>0.008899</v>
      </c>
      <c r="I174" s="696">
        <v>1.56449</v>
      </c>
      <c r="J174" s="696">
        <v>1.56973</v>
      </c>
      <c r="K174" s="696">
        <v>1.5754</v>
      </c>
      <c r="L174" s="696">
        <v>1.58027</v>
      </c>
      <c r="M174" s="696">
        <v>1.58112</v>
      </c>
      <c r="N174" s="696">
        <v>1.58182</v>
      </c>
      <c r="O174" s="696">
        <v>1.58444</v>
      </c>
      <c r="P174" s="696">
        <v>1.58618</v>
      </c>
      <c r="Q174" s="697">
        <v>1.58775</v>
      </c>
      <c r="R174" s="697">
        <v>1.58931</v>
      </c>
      <c r="S174" s="697">
        <v>1.58974</v>
      </c>
      <c r="T174" s="701">
        <v>1.59014</v>
      </c>
      <c r="U174" s="697">
        <v>1.59193</v>
      </c>
      <c r="V174" s="697">
        <v>1.59201</v>
      </c>
      <c r="W174" s="697">
        <v>1.59412</v>
      </c>
      <c r="X174" s="697">
        <v>1.59814</v>
      </c>
      <c r="Y174" s="697">
        <v>1.59864</v>
      </c>
      <c r="Z174" s="697">
        <v>1.60291</v>
      </c>
      <c r="AA174" s="697">
        <v>1.60684</v>
      </c>
      <c r="AB174" s="697">
        <v>1.61349</v>
      </c>
      <c r="AC174" s="704">
        <v>2.50030926</v>
      </c>
      <c r="AD174" s="705">
        <v>-0.0101689443</v>
      </c>
      <c r="AE174" s="705">
        <v>0.0124607241</v>
      </c>
      <c r="AF174" s="705">
        <v>0.000185952458</v>
      </c>
      <c r="AG174" s="705">
        <v>2.05179854e-6</v>
      </c>
      <c r="AH174" s="705">
        <v>-1.49222817e-7</v>
      </c>
      <c r="AI174" s="709">
        <v>0.3057</v>
      </c>
      <c r="AJ174" s="709">
        <v>0.2389</v>
      </c>
      <c r="AK174" s="709">
        <v>0.54</v>
      </c>
      <c r="AL174" s="709">
        <v>0.2551</v>
      </c>
      <c r="AM174" s="709">
        <v>0.2371</v>
      </c>
      <c r="AN174" s="709">
        <v>0.4798</v>
      </c>
      <c r="AO174" s="709">
        <v>0.0019</v>
      </c>
      <c r="AP174" s="709">
        <v>0.0077</v>
      </c>
      <c r="AQ174" s="709">
        <v>-0.0168</v>
      </c>
      <c r="AR174" s="709">
        <v>-0.0099</v>
      </c>
      <c r="AS174" s="714">
        <v>-1.8</v>
      </c>
      <c r="AT174" s="715">
        <v>-1.9</v>
      </c>
      <c r="AU174" s="715">
        <v>-2</v>
      </c>
      <c r="AV174" s="715">
        <v>-2.1</v>
      </c>
      <c r="AW174" s="715">
        <v>-2.1</v>
      </c>
      <c r="AX174" s="715">
        <v>-2.1</v>
      </c>
      <c r="AY174" s="715">
        <v>-2.1</v>
      </c>
      <c r="AZ174" s="715">
        <v>-2.2</v>
      </c>
      <c r="BA174" s="715">
        <v>-2.1</v>
      </c>
      <c r="BB174" s="715">
        <v>-2.1</v>
      </c>
      <c r="BC174" s="715">
        <v>-2.1</v>
      </c>
      <c r="BD174" s="715">
        <v>-1.7</v>
      </c>
      <c r="BE174" s="715">
        <v>-1.8</v>
      </c>
      <c r="BF174" s="715">
        <v>-1.9</v>
      </c>
      <c r="BG174" s="715">
        <v>-1.9</v>
      </c>
      <c r="BH174" s="715">
        <v>-2</v>
      </c>
      <c r="BI174" s="715">
        <v>-2</v>
      </c>
      <c r="BJ174" s="715">
        <v>-2</v>
      </c>
      <c r="BK174" s="715">
        <v>-2</v>
      </c>
      <c r="BL174" s="715">
        <v>-2</v>
      </c>
      <c r="BM174" s="715">
        <v>-2</v>
      </c>
      <c r="BN174" s="715">
        <v>-2</v>
      </c>
      <c r="BO174" s="715">
        <v>-1.5</v>
      </c>
      <c r="BP174" s="715">
        <v>-1.6</v>
      </c>
      <c r="BQ174" s="715">
        <v>-1.8</v>
      </c>
      <c r="BR174" s="715">
        <v>-1.8</v>
      </c>
      <c r="BS174" s="715">
        <v>-1.9</v>
      </c>
      <c r="BT174" s="715">
        <v>-1.9</v>
      </c>
      <c r="BU174" s="715">
        <v>-1.9</v>
      </c>
      <c r="BV174" s="715">
        <v>-2</v>
      </c>
      <c r="BW174" s="715">
        <v>-1.9</v>
      </c>
      <c r="BX174" s="715">
        <v>-1.9</v>
      </c>
      <c r="BY174" s="715">
        <v>-1.9</v>
      </c>
      <c r="BZ174" s="715">
        <v>-1.5</v>
      </c>
      <c r="CA174" s="715">
        <v>-1.6</v>
      </c>
      <c r="CB174" s="715">
        <v>-1.7</v>
      </c>
      <c r="CC174" s="715">
        <v>-1.8</v>
      </c>
      <c r="CD174" s="715">
        <v>-1.9</v>
      </c>
      <c r="CE174" s="715">
        <v>-1.9</v>
      </c>
      <c r="CF174" s="715">
        <v>-1.9</v>
      </c>
      <c r="CG174" s="715">
        <v>-2</v>
      </c>
      <c r="CH174" s="715">
        <v>-1.9</v>
      </c>
      <c r="CI174" s="715">
        <v>-1.9</v>
      </c>
      <c r="CJ174" s="715">
        <v>-1.9</v>
      </c>
      <c r="CK174" s="715">
        <v>-1.5</v>
      </c>
      <c r="CL174" s="715">
        <v>-1.6</v>
      </c>
      <c r="CM174" s="715">
        <v>-1.7</v>
      </c>
      <c r="CN174" s="715">
        <v>-1.8</v>
      </c>
      <c r="CO174" s="715">
        <v>-1.9</v>
      </c>
      <c r="CP174" s="715">
        <v>-1.9</v>
      </c>
      <c r="CQ174" s="715">
        <v>-1.9</v>
      </c>
      <c r="CR174" s="715">
        <v>-2</v>
      </c>
      <c r="CS174" s="715">
        <v>-1.9</v>
      </c>
      <c r="CT174" s="715">
        <v>-1.9</v>
      </c>
      <c r="CU174" s="715">
        <v>-1.9</v>
      </c>
      <c r="CV174" s="715">
        <v>-1.4</v>
      </c>
      <c r="CW174" s="715">
        <v>-1.5</v>
      </c>
      <c r="CX174" s="715">
        <v>-1.6</v>
      </c>
      <c r="CY174" s="715">
        <v>-1.7</v>
      </c>
      <c r="CZ174" s="715">
        <v>-1.8</v>
      </c>
      <c r="DA174" s="715">
        <v>-1.8</v>
      </c>
      <c r="DB174" s="715">
        <v>-1.8</v>
      </c>
      <c r="DC174" s="715">
        <v>-1.9</v>
      </c>
      <c r="DD174" s="715">
        <v>-1.8</v>
      </c>
      <c r="DE174" s="715">
        <v>-1.9</v>
      </c>
      <c r="DF174" s="715">
        <v>-1.9</v>
      </c>
      <c r="DG174" s="715">
        <v>-1.3</v>
      </c>
      <c r="DH174" s="715">
        <v>-1.4</v>
      </c>
      <c r="DI174" s="715">
        <v>-1.4</v>
      </c>
      <c r="DJ174" s="715">
        <v>-1.6</v>
      </c>
      <c r="DK174" s="715">
        <v>-1.7</v>
      </c>
      <c r="DL174" s="715">
        <v>-1.6</v>
      </c>
      <c r="DM174" s="715">
        <v>-1.6</v>
      </c>
      <c r="DN174" s="715">
        <v>-1.7</v>
      </c>
      <c r="DO174" s="715">
        <v>-1.8</v>
      </c>
      <c r="DP174" s="715">
        <v>-1.9</v>
      </c>
      <c r="DQ174" s="715">
        <v>-1.9</v>
      </c>
      <c r="DR174" s="715">
        <v>-1.1</v>
      </c>
      <c r="DS174" s="715">
        <v>-1.2</v>
      </c>
      <c r="DT174" s="715">
        <v>-1.3</v>
      </c>
      <c r="DU174" s="715">
        <v>-1.4</v>
      </c>
      <c r="DV174" s="715">
        <v>-1.4</v>
      </c>
      <c r="DW174" s="715">
        <v>-1.4</v>
      </c>
      <c r="DX174" s="715">
        <v>-1.4</v>
      </c>
      <c r="DY174" s="715">
        <v>-1.5</v>
      </c>
      <c r="DZ174" s="715">
        <v>-1.4</v>
      </c>
      <c r="EA174" s="715">
        <v>-1.4</v>
      </c>
      <c r="EB174" s="715">
        <v>-1.4</v>
      </c>
      <c r="EC174" s="715">
        <v>-1.1</v>
      </c>
      <c r="ED174" s="715">
        <v>-1.2</v>
      </c>
      <c r="EE174" s="715">
        <v>-1.3</v>
      </c>
      <c r="EF174" s="715">
        <v>-1.4</v>
      </c>
      <c r="EG174" s="715">
        <v>-1.4</v>
      </c>
      <c r="EH174" s="715">
        <v>-1.4</v>
      </c>
      <c r="EI174" s="715">
        <v>-1.4</v>
      </c>
      <c r="EJ174" s="715">
        <v>-1.5</v>
      </c>
      <c r="EK174" s="715">
        <v>-1.4</v>
      </c>
      <c r="EL174" s="715">
        <v>-1.4</v>
      </c>
      <c r="EM174" s="715">
        <v>-1.4</v>
      </c>
      <c r="EN174" s="715">
        <v>-0.9</v>
      </c>
      <c r="EO174" s="715">
        <v>-1</v>
      </c>
      <c r="EP174" s="715">
        <v>-1.1</v>
      </c>
      <c r="EQ174" s="715">
        <v>-1.1</v>
      </c>
      <c r="ER174" s="715">
        <v>-1.2</v>
      </c>
      <c r="ES174" s="715">
        <v>-1.2</v>
      </c>
      <c r="ET174" s="715">
        <v>-1.1</v>
      </c>
      <c r="EU174" s="715">
        <v>-1.2</v>
      </c>
      <c r="EV174" s="715">
        <v>-1.1</v>
      </c>
      <c r="EW174" s="715">
        <v>-1.1</v>
      </c>
      <c r="EX174" s="715">
        <v>-1.2</v>
      </c>
      <c r="EY174" s="715">
        <v>-4.1</v>
      </c>
      <c r="EZ174" s="715">
        <v>-3.8</v>
      </c>
      <c r="FA174" s="715">
        <v>-3.5</v>
      </c>
      <c r="FB174" s="715">
        <v>-3.4</v>
      </c>
      <c r="FC174" s="715">
        <v>-3.3</v>
      </c>
      <c r="FD174" s="715">
        <v>-3.1</v>
      </c>
      <c r="FE174" s="715">
        <v>-3</v>
      </c>
      <c r="FF174" s="715">
        <v>-3</v>
      </c>
      <c r="FG174" s="715">
        <v>-2.8</v>
      </c>
      <c r="FH174" s="715">
        <v>-2.7</v>
      </c>
      <c r="FI174" s="715">
        <v>-2.6</v>
      </c>
      <c r="FJ174" s="723">
        <v>-7.71e-6</v>
      </c>
      <c r="FK174" s="723">
        <v>8.45e-9</v>
      </c>
      <c r="FL174" s="723">
        <v>-1.72e-11</v>
      </c>
      <c r="FM174" s="723">
        <v>2.67e-7</v>
      </c>
      <c r="FN174" s="723">
        <v>1.07e-10</v>
      </c>
      <c r="FO174" s="723">
        <v>0.275</v>
      </c>
      <c r="FP174" s="730">
        <v>1</v>
      </c>
      <c r="FQ174" s="730">
        <v>1</v>
      </c>
      <c r="FR174" s="730">
        <v>1</v>
      </c>
      <c r="FS174" s="730">
        <v>4</v>
      </c>
      <c r="FT174" s="730">
        <v>1</v>
      </c>
      <c r="FU174" s="730">
        <v>2</v>
      </c>
      <c r="FV174" s="681">
        <v>2</v>
      </c>
      <c r="FW174" s="730"/>
      <c r="FX174" s="730"/>
      <c r="FY174" s="730"/>
      <c r="FZ174" s="783">
        <v>509</v>
      </c>
      <c r="GA174" s="783">
        <v>538</v>
      </c>
      <c r="GB174" s="736">
        <v>481</v>
      </c>
      <c r="GC174" s="736">
        <v>502</v>
      </c>
      <c r="GD174" s="748">
        <v>0.78</v>
      </c>
      <c r="GE174" s="730"/>
      <c r="GF174" s="736">
        <v>87</v>
      </c>
      <c r="GG174" s="736">
        <v>113</v>
      </c>
      <c r="GH174" s="736">
        <v>79</v>
      </c>
      <c r="GI174" s="736">
        <v>81</v>
      </c>
      <c r="GJ174" s="736">
        <v>85</v>
      </c>
      <c r="GK174" s="736">
        <v>87</v>
      </c>
      <c r="GL174" s="736">
        <v>89</v>
      </c>
      <c r="GM174" s="736">
        <v>90</v>
      </c>
      <c r="GN174" s="736">
        <v>91</v>
      </c>
      <c r="GO174" s="736">
        <v>93</v>
      </c>
      <c r="GP174" s="736">
        <v>93</v>
      </c>
      <c r="GQ174" s="736">
        <v>95</v>
      </c>
      <c r="GR174" s="736">
        <v>96</v>
      </c>
      <c r="GS174" s="736">
        <v>96</v>
      </c>
      <c r="GT174" s="736">
        <v>98</v>
      </c>
      <c r="GU174" s="736">
        <v>100</v>
      </c>
      <c r="GV174" s="736">
        <v>102</v>
      </c>
      <c r="GW174" s="736">
        <v>102</v>
      </c>
      <c r="GX174" s="736">
        <v>103</v>
      </c>
      <c r="GY174" s="736">
        <v>104</v>
      </c>
      <c r="GZ174" s="736">
        <v>106</v>
      </c>
      <c r="HA174" s="736">
        <v>106</v>
      </c>
      <c r="HB174" s="736">
        <v>108</v>
      </c>
      <c r="HC174" s="736"/>
      <c r="HD174" s="750">
        <v>120</v>
      </c>
      <c r="HE174" s="736"/>
      <c r="HF174" s="736">
        <v>426</v>
      </c>
      <c r="HG174" s="736">
        <v>299</v>
      </c>
      <c r="HH174" s="714">
        <v>80.4</v>
      </c>
      <c r="HI174" s="714">
        <v>31</v>
      </c>
      <c r="HJ174" s="755">
        <v>0.297</v>
      </c>
      <c r="HK174" s="736">
        <v>57</v>
      </c>
      <c r="HL174" s="685">
        <v>1.3</v>
      </c>
      <c r="HM174" s="748">
        <v>3.27</v>
      </c>
      <c r="HN174" s="730" t="s">
        <v>337</v>
      </c>
      <c r="HO174" s="730" t="s">
        <v>338</v>
      </c>
      <c r="HP174" s="716">
        <v>-2.5</v>
      </c>
      <c r="HQ174" s="755">
        <v>0.915</v>
      </c>
      <c r="HR174" s="755">
        <v>0.947</v>
      </c>
      <c r="HS174" s="755">
        <v>0.977</v>
      </c>
      <c r="HT174" s="755">
        <v>0.99</v>
      </c>
      <c r="HU174" s="755">
        <v>0.999</v>
      </c>
      <c r="HV174" s="755">
        <v>0.999</v>
      </c>
      <c r="HW174" s="755">
        <v>0.999</v>
      </c>
      <c r="HX174" s="755">
        <v>0.999</v>
      </c>
      <c r="HY174" s="755">
        <v>0.999</v>
      </c>
      <c r="HZ174" s="755">
        <v>0.999</v>
      </c>
      <c r="IA174" s="755">
        <v>0.999</v>
      </c>
      <c r="IB174" s="755">
        <v>0.999</v>
      </c>
      <c r="IC174" s="755">
        <v>0.999</v>
      </c>
      <c r="ID174" s="755">
        <v>0.999</v>
      </c>
      <c r="IE174" s="755">
        <v>0.999</v>
      </c>
      <c r="IF174" s="755">
        <v>0.999</v>
      </c>
      <c r="IG174" s="755">
        <v>0.999</v>
      </c>
      <c r="IH174" s="755">
        <v>0.999</v>
      </c>
      <c r="II174" s="755">
        <v>0.999</v>
      </c>
      <c r="IJ174" s="755">
        <v>0.999</v>
      </c>
      <c r="IK174" s="755">
        <v>0.999</v>
      </c>
      <c r="IL174" s="755">
        <v>0.998</v>
      </c>
      <c r="IM174" s="755">
        <v>0.996</v>
      </c>
      <c r="IN174" s="755">
        <v>0.994</v>
      </c>
      <c r="IO174" s="755">
        <v>0.992</v>
      </c>
      <c r="IP174" s="755">
        <v>0.99</v>
      </c>
      <c r="IQ174" s="755">
        <v>0.985</v>
      </c>
      <c r="IR174" s="755">
        <v>0.978</v>
      </c>
      <c r="IS174" s="755">
        <v>0.967</v>
      </c>
      <c r="IT174" s="755">
        <v>0.945</v>
      </c>
      <c r="IU174" s="755">
        <v>0.908</v>
      </c>
      <c r="IV174" s="755">
        <v>0.848</v>
      </c>
      <c r="IW174" s="755">
        <v>0.762</v>
      </c>
      <c r="IX174" s="755">
        <v>0.657</v>
      </c>
      <c r="IY174" s="755">
        <v>0.542</v>
      </c>
      <c r="IZ174" s="755">
        <v>0.422</v>
      </c>
      <c r="JA174" s="755">
        <v>0.837</v>
      </c>
      <c r="JB174" s="755">
        <v>0.897</v>
      </c>
      <c r="JC174" s="755">
        <v>0.955</v>
      </c>
      <c r="JD174" s="755">
        <v>0.98</v>
      </c>
      <c r="JE174" s="755">
        <v>0.998</v>
      </c>
      <c r="JF174" s="755">
        <v>0.998</v>
      </c>
      <c r="JG174" s="755">
        <v>0.998</v>
      </c>
      <c r="JH174" s="755">
        <v>0.998</v>
      </c>
      <c r="JI174" s="755">
        <v>0.998</v>
      </c>
      <c r="JJ174" s="755">
        <v>0.998</v>
      </c>
      <c r="JK174" s="755">
        <v>0.998</v>
      </c>
      <c r="JL174" s="755">
        <v>0.998</v>
      </c>
      <c r="JM174" s="755">
        <v>0.998</v>
      </c>
      <c r="JN174" s="755">
        <v>0.998</v>
      </c>
      <c r="JO174" s="755">
        <v>0.998</v>
      </c>
      <c r="JP174" s="755">
        <v>0.998</v>
      </c>
      <c r="JQ174" s="755">
        <v>0.998</v>
      </c>
      <c r="JR174" s="755">
        <v>0.998</v>
      </c>
      <c r="JS174" s="755">
        <v>0.998</v>
      </c>
      <c r="JT174" s="755">
        <v>0.998</v>
      </c>
      <c r="JU174" s="755">
        <v>0.998</v>
      </c>
      <c r="JV174" s="755">
        <v>0.995</v>
      </c>
      <c r="JW174" s="755">
        <v>0.992</v>
      </c>
      <c r="JX174" s="755">
        <v>0.988</v>
      </c>
      <c r="JY174" s="755">
        <v>0.984</v>
      </c>
      <c r="JZ174" s="755">
        <v>0.98</v>
      </c>
      <c r="KA174" s="755">
        <v>0.972</v>
      </c>
      <c r="KB174" s="755">
        <v>0.952</v>
      </c>
      <c r="KC174" s="755">
        <v>0.93</v>
      </c>
      <c r="KD174" s="755">
        <v>0.889</v>
      </c>
      <c r="KE174" s="755">
        <v>0.821</v>
      </c>
      <c r="KF174" s="755">
        <v>0.716</v>
      </c>
      <c r="KG174" s="755">
        <v>0.579</v>
      </c>
      <c r="KH174" s="755">
        <v>0.433</v>
      </c>
      <c r="KI174" s="755">
        <v>0.297</v>
      </c>
      <c r="KJ174" s="755">
        <v>0.182</v>
      </c>
      <c r="KK174" s="765" t="s">
        <v>1349</v>
      </c>
      <c r="KL174" s="738">
        <v>127</v>
      </c>
      <c r="KM174" s="738">
        <v>415</v>
      </c>
      <c r="KN174" s="646" t="s">
        <v>339</v>
      </c>
      <c r="KO174" s="646" t="s">
        <v>1362</v>
      </c>
      <c r="KP174" s="687">
        <v>592670</v>
      </c>
      <c r="KQ174" s="789"/>
      <c r="KR174" s="750"/>
      <c r="KS174" s="766" t="s">
        <v>1363</v>
      </c>
      <c r="KT174" s="770" t="s">
        <v>1364</v>
      </c>
      <c r="KU174" s="789" t="s">
        <v>1365</v>
      </c>
      <c r="KV174" s="750">
        <v>592670</v>
      </c>
      <c r="KW174" s="771" t="s">
        <v>343</v>
      </c>
      <c r="KX174" s="750" t="s">
        <v>344</v>
      </c>
      <c r="KY174" s="766"/>
      <c r="KZ174" s="770"/>
    </row>
    <row r="175" s="628" customFormat="1" customHeight="1" spans="1:312">
      <c r="A175" s="682" t="s">
        <v>345</v>
      </c>
      <c r="B175" s="683">
        <v>171</v>
      </c>
      <c r="C175" s="684" t="s">
        <v>1366</v>
      </c>
      <c r="D175" s="687">
        <v>592670</v>
      </c>
      <c r="E175" s="685">
        <v>67</v>
      </c>
      <c r="F175" s="685">
        <v>66.74</v>
      </c>
      <c r="G175" s="688">
        <v>0.008836</v>
      </c>
      <c r="H175" s="686">
        <v>0.008902</v>
      </c>
      <c r="I175" s="696"/>
      <c r="J175" s="696"/>
      <c r="K175" s="696"/>
      <c r="L175" s="696">
        <v>1.58026</v>
      </c>
      <c r="M175" s="696">
        <v>1.5811</v>
      </c>
      <c r="N175" s="696">
        <v>1.58179</v>
      </c>
      <c r="O175" s="696">
        <v>1.58441</v>
      </c>
      <c r="P175" s="696">
        <v>1.58616</v>
      </c>
      <c r="Q175" s="697">
        <v>1.58775</v>
      </c>
      <c r="R175" s="697">
        <v>1.5893</v>
      </c>
      <c r="S175" s="697">
        <v>1.58974</v>
      </c>
      <c r="T175" s="701">
        <v>1.59014</v>
      </c>
      <c r="U175" s="697">
        <v>1.59193</v>
      </c>
      <c r="V175" s="697">
        <v>1.59201</v>
      </c>
      <c r="W175" s="697">
        <v>1.59412</v>
      </c>
      <c r="X175" s="697">
        <v>1.59814</v>
      </c>
      <c r="Y175" s="697">
        <v>1.59864</v>
      </c>
      <c r="Z175" s="697">
        <v>1.60291</v>
      </c>
      <c r="AA175" s="697">
        <v>1.60685</v>
      </c>
      <c r="AB175" s="697">
        <v>1.61347</v>
      </c>
      <c r="AC175" s="704">
        <v>2.49773939</v>
      </c>
      <c r="AD175" s="705">
        <v>-0.00908291831</v>
      </c>
      <c r="AE175" s="705">
        <v>0.0143828132</v>
      </c>
      <c r="AF175" s="705">
        <v>-0.000431987762</v>
      </c>
      <c r="AG175" s="705">
        <v>9.07002654e-5</v>
      </c>
      <c r="AH175" s="705">
        <v>-4.79737948e-6</v>
      </c>
      <c r="AI175" s="709">
        <v>0.3066</v>
      </c>
      <c r="AJ175" s="709">
        <v>0.2383</v>
      </c>
      <c r="AK175" s="709">
        <v>0.5394</v>
      </c>
      <c r="AL175" s="709">
        <v>0.2557</v>
      </c>
      <c r="AM175" s="709">
        <v>0.2366</v>
      </c>
      <c r="AN175" s="709">
        <v>0.4792</v>
      </c>
      <c r="AO175" s="709">
        <v>0.0017</v>
      </c>
      <c r="AP175" s="709">
        <v>0.0071</v>
      </c>
      <c r="AQ175" s="709">
        <v>-0.0143</v>
      </c>
      <c r="AR175" s="709">
        <v>-0.0071</v>
      </c>
      <c r="AS175" s="714">
        <v>-2.3</v>
      </c>
      <c r="AT175" s="715">
        <v>-2.3</v>
      </c>
      <c r="AU175" s="715">
        <v>-2.3</v>
      </c>
      <c r="AV175" s="715">
        <v>-2.3</v>
      </c>
      <c r="AW175" s="715">
        <v>-2.2</v>
      </c>
      <c r="AX175" s="715">
        <v>-2.1</v>
      </c>
      <c r="AY175" s="715">
        <v>-2</v>
      </c>
      <c r="AZ175" s="715">
        <v>-1.9</v>
      </c>
      <c r="BA175" s="715">
        <v>-1.8</v>
      </c>
      <c r="BB175" s="715">
        <v>-1.7</v>
      </c>
      <c r="BC175" s="715">
        <v>-1.6</v>
      </c>
      <c r="BD175" s="715">
        <v>-2.2</v>
      </c>
      <c r="BE175" s="715">
        <v>-2.2</v>
      </c>
      <c r="BF175" s="715">
        <v>-2.2</v>
      </c>
      <c r="BG175" s="715">
        <v>-2.1</v>
      </c>
      <c r="BH175" s="715">
        <v>-2.1</v>
      </c>
      <c r="BI175" s="715">
        <v>-2</v>
      </c>
      <c r="BJ175" s="715">
        <v>-1.9</v>
      </c>
      <c r="BK175" s="715">
        <v>-1.8</v>
      </c>
      <c r="BL175" s="715">
        <v>-1.7</v>
      </c>
      <c r="BM175" s="715">
        <v>-1.6</v>
      </c>
      <c r="BN175" s="715">
        <v>-1.5</v>
      </c>
      <c r="BO175" s="715">
        <v>-1.8</v>
      </c>
      <c r="BP175" s="715">
        <v>-1.9</v>
      </c>
      <c r="BQ175" s="715">
        <v>-1.9</v>
      </c>
      <c r="BR175" s="715">
        <v>-1.8</v>
      </c>
      <c r="BS175" s="715">
        <v>-1.7</v>
      </c>
      <c r="BT175" s="715">
        <v>-1.7</v>
      </c>
      <c r="BU175" s="715">
        <v>-1.6</v>
      </c>
      <c r="BV175" s="715">
        <v>-1.5</v>
      </c>
      <c r="BW175" s="715">
        <v>-1.4</v>
      </c>
      <c r="BX175" s="715">
        <v>-1.3</v>
      </c>
      <c r="BY175" s="715">
        <v>-1.2</v>
      </c>
      <c r="BZ175" s="715">
        <v>-1.8</v>
      </c>
      <c r="CA175" s="715">
        <v>-1.9</v>
      </c>
      <c r="CB175" s="715">
        <v>-1.9</v>
      </c>
      <c r="CC175" s="715">
        <v>-1.8</v>
      </c>
      <c r="CD175" s="715">
        <v>-1.7</v>
      </c>
      <c r="CE175" s="715">
        <v>-1.6</v>
      </c>
      <c r="CF175" s="715">
        <v>-1.5</v>
      </c>
      <c r="CG175" s="715">
        <v>-1.4</v>
      </c>
      <c r="CH175" s="715">
        <v>-1.3</v>
      </c>
      <c r="CI175" s="715">
        <v>-1.3</v>
      </c>
      <c r="CJ175" s="715">
        <v>-1.2</v>
      </c>
      <c r="CK175" s="715">
        <v>-1.8</v>
      </c>
      <c r="CL175" s="715">
        <v>-1.8</v>
      </c>
      <c r="CM175" s="715">
        <v>-1.8</v>
      </c>
      <c r="CN175" s="715">
        <v>-1.8</v>
      </c>
      <c r="CO175" s="715">
        <v>-1.7</v>
      </c>
      <c r="CP175" s="715">
        <v>-1.6</v>
      </c>
      <c r="CQ175" s="715">
        <v>-1.5</v>
      </c>
      <c r="CR175" s="715">
        <v>-1.4</v>
      </c>
      <c r="CS175" s="715">
        <v>-1.3</v>
      </c>
      <c r="CT175" s="715">
        <v>-1.2</v>
      </c>
      <c r="CU175" s="715">
        <v>-1.2</v>
      </c>
      <c r="CV175" s="715">
        <v>-1.6</v>
      </c>
      <c r="CW175" s="715">
        <v>-1.7</v>
      </c>
      <c r="CX175" s="715">
        <v>-1.7</v>
      </c>
      <c r="CY175" s="715">
        <v>-1.6</v>
      </c>
      <c r="CZ175" s="715">
        <v>-1.6</v>
      </c>
      <c r="DA175" s="715">
        <v>-1.5</v>
      </c>
      <c r="DB175" s="715">
        <v>-1.4</v>
      </c>
      <c r="DC175" s="715">
        <v>-1.3</v>
      </c>
      <c r="DD175" s="715">
        <v>-1.2</v>
      </c>
      <c r="DE175" s="715">
        <v>-1.1</v>
      </c>
      <c r="DF175" s="715">
        <v>-1</v>
      </c>
      <c r="DG175" s="715">
        <v>-1.5</v>
      </c>
      <c r="DH175" s="715">
        <v>-1.5</v>
      </c>
      <c r="DI175" s="715">
        <v>-1.5</v>
      </c>
      <c r="DJ175" s="715">
        <v>-1.5</v>
      </c>
      <c r="DK175" s="715">
        <v>-1.4</v>
      </c>
      <c r="DL175" s="715">
        <v>-1.3</v>
      </c>
      <c r="DM175" s="715">
        <v>-1.2</v>
      </c>
      <c r="DN175" s="715">
        <v>-1.1</v>
      </c>
      <c r="DO175" s="715">
        <v>-1</v>
      </c>
      <c r="DP175" s="715">
        <v>-1</v>
      </c>
      <c r="DQ175" s="715">
        <v>-0.9</v>
      </c>
      <c r="DR175" s="715">
        <v>-1.2</v>
      </c>
      <c r="DS175" s="715">
        <v>-1.2</v>
      </c>
      <c r="DT175" s="715">
        <v>-1.2</v>
      </c>
      <c r="DU175" s="715">
        <v>-1.2</v>
      </c>
      <c r="DV175" s="715">
        <v>-1.1</v>
      </c>
      <c r="DW175" s="715">
        <v>-1</v>
      </c>
      <c r="DX175" s="715">
        <v>-0.9</v>
      </c>
      <c r="DY175" s="715">
        <v>-0.8</v>
      </c>
      <c r="DZ175" s="715">
        <v>-0.7</v>
      </c>
      <c r="EA175" s="715">
        <v>-0.7</v>
      </c>
      <c r="EB175" s="715">
        <v>-0.6</v>
      </c>
      <c r="EC175" s="715">
        <v>-1.1</v>
      </c>
      <c r="ED175" s="715">
        <v>-1.2</v>
      </c>
      <c r="EE175" s="715">
        <v>-1.2</v>
      </c>
      <c r="EF175" s="715">
        <v>-1.1</v>
      </c>
      <c r="EG175" s="715">
        <v>-1.1</v>
      </c>
      <c r="EH175" s="715">
        <v>-1</v>
      </c>
      <c r="EI175" s="715">
        <v>-0.9</v>
      </c>
      <c r="EJ175" s="715">
        <v>-0.8</v>
      </c>
      <c r="EK175" s="715">
        <v>-0.7</v>
      </c>
      <c r="EL175" s="715">
        <v>-0.6</v>
      </c>
      <c r="EM175" s="715">
        <v>-0.6</v>
      </c>
      <c r="EN175" s="715">
        <v>-0.8</v>
      </c>
      <c r="EO175" s="715">
        <v>-0.9</v>
      </c>
      <c r="EP175" s="715">
        <v>-0.9</v>
      </c>
      <c r="EQ175" s="715">
        <v>-0.8</v>
      </c>
      <c r="ER175" s="715">
        <v>-0.8</v>
      </c>
      <c r="ES175" s="715">
        <v>-0.7</v>
      </c>
      <c r="ET175" s="715">
        <v>-0.6</v>
      </c>
      <c r="EU175" s="715">
        <v>-0.5</v>
      </c>
      <c r="EV175" s="715">
        <v>-0.4</v>
      </c>
      <c r="EW175" s="715">
        <v>-0.3</v>
      </c>
      <c r="EX175" s="715">
        <v>-0.3</v>
      </c>
      <c r="EY175" s="715">
        <v>-4.3</v>
      </c>
      <c r="EZ175" s="715">
        <v>-4</v>
      </c>
      <c r="FA175" s="715">
        <v>-3.7</v>
      </c>
      <c r="FB175" s="715">
        <v>-3.4</v>
      </c>
      <c r="FC175" s="715">
        <v>-3.1</v>
      </c>
      <c r="FD175" s="715">
        <v>-2.8</v>
      </c>
      <c r="FE175" s="715">
        <v>-2.6</v>
      </c>
      <c r="FF175" s="715">
        <v>-2.4</v>
      </c>
      <c r="FG175" s="715">
        <v>-2.2</v>
      </c>
      <c r="FH175" s="715">
        <v>-2</v>
      </c>
      <c r="FI175" s="715">
        <v>-1.9</v>
      </c>
      <c r="FJ175" s="723">
        <v>-8.44e-6</v>
      </c>
      <c r="FK175" s="723">
        <v>1.49e-8</v>
      </c>
      <c r="FL175" s="723">
        <v>-2.04e-11</v>
      </c>
      <c r="FM175" s="723">
        <v>7.08e-7</v>
      </c>
      <c r="FN175" s="723">
        <v>-1.08e-10</v>
      </c>
      <c r="FO175" s="723">
        <v>6.42e-13</v>
      </c>
      <c r="FP175" s="730">
        <v>2</v>
      </c>
      <c r="FQ175" s="730">
        <v>2</v>
      </c>
      <c r="FR175" s="730">
        <v>1</v>
      </c>
      <c r="FS175" s="730">
        <v>4</v>
      </c>
      <c r="FT175" s="730">
        <v>1</v>
      </c>
      <c r="FU175" s="730">
        <v>2</v>
      </c>
      <c r="FV175" s="681">
        <v>1</v>
      </c>
      <c r="FW175" s="730"/>
      <c r="FX175" s="730"/>
      <c r="FY175" s="730"/>
      <c r="FZ175" s="735">
        <v>511</v>
      </c>
      <c r="GA175" s="735">
        <v>541</v>
      </c>
      <c r="GB175" s="736">
        <v>483</v>
      </c>
      <c r="GC175" s="736">
        <v>505</v>
      </c>
      <c r="GD175" s="748">
        <v>0.85</v>
      </c>
      <c r="GE175" s="730"/>
      <c r="GF175" s="736">
        <v>92</v>
      </c>
      <c r="GG175" s="736">
        <v>117</v>
      </c>
      <c r="GH175" s="736">
        <v>82</v>
      </c>
      <c r="GI175" s="736">
        <v>86</v>
      </c>
      <c r="GJ175" s="736">
        <v>88</v>
      </c>
      <c r="GK175" s="736">
        <v>89</v>
      </c>
      <c r="GL175" s="736">
        <v>90</v>
      </c>
      <c r="GM175" s="736">
        <v>91</v>
      </c>
      <c r="GN175" s="736">
        <v>93</v>
      </c>
      <c r="GO175" s="736">
        <v>94</v>
      </c>
      <c r="GP175" s="736">
        <v>96</v>
      </c>
      <c r="GQ175" s="736">
        <v>97</v>
      </c>
      <c r="GR175" s="736">
        <v>98</v>
      </c>
      <c r="GS175" s="736">
        <v>99</v>
      </c>
      <c r="GT175" s="736">
        <v>100</v>
      </c>
      <c r="GU175" s="736">
        <v>102</v>
      </c>
      <c r="GV175" s="736">
        <v>103</v>
      </c>
      <c r="GW175" s="736">
        <v>104</v>
      </c>
      <c r="GX175" s="736">
        <v>105</v>
      </c>
      <c r="GY175" s="736">
        <v>107</v>
      </c>
      <c r="GZ175" s="736">
        <v>109</v>
      </c>
      <c r="HA175" s="736">
        <v>112</v>
      </c>
      <c r="HB175" s="736">
        <v>115</v>
      </c>
      <c r="HC175" s="736"/>
      <c r="HD175" s="750">
        <v>105</v>
      </c>
      <c r="HE175" s="736"/>
      <c r="HF175" s="736">
        <v>466</v>
      </c>
      <c r="HG175" s="736">
        <v>250</v>
      </c>
      <c r="HH175" s="714">
        <v>88.2</v>
      </c>
      <c r="HI175" s="714">
        <v>34.5</v>
      </c>
      <c r="HJ175" s="755">
        <v>0.278</v>
      </c>
      <c r="HK175" s="736"/>
      <c r="HL175" s="685">
        <v>1.38</v>
      </c>
      <c r="HM175" s="748">
        <v>3.16</v>
      </c>
      <c r="HN175" s="730" t="s">
        <v>347</v>
      </c>
      <c r="HO175" s="730" t="s">
        <v>348</v>
      </c>
      <c r="HP175" s="716">
        <v>-1.9</v>
      </c>
      <c r="HQ175" s="755">
        <v>0.958</v>
      </c>
      <c r="HR175" s="755">
        <v>0.978</v>
      </c>
      <c r="HS175" s="755">
        <v>0.991</v>
      </c>
      <c r="HT175" s="755">
        <v>0.996</v>
      </c>
      <c r="HU175" s="755">
        <v>0.999</v>
      </c>
      <c r="HV175" s="755">
        <v>0.999</v>
      </c>
      <c r="HW175" s="755">
        <v>0.999</v>
      </c>
      <c r="HX175" s="755">
        <v>0.999</v>
      </c>
      <c r="HY175" s="755">
        <v>0.999</v>
      </c>
      <c r="HZ175" s="755">
        <v>0.999</v>
      </c>
      <c r="IA175" s="755">
        <v>0.999</v>
      </c>
      <c r="IB175" s="755">
        <v>0.999</v>
      </c>
      <c r="IC175" s="755">
        <v>0.999</v>
      </c>
      <c r="ID175" s="755">
        <v>0.999</v>
      </c>
      <c r="IE175" s="755">
        <v>0.999</v>
      </c>
      <c r="IF175" s="755">
        <v>0.999</v>
      </c>
      <c r="IG175" s="755">
        <v>0.999</v>
      </c>
      <c r="IH175" s="755">
        <v>0.999</v>
      </c>
      <c r="II175" s="755">
        <v>0.999</v>
      </c>
      <c r="IJ175" s="755">
        <v>0.999</v>
      </c>
      <c r="IK175" s="755">
        <v>0.998</v>
      </c>
      <c r="IL175" s="755">
        <v>0.997</v>
      </c>
      <c r="IM175" s="755">
        <v>0.997</v>
      </c>
      <c r="IN175" s="755">
        <v>0.996</v>
      </c>
      <c r="IO175" s="755">
        <v>0.995</v>
      </c>
      <c r="IP175" s="755">
        <v>0.993</v>
      </c>
      <c r="IQ175" s="755">
        <v>0.989</v>
      </c>
      <c r="IR175" s="755">
        <v>0.983</v>
      </c>
      <c r="IS175" s="755">
        <v>0.968</v>
      </c>
      <c r="IT175" s="755">
        <v>0.944</v>
      </c>
      <c r="IU175" s="755">
        <v>0.902</v>
      </c>
      <c r="IV175" s="755">
        <v>0.838</v>
      </c>
      <c r="IW175" s="755">
        <v>0.75</v>
      </c>
      <c r="IX175" s="755">
        <v>0.649</v>
      </c>
      <c r="IY175" s="755">
        <v>0.538</v>
      </c>
      <c r="IZ175" s="755">
        <v>0.424</v>
      </c>
      <c r="JA175" s="755">
        <v>0.917</v>
      </c>
      <c r="JB175" s="755">
        <v>0.956</v>
      </c>
      <c r="JC175" s="755">
        <v>0.983</v>
      </c>
      <c r="JD175" s="755">
        <v>0.991</v>
      </c>
      <c r="JE175" s="755">
        <v>0.997</v>
      </c>
      <c r="JF175" s="755">
        <v>0.998</v>
      </c>
      <c r="JG175" s="755">
        <v>0.998</v>
      </c>
      <c r="JH175" s="755">
        <v>0.998</v>
      </c>
      <c r="JI175" s="755">
        <v>0.998</v>
      </c>
      <c r="JJ175" s="755">
        <v>0.998</v>
      </c>
      <c r="JK175" s="755">
        <v>0.998</v>
      </c>
      <c r="JL175" s="755">
        <v>0.998</v>
      </c>
      <c r="JM175" s="755">
        <v>0.998</v>
      </c>
      <c r="JN175" s="755">
        <v>0.998</v>
      </c>
      <c r="JO175" s="755">
        <v>0.998</v>
      </c>
      <c r="JP175" s="755">
        <v>0.998</v>
      </c>
      <c r="JQ175" s="755">
        <v>0.998</v>
      </c>
      <c r="JR175" s="755">
        <v>0.998</v>
      </c>
      <c r="JS175" s="755">
        <v>0.998</v>
      </c>
      <c r="JT175" s="755">
        <v>0.997</v>
      </c>
      <c r="JU175" s="755">
        <v>0.996</v>
      </c>
      <c r="JV175" s="755">
        <v>0.995</v>
      </c>
      <c r="JW175" s="755">
        <v>0.994</v>
      </c>
      <c r="JX175" s="755">
        <v>0.993</v>
      </c>
      <c r="JY175" s="755">
        <v>0.99</v>
      </c>
      <c r="JZ175" s="755">
        <v>0.986</v>
      </c>
      <c r="KA175" s="755">
        <v>0.979</v>
      </c>
      <c r="KB175" s="755">
        <v>0.965</v>
      </c>
      <c r="KC175" s="755">
        <v>0.938</v>
      </c>
      <c r="KD175" s="755">
        <v>0.891</v>
      </c>
      <c r="KE175" s="755">
        <v>0.814</v>
      </c>
      <c r="KF175" s="755">
        <v>0.703</v>
      </c>
      <c r="KG175" s="755">
        <v>0.563</v>
      </c>
      <c r="KH175" s="755">
        <v>0.421</v>
      </c>
      <c r="KI175" s="755">
        <v>0.289</v>
      </c>
      <c r="KJ175" s="755">
        <v>0.18</v>
      </c>
      <c r="KK175" s="765" t="s">
        <v>1349</v>
      </c>
      <c r="KL175" s="738">
        <v>125</v>
      </c>
      <c r="KM175" s="738">
        <v>395</v>
      </c>
      <c r="KN175" s="646" t="s">
        <v>282</v>
      </c>
      <c r="KO175" s="646" t="s">
        <v>1366</v>
      </c>
      <c r="KP175" s="687">
        <v>592670</v>
      </c>
      <c r="KQ175" s="766"/>
      <c r="KR175" s="750"/>
      <c r="KS175" s="766" t="s">
        <v>1363</v>
      </c>
      <c r="KT175" s="770" t="s">
        <v>1364</v>
      </c>
      <c r="KU175" s="789" t="s">
        <v>1365</v>
      </c>
      <c r="KV175" s="750">
        <v>592670</v>
      </c>
      <c r="KW175" s="771" t="s">
        <v>343</v>
      </c>
      <c r="KX175" s="750" t="s">
        <v>344</v>
      </c>
      <c r="KY175" s="769"/>
      <c r="KZ175" s="770"/>
    </row>
    <row r="176" s="628" customFormat="1" customHeight="1" spans="1:312">
      <c r="A176" s="682" t="s">
        <v>277</v>
      </c>
      <c r="B176" s="683">
        <v>172</v>
      </c>
      <c r="C176" s="781" t="s">
        <v>1367</v>
      </c>
      <c r="D176" s="679">
        <v>619639</v>
      </c>
      <c r="E176" s="685">
        <v>63.85</v>
      </c>
      <c r="F176" s="685">
        <v>63.55</v>
      </c>
      <c r="G176" s="688">
        <v>0.009691</v>
      </c>
      <c r="H176" s="686">
        <v>0.009773</v>
      </c>
      <c r="I176" s="696">
        <v>1.59157</v>
      </c>
      <c r="J176" s="696">
        <v>1.59638</v>
      </c>
      <c r="K176" s="696">
        <v>1.60165</v>
      </c>
      <c r="L176" s="696">
        <v>1.60637</v>
      </c>
      <c r="M176" s="696">
        <v>1.60722</v>
      </c>
      <c r="N176" s="696">
        <v>1.60793</v>
      </c>
      <c r="O176" s="696">
        <v>1.61065</v>
      </c>
      <c r="P176" s="696">
        <v>1.61249</v>
      </c>
      <c r="Q176" s="697">
        <v>1.61418</v>
      </c>
      <c r="R176" s="697">
        <v>1.61586</v>
      </c>
      <c r="S176" s="697">
        <v>1.61633</v>
      </c>
      <c r="T176" s="701">
        <v>1.61676</v>
      </c>
      <c r="U176" s="697">
        <v>1.61872</v>
      </c>
      <c r="V176" s="697">
        <v>1.61881</v>
      </c>
      <c r="W176" s="697">
        <v>1.62112</v>
      </c>
      <c r="X176" s="697">
        <v>1.62555</v>
      </c>
      <c r="Y176" s="697">
        <v>1.6261</v>
      </c>
      <c r="Z176" s="697">
        <v>1.63084</v>
      </c>
      <c r="AA176" s="697">
        <v>1.63522</v>
      </c>
      <c r="AB176" s="697">
        <v>1.64265</v>
      </c>
      <c r="AC176" s="704">
        <v>2.58101085</v>
      </c>
      <c r="AD176" s="705">
        <v>-0.00935112569</v>
      </c>
      <c r="AE176" s="705">
        <v>0.0143302338</v>
      </c>
      <c r="AF176" s="705">
        <v>8.87867497e-5</v>
      </c>
      <c r="AG176" s="705">
        <v>2.39962149e-5</v>
      </c>
      <c r="AH176" s="705">
        <v>-1.31422303e-6</v>
      </c>
      <c r="AI176" s="709">
        <v>0.3044</v>
      </c>
      <c r="AJ176" s="709">
        <v>0.2384</v>
      </c>
      <c r="AK176" s="709">
        <v>0.5459</v>
      </c>
      <c r="AL176" s="709">
        <v>0.2538</v>
      </c>
      <c r="AM176" s="709">
        <v>0.2364</v>
      </c>
      <c r="AN176" s="709">
        <v>0.485</v>
      </c>
      <c r="AO176" s="709">
        <v>0.0022</v>
      </c>
      <c r="AP176" s="709">
        <v>0.0083</v>
      </c>
      <c r="AQ176" s="709">
        <v>-0.0312</v>
      </c>
      <c r="AR176" s="709">
        <v>-0.016</v>
      </c>
      <c r="AS176" s="714">
        <v>-5.2</v>
      </c>
      <c r="AT176" s="714">
        <v>-5</v>
      </c>
      <c r="AU176" s="714">
        <v>-4.8</v>
      </c>
      <c r="AV176" s="714">
        <v>-4.7</v>
      </c>
      <c r="AW176" s="714">
        <v>-4.6</v>
      </c>
      <c r="AX176" s="714">
        <v>-4.5</v>
      </c>
      <c r="AY176" s="714">
        <v>-4.3</v>
      </c>
      <c r="AZ176" s="714">
        <v>-4.1</v>
      </c>
      <c r="BA176" s="714">
        <v>-4</v>
      </c>
      <c r="BB176" s="714">
        <v>-3.9</v>
      </c>
      <c r="BC176" s="714">
        <v>-3.8</v>
      </c>
      <c r="BD176" s="714">
        <v>-5.1</v>
      </c>
      <c r="BE176" s="714">
        <v>-4.8</v>
      </c>
      <c r="BF176" s="714">
        <v>-4.7</v>
      </c>
      <c r="BG176" s="714">
        <v>-4.5</v>
      </c>
      <c r="BH176" s="714">
        <v>-4.4</v>
      </c>
      <c r="BI176" s="714">
        <v>-4.4</v>
      </c>
      <c r="BJ176" s="714">
        <v>-4.2</v>
      </c>
      <c r="BK176" s="714">
        <v>-4.1</v>
      </c>
      <c r="BL176" s="714">
        <v>-4</v>
      </c>
      <c r="BM176" s="714">
        <v>-3.8</v>
      </c>
      <c r="BN176" s="714">
        <v>-3.6</v>
      </c>
      <c r="BO176" s="714">
        <v>-4.9</v>
      </c>
      <c r="BP176" s="714">
        <v>-4.6</v>
      </c>
      <c r="BQ176" s="714">
        <v>-4.4</v>
      </c>
      <c r="BR176" s="714">
        <v>-4.4</v>
      </c>
      <c r="BS176" s="714">
        <v>-4.3</v>
      </c>
      <c r="BT176" s="714">
        <v>-4.2</v>
      </c>
      <c r="BU176" s="714">
        <v>-4.1</v>
      </c>
      <c r="BV176" s="714">
        <v>-4</v>
      </c>
      <c r="BW176" s="714">
        <v>-3.9</v>
      </c>
      <c r="BX176" s="714">
        <v>-3.7</v>
      </c>
      <c r="BY176" s="714">
        <v>-3.5</v>
      </c>
      <c r="BZ176" s="714">
        <v>-4.8</v>
      </c>
      <c r="CA176" s="714">
        <v>-4.6</v>
      </c>
      <c r="CB176" s="714">
        <v>-4.4</v>
      </c>
      <c r="CC176" s="714">
        <v>-4.4</v>
      </c>
      <c r="CD176" s="714">
        <v>-4.3</v>
      </c>
      <c r="CE176" s="714">
        <v>-4.2</v>
      </c>
      <c r="CF176" s="714">
        <v>-4.1</v>
      </c>
      <c r="CG176" s="714">
        <v>-4</v>
      </c>
      <c r="CH176" s="714">
        <v>-3.8</v>
      </c>
      <c r="CI176" s="714">
        <v>-3.6</v>
      </c>
      <c r="CJ176" s="714">
        <v>-3.4</v>
      </c>
      <c r="CK176" s="714">
        <v>-4.8</v>
      </c>
      <c r="CL176" s="714">
        <v>-4.5</v>
      </c>
      <c r="CM176" s="714">
        <v>-4.4</v>
      </c>
      <c r="CN176" s="714">
        <v>-4.3</v>
      </c>
      <c r="CO176" s="714">
        <v>-4.2</v>
      </c>
      <c r="CP176" s="714">
        <v>-4.1</v>
      </c>
      <c r="CQ176" s="714">
        <v>-4</v>
      </c>
      <c r="CR176" s="714">
        <v>-3.9</v>
      </c>
      <c r="CS176" s="714">
        <v>-3.7</v>
      </c>
      <c r="CT176" s="714">
        <v>-3.5</v>
      </c>
      <c r="CU176" s="714">
        <v>-3.4</v>
      </c>
      <c r="CV176" s="714">
        <v>-4.7</v>
      </c>
      <c r="CW176" s="714">
        <v>-4.4</v>
      </c>
      <c r="CX176" s="714">
        <v>-4.3</v>
      </c>
      <c r="CY176" s="714">
        <v>-4.1</v>
      </c>
      <c r="CZ176" s="714">
        <v>-4</v>
      </c>
      <c r="DA176" s="714">
        <v>-4</v>
      </c>
      <c r="DB176" s="714">
        <v>-3.9</v>
      </c>
      <c r="DC176" s="714">
        <v>-3.8</v>
      </c>
      <c r="DD176" s="714">
        <v>-3.6</v>
      </c>
      <c r="DE176" s="714">
        <v>-3.4</v>
      </c>
      <c r="DF176" s="714">
        <v>-3.3</v>
      </c>
      <c r="DG176" s="714">
        <v>-4.3</v>
      </c>
      <c r="DH176" s="714">
        <v>-4</v>
      </c>
      <c r="DI176" s="714">
        <v>-3.8</v>
      </c>
      <c r="DJ176" s="714">
        <v>-3.8</v>
      </c>
      <c r="DK176" s="714">
        <v>-3.6</v>
      </c>
      <c r="DL176" s="714">
        <v>-3.5</v>
      </c>
      <c r="DM176" s="714">
        <v>-3.4</v>
      </c>
      <c r="DN176" s="714">
        <v>-3.3</v>
      </c>
      <c r="DO176" s="714">
        <v>-3</v>
      </c>
      <c r="DP176" s="714">
        <v>-2.9</v>
      </c>
      <c r="DQ176" s="714">
        <v>-2.7</v>
      </c>
      <c r="DR176" s="714">
        <v>-4.1</v>
      </c>
      <c r="DS176" s="714">
        <v>-3.8</v>
      </c>
      <c r="DT176" s="714">
        <v>-3.6</v>
      </c>
      <c r="DU176" s="714">
        <v>-3.4</v>
      </c>
      <c r="DV176" s="714">
        <v>-3.3</v>
      </c>
      <c r="DW176" s="714">
        <v>-3.1</v>
      </c>
      <c r="DX176" s="714">
        <v>-3</v>
      </c>
      <c r="DY176" s="714">
        <v>-2.8</v>
      </c>
      <c r="DZ176" s="714">
        <v>-2.7</v>
      </c>
      <c r="EA176" s="714">
        <v>-2.5</v>
      </c>
      <c r="EB176" s="714">
        <v>-2.3</v>
      </c>
      <c r="EC176" s="714">
        <v>-4</v>
      </c>
      <c r="ED176" s="714">
        <v>-3.7</v>
      </c>
      <c r="EE176" s="714">
        <v>-3.5</v>
      </c>
      <c r="EF176" s="714">
        <v>-3.4</v>
      </c>
      <c r="EG176" s="714">
        <v>-3.3</v>
      </c>
      <c r="EH176" s="714">
        <v>-3.1</v>
      </c>
      <c r="EI176" s="714">
        <v>-3</v>
      </c>
      <c r="EJ176" s="714">
        <v>-2.8</v>
      </c>
      <c r="EK176" s="714">
        <v>-2.6</v>
      </c>
      <c r="EL176" s="714">
        <v>-2.4</v>
      </c>
      <c r="EM176" s="714">
        <v>-2.2</v>
      </c>
      <c r="EN176" s="714">
        <v>-3.6</v>
      </c>
      <c r="EO176" s="714">
        <v>-3.3</v>
      </c>
      <c r="EP176" s="714">
        <v>-3.1</v>
      </c>
      <c r="EQ176" s="714">
        <v>-2.9</v>
      </c>
      <c r="ER176" s="714">
        <v>-2.9</v>
      </c>
      <c r="ES176" s="714">
        <v>-2.8</v>
      </c>
      <c r="ET176" s="714">
        <v>-2.8</v>
      </c>
      <c r="EU176" s="714">
        <v>-2.6</v>
      </c>
      <c r="EV176" s="714">
        <v>-2.4</v>
      </c>
      <c r="EW176" s="714">
        <v>-2.3</v>
      </c>
      <c r="EX176" s="714">
        <v>-2.2</v>
      </c>
      <c r="EY176" s="714">
        <v>-7.4</v>
      </c>
      <c r="EZ176" s="714">
        <v>-6.7</v>
      </c>
      <c r="FA176" s="714">
        <v>-6.3</v>
      </c>
      <c r="FB176" s="714">
        <v>-5.9</v>
      </c>
      <c r="FC176" s="714">
        <v>-5.6</v>
      </c>
      <c r="FD176" s="714">
        <v>-5.3</v>
      </c>
      <c r="FE176" s="714">
        <v>-5.1</v>
      </c>
      <c r="FF176" s="714">
        <v>-4.9</v>
      </c>
      <c r="FG176" s="714">
        <v>-4.6</v>
      </c>
      <c r="FH176" s="714">
        <v>-4.3</v>
      </c>
      <c r="FI176" s="714">
        <v>-4.1</v>
      </c>
      <c r="FJ176" s="725">
        <v>-1.33e-5</v>
      </c>
      <c r="FK176" s="725">
        <v>1.77e-8</v>
      </c>
      <c r="FL176" s="723">
        <v>-2.79e-11</v>
      </c>
      <c r="FM176" s="723">
        <v>6.44e-7</v>
      </c>
      <c r="FN176" s="723">
        <v>1.51e-10</v>
      </c>
      <c r="FO176" s="723">
        <v>0.216</v>
      </c>
      <c r="FP176" s="729">
        <v>1</v>
      </c>
      <c r="FQ176" s="729">
        <v>2</v>
      </c>
      <c r="FR176" s="729">
        <v>1</v>
      </c>
      <c r="FS176" s="729">
        <v>4</v>
      </c>
      <c r="FT176" s="729">
        <v>1</v>
      </c>
      <c r="FU176" s="729">
        <v>2</v>
      </c>
      <c r="FV176" s="681">
        <v>1</v>
      </c>
      <c r="FW176" s="729"/>
      <c r="FX176" s="729"/>
      <c r="FY176" s="729"/>
      <c r="FZ176" s="784">
        <v>519</v>
      </c>
      <c r="GA176" s="784">
        <v>562</v>
      </c>
      <c r="GB176" s="681">
        <v>488</v>
      </c>
      <c r="GC176" s="681">
        <v>510</v>
      </c>
      <c r="GD176" s="747">
        <v>0.63</v>
      </c>
      <c r="GE176" s="729"/>
      <c r="GF176" s="681">
        <v>98</v>
      </c>
      <c r="GG176" s="681">
        <v>122</v>
      </c>
      <c r="GH176" s="681">
        <v>90</v>
      </c>
      <c r="GI176" s="681">
        <v>91</v>
      </c>
      <c r="GJ176" s="681">
        <v>92</v>
      </c>
      <c r="GK176" s="681">
        <v>92</v>
      </c>
      <c r="GL176" s="681">
        <v>96</v>
      </c>
      <c r="GM176" s="681">
        <v>97</v>
      </c>
      <c r="GN176" s="681">
        <v>98</v>
      </c>
      <c r="GO176" s="681">
        <v>99</v>
      </c>
      <c r="GP176" s="681">
        <v>102</v>
      </c>
      <c r="GQ176" s="681">
        <v>102</v>
      </c>
      <c r="GR176" s="681">
        <v>102</v>
      </c>
      <c r="GS176" s="681">
        <v>105</v>
      </c>
      <c r="GT176" s="681">
        <v>106</v>
      </c>
      <c r="GU176" s="681">
        <v>106</v>
      </c>
      <c r="GV176" s="681">
        <v>107</v>
      </c>
      <c r="GW176" s="681">
        <v>110</v>
      </c>
      <c r="GX176" s="681">
        <v>112</v>
      </c>
      <c r="GY176" s="681">
        <v>112</v>
      </c>
      <c r="GZ176" s="681">
        <v>114</v>
      </c>
      <c r="HA176" s="681">
        <v>117</v>
      </c>
      <c r="HB176" s="681">
        <v>120</v>
      </c>
      <c r="HC176" s="681"/>
      <c r="HD176" s="750">
        <v>95</v>
      </c>
      <c r="HE176" s="681"/>
      <c r="HF176" s="681">
        <v>456</v>
      </c>
      <c r="HG176" s="681">
        <v>218</v>
      </c>
      <c r="HH176" s="714">
        <v>78.4</v>
      </c>
      <c r="HI176" s="714">
        <v>29.6</v>
      </c>
      <c r="HJ176" s="753">
        <v>0.326</v>
      </c>
      <c r="HK176" s="681">
        <v>45</v>
      </c>
      <c r="HL176" s="685">
        <v>1.12</v>
      </c>
      <c r="HM176" s="747">
        <v>3.51</v>
      </c>
      <c r="HN176" s="729" t="s">
        <v>1368</v>
      </c>
      <c r="HO176" s="729" t="s">
        <v>1369</v>
      </c>
      <c r="HP176" s="714">
        <v>-1.6</v>
      </c>
      <c r="HQ176" s="753">
        <v>0.96</v>
      </c>
      <c r="HR176" s="753">
        <v>0.977</v>
      </c>
      <c r="HS176" s="753">
        <v>0.99</v>
      </c>
      <c r="HT176" s="753">
        <v>0.995</v>
      </c>
      <c r="HU176" s="753">
        <v>0.999</v>
      </c>
      <c r="HV176" s="753">
        <v>0.999</v>
      </c>
      <c r="HW176" s="753">
        <v>0.999</v>
      </c>
      <c r="HX176" s="753">
        <v>0.999</v>
      </c>
      <c r="HY176" s="753">
        <v>0.999</v>
      </c>
      <c r="HZ176" s="753">
        <v>0.999</v>
      </c>
      <c r="IA176" s="753">
        <v>0.999</v>
      </c>
      <c r="IB176" s="753">
        <v>0.999</v>
      </c>
      <c r="IC176" s="753">
        <v>0.999</v>
      </c>
      <c r="ID176" s="753">
        <v>0.999</v>
      </c>
      <c r="IE176" s="754">
        <v>0.999</v>
      </c>
      <c r="IF176" s="753">
        <v>0.999</v>
      </c>
      <c r="IG176" s="754">
        <v>0.999</v>
      </c>
      <c r="IH176" s="754">
        <v>0.999</v>
      </c>
      <c r="II176" s="754">
        <v>0.999</v>
      </c>
      <c r="IJ176" s="754">
        <v>0.999</v>
      </c>
      <c r="IK176" s="754">
        <v>0.999</v>
      </c>
      <c r="IL176" s="754">
        <v>0.998</v>
      </c>
      <c r="IM176" s="754">
        <v>0.997</v>
      </c>
      <c r="IN176" s="754">
        <v>0.996</v>
      </c>
      <c r="IO176" s="754">
        <v>0.994</v>
      </c>
      <c r="IP176" s="754">
        <v>0.992</v>
      </c>
      <c r="IQ176" s="754">
        <v>0.989</v>
      </c>
      <c r="IR176" s="754">
        <v>0.982</v>
      </c>
      <c r="IS176" s="754">
        <v>0.969</v>
      </c>
      <c r="IT176" s="754">
        <v>0.949</v>
      </c>
      <c r="IU176" s="754">
        <v>0.913</v>
      </c>
      <c r="IV176" s="754">
        <v>0.862</v>
      </c>
      <c r="IW176" s="754">
        <v>0.792</v>
      </c>
      <c r="IX176" s="754">
        <v>0.707</v>
      </c>
      <c r="IY176" s="754">
        <v>0.607</v>
      </c>
      <c r="IZ176" s="754">
        <v>0.48</v>
      </c>
      <c r="JA176" s="753">
        <v>0.921</v>
      </c>
      <c r="JB176" s="753">
        <v>0.954</v>
      </c>
      <c r="JC176" s="753">
        <v>0.98</v>
      </c>
      <c r="JD176" s="753">
        <v>0.99</v>
      </c>
      <c r="JE176" s="753">
        <v>0.998</v>
      </c>
      <c r="JF176" s="753">
        <v>0.998</v>
      </c>
      <c r="JG176" s="753">
        <v>0.998</v>
      </c>
      <c r="JH176" s="753">
        <v>0.998</v>
      </c>
      <c r="JI176" s="753">
        <v>0.998</v>
      </c>
      <c r="JJ176" s="753">
        <v>0.998</v>
      </c>
      <c r="JK176" s="753">
        <v>0.998</v>
      </c>
      <c r="JL176" s="753">
        <v>0.998</v>
      </c>
      <c r="JM176" s="753">
        <v>0.998</v>
      </c>
      <c r="JN176" s="753">
        <v>0.998</v>
      </c>
      <c r="JO176" s="754">
        <v>0.998</v>
      </c>
      <c r="JP176" s="754">
        <v>0.998</v>
      </c>
      <c r="JQ176" s="754">
        <v>0.998</v>
      </c>
      <c r="JR176" s="754">
        <v>0.998</v>
      </c>
      <c r="JS176" s="754">
        <v>0.998</v>
      </c>
      <c r="JT176" s="754">
        <v>0.998</v>
      </c>
      <c r="JU176" s="754">
        <v>0.998</v>
      </c>
      <c r="JV176" s="754">
        <v>0.996</v>
      </c>
      <c r="JW176" s="754">
        <v>0.994</v>
      </c>
      <c r="JX176" s="754">
        <v>0.992</v>
      </c>
      <c r="JY176" s="754">
        <v>0.989</v>
      </c>
      <c r="JZ176" s="754">
        <v>0.985</v>
      </c>
      <c r="KA176" s="754">
        <v>0.978</v>
      </c>
      <c r="KB176" s="754">
        <v>0.964</v>
      </c>
      <c r="KC176" s="754">
        <v>0.939</v>
      </c>
      <c r="KD176" s="754">
        <v>0.899</v>
      </c>
      <c r="KE176" s="754">
        <v>0.834</v>
      </c>
      <c r="KF176" s="754">
        <v>0.743</v>
      </c>
      <c r="KG176" s="754">
        <v>0.627</v>
      </c>
      <c r="KH176" s="754">
        <v>0.5</v>
      </c>
      <c r="KI176" s="754">
        <v>0.368</v>
      </c>
      <c r="KJ176" s="754">
        <v>0.23</v>
      </c>
      <c r="KK176" s="765" t="s">
        <v>1349</v>
      </c>
      <c r="KL176" s="738">
        <v>127</v>
      </c>
      <c r="KM176" s="738">
        <v>446</v>
      </c>
      <c r="KN176" s="646" t="s">
        <v>282</v>
      </c>
      <c r="KO176" s="646" t="s">
        <v>1367</v>
      </c>
      <c r="KP176" s="679">
        <v>619639</v>
      </c>
      <c r="KQ176" s="789"/>
      <c r="KR176" s="750"/>
      <c r="KS176" s="789" t="s">
        <v>1370</v>
      </c>
      <c r="KT176" s="770" t="s">
        <v>1371</v>
      </c>
      <c r="KU176" s="789" t="s">
        <v>1372</v>
      </c>
      <c r="KV176" s="750">
        <v>619639</v>
      </c>
      <c r="KW176" s="771" t="s">
        <v>372</v>
      </c>
      <c r="KX176" s="750" t="s">
        <v>353</v>
      </c>
      <c r="KY176" s="789"/>
      <c r="KZ176" s="770"/>
    </row>
    <row r="177" s="628" customFormat="1" customHeight="1" spans="1:312">
      <c r="A177" s="682" t="s">
        <v>374</v>
      </c>
      <c r="B177" s="683">
        <v>173</v>
      </c>
      <c r="C177" s="781" t="s">
        <v>1373</v>
      </c>
      <c r="D177" s="679">
        <v>525703</v>
      </c>
      <c r="E177" s="685">
        <v>70.32</v>
      </c>
      <c r="F177" s="685">
        <v>70.11</v>
      </c>
      <c r="G177" s="688">
        <v>0.00747</v>
      </c>
      <c r="H177" s="686">
        <v>0.00751</v>
      </c>
      <c r="I177" s="696">
        <v>1.49842</v>
      </c>
      <c r="J177" s="696">
        <v>1.50393</v>
      </c>
      <c r="K177" s="696">
        <v>1.50979</v>
      </c>
      <c r="L177" s="696">
        <v>1.51461</v>
      </c>
      <c r="M177" s="696">
        <v>1.51542</v>
      </c>
      <c r="N177" s="696">
        <v>1.51607</v>
      </c>
      <c r="O177" s="696">
        <v>1.51845</v>
      </c>
      <c r="P177" s="696">
        <v>1.51999</v>
      </c>
      <c r="Q177" s="697">
        <v>1.52136</v>
      </c>
      <c r="R177" s="697">
        <v>1.52269</v>
      </c>
      <c r="S177" s="697">
        <v>1.52306</v>
      </c>
      <c r="T177" s="701">
        <v>1.52341</v>
      </c>
      <c r="U177" s="697">
        <v>1.52493</v>
      </c>
      <c r="V177" s="697">
        <v>1.525</v>
      </c>
      <c r="W177" s="697">
        <v>1.52679</v>
      </c>
      <c r="X177" s="697">
        <v>1.53017</v>
      </c>
      <c r="Y177" s="697">
        <v>1.53058</v>
      </c>
      <c r="Z177" s="697">
        <v>1.53413</v>
      </c>
      <c r="AA177" s="697">
        <v>1.53738</v>
      </c>
      <c r="AB177" s="697">
        <v>1.54287</v>
      </c>
      <c r="AC177" s="705">
        <v>2.29965045</v>
      </c>
      <c r="AD177" s="705">
        <v>-0.0103835061</v>
      </c>
      <c r="AE177" s="705">
        <v>0.00947420898</v>
      </c>
      <c r="AF177" s="705">
        <v>0.000316683036</v>
      </c>
      <c r="AG177" s="705">
        <v>-2.62425226e-5</v>
      </c>
      <c r="AH177" s="705">
        <v>1.36324904e-6</v>
      </c>
      <c r="AI177" s="709">
        <v>0.3092</v>
      </c>
      <c r="AJ177" s="709">
        <v>0.2396</v>
      </c>
      <c r="AK177" s="709">
        <v>0.5301</v>
      </c>
      <c r="AL177" s="709">
        <v>0.2583</v>
      </c>
      <c r="AM177" s="709">
        <v>0.2383</v>
      </c>
      <c r="AN177" s="709">
        <v>0.4727</v>
      </c>
      <c r="AO177" s="709">
        <v>0.0011</v>
      </c>
      <c r="AP177" s="709">
        <v>0.0033</v>
      </c>
      <c r="AQ177" s="709">
        <v>0.0053</v>
      </c>
      <c r="AR177" s="709">
        <v>-0.0016</v>
      </c>
      <c r="AS177" s="714">
        <v>0</v>
      </c>
      <c r="AT177" s="715">
        <v>0.1</v>
      </c>
      <c r="AU177" s="715">
        <v>0.2</v>
      </c>
      <c r="AV177" s="715">
        <v>0.2</v>
      </c>
      <c r="AW177" s="715">
        <v>0.3</v>
      </c>
      <c r="AX177" s="715">
        <v>0.4</v>
      </c>
      <c r="AY177" s="715">
        <v>0.5</v>
      </c>
      <c r="AZ177" s="715">
        <v>0.5</v>
      </c>
      <c r="BA177" s="715">
        <v>0.6</v>
      </c>
      <c r="BB177" s="715">
        <v>0.8</v>
      </c>
      <c r="BC177" s="715">
        <v>0.9</v>
      </c>
      <c r="BD177" s="715">
        <v>0.4</v>
      </c>
      <c r="BE177" s="715">
        <v>0.5</v>
      </c>
      <c r="BF177" s="715">
        <v>0.5</v>
      </c>
      <c r="BG177" s="715">
        <v>0.6</v>
      </c>
      <c r="BH177" s="715">
        <v>0.8</v>
      </c>
      <c r="BI177" s="715">
        <v>0.8</v>
      </c>
      <c r="BJ177" s="715">
        <v>0.9</v>
      </c>
      <c r="BK177" s="715">
        <v>0.9</v>
      </c>
      <c r="BL177" s="715">
        <v>1</v>
      </c>
      <c r="BM177" s="715">
        <v>1.1</v>
      </c>
      <c r="BN177" s="715">
        <v>1.2</v>
      </c>
      <c r="BO177" s="715">
        <v>0.7</v>
      </c>
      <c r="BP177" s="715">
        <v>0.7</v>
      </c>
      <c r="BQ177" s="715">
        <v>0.7</v>
      </c>
      <c r="BR177" s="715">
        <v>0.8</v>
      </c>
      <c r="BS177" s="715">
        <v>0.9</v>
      </c>
      <c r="BT177" s="715">
        <v>1</v>
      </c>
      <c r="BU177" s="715">
        <v>1.1</v>
      </c>
      <c r="BV177" s="715">
        <v>1.2</v>
      </c>
      <c r="BW177" s="715">
        <v>1.3</v>
      </c>
      <c r="BX177" s="715">
        <v>1.4</v>
      </c>
      <c r="BY177" s="715">
        <v>1.5</v>
      </c>
      <c r="BZ177" s="715">
        <v>0.7</v>
      </c>
      <c r="CA177" s="715">
        <v>0.7</v>
      </c>
      <c r="CB177" s="715">
        <v>0.7</v>
      </c>
      <c r="CC177" s="715">
        <v>0.8</v>
      </c>
      <c r="CD177" s="715">
        <v>0.9</v>
      </c>
      <c r="CE177" s="715">
        <v>1</v>
      </c>
      <c r="CF177" s="715">
        <v>1.1</v>
      </c>
      <c r="CG177" s="715">
        <v>1.3</v>
      </c>
      <c r="CH177" s="715">
        <v>1.4</v>
      </c>
      <c r="CI177" s="715">
        <v>1.5</v>
      </c>
      <c r="CJ177" s="715">
        <v>1.6</v>
      </c>
      <c r="CK177" s="715">
        <v>0.8</v>
      </c>
      <c r="CL177" s="715">
        <v>0.8</v>
      </c>
      <c r="CM177" s="715">
        <v>0.9</v>
      </c>
      <c r="CN177" s="715">
        <v>0.9</v>
      </c>
      <c r="CO177" s="715">
        <v>1</v>
      </c>
      <c r="CP177" s="715">
        <v>1.1</v>
      </c>
      <c r="CQ177" s="715">
        <v>1.2</v>
      </c>
      <c r="CR177" s="715">
        <v>1.3</v>
      </c>
      <c r="CS177" s="715">
        <v>1.5</v>
      </c>
      <c r="CT177" s="715">
        <v>1.6</v>
      </c>
      <c r="CU177" s="715">
        <v>1.7</v>
      </c>
      <c r="CV177" s="715">
        <v>0.9</v>
      </c>
      <c r="CW177" s="715">
        <v>1</v>
      </c>
      <c r="CX177" s="715">
        <v>1.1</v>
      </c>
      <c r="CY177" s="715">
        <v>1.1</v>
      </c>
      <c r="CZ177" s="715">
        <v>1.2</v>
      </c>
      <c r="DA177" s="715">
        <v>1.3</v>
      </c>
      <c r="DB177" s="715">
        <v>1.5</v>
      </c>
      <c r="DC177" s="715">
        <v>1.6</v>
      </c>
      <c r="DD177" s="715">
        <v>1.9</v>
      </c>
      <c r="DE177" s="715">
        <v>2.1</v>
      </c>
      <c r="DF177" s="715">
        <v>2.2</v>
      </c>
      <c r="DG177" s="715">
        <v>1.1</v>
      </c>
      <c r="DH177" s="715">
        <v>1.3</v>
      </c>
      <c r="DI177" s="715">
        <v>1.3</v>
      </c>
      <c r="DJ177" s="715">
        <v>1.4</v>
      </c>
      <c r="DK177" s="715">
        <v>1.6</v>
      </c>
      <c r="DL177" s="715">
        <v>1.7</v>
      </c>
      <c r="DM177" s="715">
        <v>1.8</v>
      </c>
      <c r="DN177" s="715">
        <v>1.9</v>
      </c>
      <c r="DO177" s="715">
        <v>2.1</v>
      </c>
      <c r="DP177" s="715">
        <v>2.2</v>
      </c>
      <c r="DQ177" s="715">
        <v>2.4</v>
      </c>
      <c r="DR177" s="715">
        <v>1.3</v>
      </c>
      <c r="DS177" s="715">
        <v>1.5</v>
      </c>
      <c r="DT177" s="715">
        <v>1.6</v>
      </c>
      <c r="DU177" s="715">
        <v>1.7</v>
      </c>
      <c r="DV177" s="715">
        <v>1.8</v>
      </c>
      <c r="DW177" s="715">
        <v>2</v>
      </c>
      <c r="DX177" s="715">
        <v>2.1</v>
      </c>
      <c r="DY177" s="715">
        <v>2.3</v>
      </c>
      <c r="DZ177" s="715">
        <v>2.4</v>
      </c>
      <c r="EA177" s="715">
        <v>2.6</v>
      </c>
      <c r="EB177" s="715">
        <v>2.7</v>
      </c>
      <c r="EC177" s="715">
        <v>1.3</v>
      </c>
      <c r="ED177" s="715">
        <v>1.5</v>
      </c>
      <c r="EE177" s="715">
        <v>1.7</v>
      </c>
      <c r="EF177" s="715">
        <v>1.8</v>
      </c>
      <c r="EG177" s="715">
        <v>2</v>
      </c>
      <c r="EH177" s="715">
        <v>2.1</v>
      </c>
      <c r="EI177" s="715">
        <v>2.3</v>
      </c>
      <c r="EJ177" s="715">
        <v>2.4</v>
      </c>
      <c r="EK177" s="715">
        <v>2.6</v>
      </c>
      <c r="EL177" s="715">
        <v>2.8</v>
      </c>
      <c r="EM177" s="715">
        <v>2.8</v>
      </c>
      <c r="EN177" s="715">
        <v>1.6</v>
      </c>
      <c r="EO177" s="715">
        <v>1.7</v>
      </c>
      <c r="EP177" s="715">
        <v>1.9</v>
      </c>
      <c r="EQ177" s="715">
        <v>2.1</v>
      </c>
      <c r="ER177" s="715">
        <v>2.3</v>
      </c>
      <c r="ES177" s="715">
        <v>2.5</v>
      </c>
      <c r="ET177" s="715">
        <v>2.6</v>
      </c>
      <c r="EU177" s="715">
        <v>2.8</v>
      </c>
      <c r="EV177" s="715">
        <v>2.9</v>
      </c>
      <c r="EW177" s="715">
        <v>3.2</v>
      </c>
      <c r="EX177" s="715">
        <v>3.3</v>
      </c>
      <c r="EY177" s="715">
        <v>-1.7</v>
      </c>
      <c r="EZ177" s="715">
        <v>-1.3</v>
      </c>
      <c r="FA177" s="715">
        <v>-0.9</v>
      </c>
      <c r="FB177" s="715">
        <v>-0.6</v>
      </c>
      <c r="FC177" s="715">
        <v>-0.3</v>
      </c>
      <c r="FD177" s="715">
        <v>-0.1</v>
      </c>
      <c r="FE177" s="715">
        <v>0.2</v>
      </c>
      <c r="FF177" s="715">
        <v>0.4</v>
      </c>
      <c r="FG177" s="715">
        <v>0.7</v>
      </c>
      <c r="FH177" s="715">
        <v>0.9</v>
      </c>
      <c r="FI177" s="715">
        <v>1</v>
      </c>
      <c r="FJ177" s="723">
        <v>-3.43e-6</v>
      </c>
      <c r="FK177" s="723">
        <v>1.5e-8</v>
      </c>
      <c r="FL177" s="723">
        <v>-2.67e-11</v>
      </c>
      <c r="FM177" s="723">
        <v>9.78e-7</v>
      </c>
      <c r="FN177" s="723">
        <v>1.29e-9</v>
      </c>
      <c r="FO177" s="723">
        <v>1.49e-8</v>
      </c>
      <c r="FP177" s="730">
        <v>1</v>
      </c>
      <c r="FQ177" s="730">
        <v>1</v>
      </c>
      <c r="FR177" s="730">
        <v>1</v>
      </c>
      <c r="FS177" s="730">
        <v>1</v>
      </c>
      <c r="FT177" s="730">
        <v>3</v>
      </c>
      <c r="FU177" s="730">
        <v>2</v>
      </c>
      <c r="FV177" s="681"/>
      <c r="FW177" s="730"/>
      <c r="FX177" s="730"/>
      <c r="FY177" s="730"/>
      <c r="FZ177" s="785">
        <v>534</v>
      </c>
      <c r="GA177" s="785">
        <v>578</v>
      </c>
      <c r="GB177" s="736">
        <v>505</v>
      </c>
      <c r="GC177" s="736">
        <v>528</v>
      </c>
      <c r="GD177" s="748">
        <v>0.97</v>
      </c>
      <c r="GE177" s="730"/>
      <c r="GF177" s="736">
        <v>75</v>
      </c>
      <c r="GG177" s="736">
        <v>96</v>
      </c>
      <c r="GH177" s="736">
        <v>68</v>
      </c>
      <c r="GI177" s="736">
        <v>70</v>
      </c>
      <c r="GJ177" s="736">
        <v>71</v>
      </c>
      <c r="GK177" s="736">
        <v>73</v>
      </c>
      <c r="GL177" s="736">
        <v>74</v>
      </c>
      <c r="GM177" s="736">
        <v>75</v>
      </c>
      <c r="GN177" s="736">
        <v>76</v>
      </c>
      <c r="GO177" s="736">
        <v>76</v>
      </c>
      <c r="GP177" s="736">
        <v>77</v>
      </c>
      <c r="GQ177" s="736">
        <v>78</v>
      </c>
      <c r="GR177" s="736">
        <v>79</v>
      </c>
      <c r="GS177" s="736">
        <v>79</v>
      </c>
      <c r="GT177" s="736">
        <v>80</v>
      </c>
      <c r="GU177" s="736">
        <v>81</v>
      </c>
      <c r="GV177" s="736">
        <v>82</v>
      </c>
      <c r="GW177" s="736">
        <v>83</v>
      </c>
      <c r="GX177" s="736">
        <v>85</v>
      </c>
      <c r="GY177" s="736">
        <v>86</v>
      </c>
      <c r="GZ177" s="736">
        <v>87</v>
      </c>
      <c r="HA177" s="736">
        <v>88</v>
      </c>
      <c r="HB177" s="736">
        <v>90</v>
      </c>
      <c r="HC177" s="736"/>
      <c r="HD177" s="750">
        <v>175</v>
      </c>
      <c r="HE177" s="736"/>
      <c r="HF177" s="736">
        <v>382</v>
      </c>
      <c r="HG177" s="736">
        <v>197</v>
      </c>
      <c r="HH177" s="714">
        <v>74.3</v>
      </c>
      <c r="HI177" s="714">
        <v>30.1</v>
      </c>
      <c r="HJ177" s="755">
        <v>0.233</v>
      </c>
      <c r="HK177" s="736">
        <v>67</v>
      </c>
      <c r="HL177" s="685">
        <v>2.13</v>
      </c>
      <c r="HM177" s="748">
        <v>2.63</v>
      </c>
      <c r="HN177" s="730" t="s">
        <v>376</v>
      </c>
      <c r="HO177" s="730" t="s">
        <v>1374</v>
      </c>
      <c r="HP177" s="716">
        <v>-2</v>
      </c>
      <c r="HQ177" s="755">
        <v>0.655</v>
      </c>
      <c r="HR177" s="755">
        <v>0.743</v>
      </c>
      <c r="HS177" s="755">
        <v>0.852</v>
      </c>
      <c r="HT177" s="755">
        <v>0.918</v>
      </c>
      <c r="HU177" s="755">
        <v>0.973</v>
      </c>
      <c r="HV177" s="755">
        <v>0.999</v>
      </c>
      <c r="HW177" s="755">
        <v>0.999</v>
      </c>
      <c r="HX177" s="755">
        <v>0.999</v>
      </c>
      <c r="HY177" s="755">
        <v>0.999</v>
      </c>
      <c r="HZ177" s="755">
        <v>0.999</v>
      </c>
      <c r="IA177" s="755">
        <v>0.999</v>
      </c>
      <c r="IB177" s="755">
        <v>0.999</v>
      </c>
      <c r="IC177" s="755">
        <v>0.999</v>
      </c>
      <c r="ID177" s="755">
        <v>0.999</v>
      </c>
      <c r="IE177" s="755">
        <v>0.999</v>
      </c>
      <c r="IF177" s="755">
        <v>0.999</v>
      </c>
      <c r="IG177" s="755">
        <v>0.999</v>
      </c>
      <c r="IH177" s="755">
        <v>0.999</v>
      </c>
      <c r="II177" s="755">
        <v>0.999</v>
      </c>
      <c r="IJ177" s="755">
        <v>0.999</v>
      </c>
      <c r="IK177" s="755">
        <v>0.998</v>
      </c>
      <c r="IL177" s="754">
        <v>0.997</v>
      </c>
      <c r="IM177" s="755">
        <v>0.996</v>
      </c>
      <c r="IN177" s="755">
        <v>0.994</v>
      </c>
      <c r="IO177" s="755">
        <v>0.992</v>
      </c>
      <c r="IP177" s="755">
        <v>0.99</v>
      </c>
      <c r="IQ177" s="755">
        <v>0.988</v>
      </c>
      <c r="IR177" s="755">
        <v>0.984</v>
      </c>
      <c r="IS177" s="755">
        <v>0.98</v>
      </c>
      <c r="IT177" s="755">
        <v>0.969</v>
      </c>
      <c r="IU177" s="755">
        <v>0.949</v>
      </c>
      <c r="IV177" s="755">
        <v>0.906</v>
      </c>
      <c r="IW177" s="755">
        <v>0.833</v>
      </c>
      <c r="IX177" s="755">
        <v>0.713</v>
      </c>
      <c r="IY177" s="755">
        <v>0.542</v>
      </c>
      <c r="IZ177" s="755">
        <v>0.345</v>
      </c>
      <c r="JA177" s="755">
        <v>0.429</v>
      </c>
      <c r="JB177" s="755">
        <v>0.552</v>
      </c>
      <c r="JC177" s="755">
        <v>0.727</v>
      </c>
      <c r="JD177" s="755">
        <v>0.843</v>
      </c>
      <c r="JE177" s="755">
        <v>0.947</v>
      </c>
      <c r="JF177" s="755">
        <v>0.998</v>
      </c>
      <c r="JG177" s="755">
        <v>0.998</v>
      </c>
      <c r="JH177" s="755">
        <v>0.998</v>
      </c>
      <c r="JI177" s="755">
        <v>0.998</v>
      </c>
      <c r="JJ177" s="755">
        <v>0.998</v>
      </c>
      <c r="JK177" s="755">
        <v>0.998</v>
      </c>
      <c r="JL177" s="755">
        <v>0.998</v>
      </c>
      <c r="JM177" s="755">
        <v>0.998</v>
      </c>
      <c r="JN177" s="755">
        <v>0.998</v>
      </c>
      <c r="JO177" s="755">
        <v>0.998</v>
      </c>
      <c r="JP177" s="755">
        <v>0.998</v>
      </c>
      <c r="JQ177" s="755">
        <v>0.998</v>
      </c>
      <c r="JR177" s="755">
        <v>0.998</v>
      </c>
      <c r="JS177" s="755">
        <v>0.998</v>
      </c>
      <c r="JT177" s="755">
        <v>0.998</v>
      </c>
      <c r="JU177" s="755">
        <v>0.996</v>
      </c>
      <c r="JV177" s="754">
        <v>0.993</v>
      </c>
      <c r="JW177" s="755">
        <v>0.99</v>
      </c>
      <c r="JX177" s="755">
        <v>0.987</v>
      </c>
      <c r="JY177" s="755">
        <v>0.984</v>
      </c>
      <c r="JZ177" s="755">
        <v>0.981</v>
      </c>
      <c r="KA177" s="755">
        <v>0.976</v>
      </c>
      <c r="KB177" s="755">
        <v>0.969</v>
      </c>
      <c r="KC177" s="755">
        <v>0.96</v>
      </c>
      <c r="KD177" s="755">
        <v>0.94</v>
      </c>
      <c r="KE177" s="755">
        <v>0.9</v>
      </c>
      <c r="KF177" s="755">
        <v>0.822</v>
      </c>
      <c r="KG177" s="755">
        <v>0.693</v>
      </c>
      <c r="KH177" s="755">
        <v>0.508</v>
      </c>
      <c r="KI177" s="755">
        <v>0.294</v>
      </c>
      <c r="KJ177" s="755">
        <v>0.119</v>
      </c>
      <c r="KK177" s="765" t="s">
        <v>1349</v>
      </c>
      <c r="KL177" s="738">
        <v>182</v>
      </c>
      <c r="KM177" s="738">
        <v>479</v>
      </c>
      <c r="KN177" s="646" t="s">
        <v>617</v>
      </c>
      <c r="KO177" s="646" t="s">
        <v>1373</v>
      </c>
      <c r="KP177" s="679">
        <v>525703</v>
      </c>
      <c r="KQ177" s="789"/>
      <c r="KR177" s="750"/>
      <c r="KS177" s="789" t="s">
        <v>1375</v>
      </c>
      <c r="KT177" s="770" t="s">
        <v>1376</v>
      </c>
      <c r="KU177" s="789"/>
      <c r="KV177" s="750"/>
      <c r="KW177" s="771" t="s">
        <v>1377</v>
      </c>
      <c r="KX177" s="750" t="s">
        <v>1378</v>
      </c>
      <c r="KY177" s="789"/>
      <c r="KZ177" s="770"/>
    </row>
    <row r="178" s="628" customFormat="1" customHeight="1" spans="1:312">
      <c r="A178" s="682" t="s">
        <v>277</v>
      </c>
      <c r="B178" s="683">
        <v>174</v>
      </c>
      <c r="C178" s="781" t="s">
        <v>1379</v>
      </c>
      <c r="D178" s="679">
        <v>587596</v>
      </c>
      <c r="E178" s="685">
        <v>59.59</v>
      </c>
      <c r="F178" s="685">
        <v>59.35</v>
      </c>
      <c r="G178" s="688">
        <v>0.00985</v>
      </c>
      <c r="H178" s="686">
        <v>0.00993</v>
      </c>
      <c r="I178" s="696">
        <v>1.55732</v>
      </c>
      <c r="J178" s="696">
        <v>1.56289</v>
      </c>
      <c r="K178" s="696">
        <v>1.56892</v>
      </c>
      <c r="L178" s="696">
        <v>1.57412</v>
      </c>
      <c r="M178" s="696">
        <v>1.57504</v>
      </c>
      <c r="N178" s="696">
        <v>1.57579</v>
      </c>
      <c r="O178" s="696">
        <v>1.57863</v>
      </c>
      <c r="P178" s="696">
        <v>1.58054</v>
      </c>
      <c r="Q178" s="697">
        <v>1.58228</v>
      </c>
      <c r="R178" s="697">
        <v>1.58399</v>
      </c>
      <c r="S178" s="697">
        <v>1.58448</v>
      </c>
      <c r="T178" s="701">
        <v>1.58492</v>
      </c>
      <c r="U178" s="697">
        <v>1.58691</v>
      </c>
      <c r="V178" s="697">
        <v>1.587</v>
      </c>
      <c r="W178" s="697">
        <v>1.58935</v>
      </c>
      <c r="X178" s="697">
        <v>1.59384</v>
      </c>
      <c r="Y178" s="697">
        <v>1.59441</v>
      </c>
      <c r="Z178" s="697">
        <v>1.59918</v>
      </c>
      <c r="AA178" s="697">
        <v>1.60364</v>
      </c>
      <c r="AB178" s="697">
        <v>1.61145</v>
      </c>
      <c r="AC178" s="704">
        <v>2.48098765</v>
      </c>
      <c r="AD178" s="705">
        <v>-0.0107611097</v>
      </c>
      <c r="AE178" s="705">
        <v>0.0130595297</v>
      </c>
      <c r="AF178" s="705">
        <v>0.000570453194</v>
      </c>
      <c r="AG178" s="705">
        <v>-6.87445031e-5</v>
      </c>
      <c r="AH178" s="705">
        <v>5.08145529e-6</v>
      </c>
      <c r="AI178" s="709">
        <v>0.3056</v>
      </c>
      <c r="AJ178" s="709">
        <v>0.2386</v>
      </c>
      <c r="AK178" s="709">
        <v>0.5421</v>
      </c>
      <c r="AL178" s="709">
        <v>0.2538</v>
      </c>
      <c r="AM178" s="709">
        <v>0.2367</v>
      </c>
      <c r="AN178" s="709">
        <v>0.4804</v>
      </c>
      <c r="AO178" s="709">
        <v>-0.0015</v>
      </c>
      <c r="AP178" s="709">
        <v>-0.0025</v>
      </c>
      <c r="AQ178" s="709">
        <v>0.0036</v>
      </c>
      <c r="AR178" s="709">
        <v>0.0007</v>
      </c>
      <c r="AS178" s="714">
        <v>3.7</v>
      </c>
      <c r="AT178" s="714">
        <v>3.7</v>
      </c>
      <c r="AU178" s="714">
        <v>3.7</v>
      </c>
      <c r="AV178" s="714">
        <v>3.7</v>
      </c>
      <c r="AW178" s="714">
        <v>3.7</v>
      </c>
      <c r="AX178" s="714">
        <v>3.7</v>
      </c>
      <c r="AY178" s="714">
        <v>3.7</v>
      </c>
      <c r="AZ178" s="714">
        <v>3.7</v>
      </c>
      <c r="BA178" s="714">
        <v>3.7</v>
      </c>
      <c r="BB178" s="714">
        <v>3.8</v>
      </c>
      <c r="BC178" s="714">
        <v>3.8</v>
      </c>
      <c r="BD178" s="714">
        <v>4</v>
      </c>
      <c r="BE178" s="714">
        <v>4</v>
      </c>
      <c r="BF178" s="714">
        <v>4.1</v>
      </c>
      <c r="BG178" s="714">
        <v>4.1</v>
      </c>
      <c r="BH178" s="714">
        <v>4.1</v>
      </c>
      <c r="BI178" s="714">
        <v>4.1</v>
      </c>
      <c r="BJ178" s="714">
        <v>4.1</v>
      </c>
      <c r="BK178" s="714">
        <v>4.1</v>
      </c>
      <c r="BL178" s="714">
        <v>4</v>
      </c>
      <c r="BM178" s="714">
        <v>4</v>
      </c>
      <c r="BN178" s="714">
        <v>4.1</v>
      </c>
      <c r="BO178" s="714">
        <v>4</v>
      </c>
      <c r="BP178" s="714">
        <v>4.1</v>
      </c>
      <c r="BQ178" s="714">
        <v>4.1</v>
      </c>
      <c r="BR178" s="714">
        <v>4.1</v>
      </c>
      <c r="BS178" s="714">
        <v>4.2</v>
      </c>
      <c r="BT178" s="714">
        <v>4.2</v>
      </c>
      <c r="BU178" s="714">
        <v>4.2</v>
      </c>
      <c r="BV178" s="714">
        <v>4.2</v>
      </c>
      <c r="BW178" s="714">
        <v>4.2</v>
      </c>
      <c r="BX178" s="714">
        <v>4.2</v>
      </c>
      <c r="BY178" s="714">
        <v>4.3</v>
      </c>
      <c r="BZ178" s="714">
        <v>4</v>
      </c>
      <c r="CA178" s="714">
        <v>4.1</v>
      </c>
      <c r="CB178" s="714">
        <v>4.1</v>
      </c>
      <c r="CC178" s="714">
        <v>4.2</v>
      </c>
      <c r="CD178" s="714">
        <v>4.2</v>
      </c>
      <c r="CE178" s="714">
        <v>4.2</v>
      </c>
      <c r="CF178" s="714">
        <v>4.2</v>
      </c>
      <c r="CG178" s="714">
        <v>4.3</v>
      </c>
      <c r="CH178" s="714">
        <v>4.3</v>
      </c>
      <c r="CI178" s="714">
        <v>4.3</v>
      </c>
      <c r="CJ178" s="714">
        <v>4.3</v>
      </c>
      <c r="CK178" s="714">
        <v>4.1</v>
      </c>
      <c r="CL178" s="714">
        <v>4.1</v>
      </c>
      <c r="CM178" s="714">
        <v>4.1</v>
      </c>
      <c r="CN178" s="714">
        <v>4.1</v>
      </c>
      <c r="CO178" s="714">
        <v>4.2</v>
      </c>
      <c r="CP178" s="714">
        <v>4.2</v>
      </c>
      <c r="CQ178" s="714">
        <v>4.2</v>
      </c>
      <c r="CR178" s="714">
        <v>4.2</v>
      </c>
      <c r="CS178" s="714">
        <v>4.2</v>
      </c>
      <c r="CT178" s="714">
        <v>4.2</v>
      </c>
      <c r="CU178" s="714">
        <v>4.2</v>
      </c>
      <c r="CV178" s="714">
        <v>4.2</v>
      </c>
      <c r="CW178" s="714">
        <v>4.3</v>
      </c>
      <c r="CX178" s="714">
        <v>4.3</v>
      </c>
      <c r="CY178" s="714">
        <v>4.3</v>
      </c>
      <c r="CZ178" s="714">
        <v>4.4</v>
      </c>
      <c r="DA178" s="714">
        <v>4.4</v>
      </c>
      <c r="DB178" s="714">
        <v>4.4</v>
      </c>
      <c r="DC178" s="714">
        <v>4.5</v>
      </c>
      <c r="DD178" s="714">
        <v>4.5</v>
      </c>
      <c r="DE178" s="714">
        <v>4.5</v>
      </c>
      <c r="DF178" s="714">
        <v>4.5</v>
      </c>
      <c r="DG178" s="714">
        <v>4.3</v>
      </c>
      <c r="DH178" s="714">
        <v>4.4</v>
      </c>
      <c r="DI178" s="714">
        <v>4.4</v>
      </c>
      <c r="DJ178" s="714">
        <v>4.4</v>
      </c>
      <c r="DK178" s="714">
        <v>4.5</v>
      </c>
      <c r="DL178" s="714">
        <v>4.6</v>
      </c>
      <c r="DM178" s="714">
        <v>4.7</v>
      </c>
      <c r="DN178" s="714">
        <v>4.8</v>
      </c>
      <c r="DO178" s="714">
        <v>4.8</v>
      </c>
      <c r="DP178" s="714">
        <v>4.8</v>
      </c>
      <c r="DQ178" s="714">
        <v>4.8</v>
      </c>
      <c r="DR178" s="714">
        <v>4.6</v>
      </c>
      <c r="DS178" s="714">
        <v>4.7</v>
      </c>
      <c r="DT178" s="714">
        <v>4.7</v>
      </c>
      <c r="DU178" s="714">
        <v>4.7</v>
      </c>
      <c r="DV178" s="714">
        <v>4.7</v>
      </c>
      <c r="DW178" s="714">
        <v>4.7</v>
      </c>
      <c r="DX178" s="714">
        <v>4.8</v>
      </c>
      <c r="DY178" s="714">
        <v>4.8</v>
      </c>
      <c r="DZ178" s="714">
        <v>4.9</v>
      </c>
      <c r="EA178" s="714">
        <v>4.9</v>
      </c>
      <c r="EB178" s="714">
        <v>4.9</v>
      </c>
      <c r="EC178" s="714">
        <v>4.7</v>
      </c>
      <c r="ED178" s="714">
        <v>4.7</v>
      </c>
      <c r="EE178" s="714">
        <v>4.7</v>
      </c>
      <c r="EF178" s="714">
        <v>4.7</v>
      </c>
      <c r="EG178" s="714">
        <v>4.7</v>
      </c>
      <c r="EH178" s="714">
        <v>4.7</v>
      </c>
      <c r="EI178" s="714">
        <v>4.8</v>
      </c>
      <c r="EJ178" s="714">
        <v>4.9</v>
      </c>
      <c r="EK178" s="714">
        <v>4.9</v>
      </c>
      <c r="EL178" s="714">
        <v>4.9</v>
      </c>
      <c r="EM178" s="714">
        <v>5</v>
      </c>
      <c r="EN178" s="714">
        <v>5.1</v>
      </c>
      <c r="EO178" s="714">
        <v>5.1</v>
      </c>
      <c r="EP178" s="714">
        <v>5.1</v>
      </c>
      <c r="EQ178" s="714">
        <v>5.1</v>
      </c>
      <c r="ER178" s="714">
        <v>5.1</v>
      </c>
      <c r="ES178" s="714">
        <v>5.1</v>
      </c>
      <c r="ET178" s="714">
        <v>5.2</v>
      </c>
      <c r="EU178" s="714">
        <v>5.2</v>
      </c>
      <c r="EV178" s="714">
        <v>5.2</v>
      </c>
      <c r="EW178" s="714">
        <v>5.3</v>
      </c>
      <c r="EX178" s="714">
        <v>5.4</v>
      </c>
      <c r="EY178" s="714">
        <v>1.5</v>
      </c>
      <c r="EZ178" s="714">
        <v>2</v>
      </c>
      <c r="FA178" s="714">
        <v>2.3</v>
      </c>
      <c r="FB178" s="714">
        <v>2.5</v>
      </c>
      <c r="FC178" s="714">
        <v>2.8</v>
      </c>
      <c r="FD178" s="714">
        <v>3</v>
      </c>
      <c r="FE178" s="714">
        <v>3.1</v>
      </c>
      <c r="FF178" s="714">
        <v>3.2</v>
      </c>
      <c r="FG178" s="714">
        <v>3.3</v>
      </c>
      <c r="FH178" s="714">
        <v>3.4</v>
      </c>
      <c r="FI178" s="714">
        <v>3.5</v>
      </c>
      <c r="FJ178" s="725">
        <v>4.43e-6</v>
      </c>
      <c r="FK178" s="725">
        <v>1.18e-8</v>
      </c>
      <c r="FL178" s="723">
        <v>-2.81e-11</v>
      </c>
      <c r="FM178" s="723">
        <v>4.55e-7</v>
      </c>
      <c r="FN178" s="723">
        <v>3.17e-10</v>
      </c>
      <c r="FO178" s="723">
        <v>0.175</v>
      </c>
      <c r="FP178" s="729">
        <v>1</v>
      </c>
      <c r="FQ178" s="729">
        <v>3</v>
      </c>
      <c r="FR178" s="729">
        <v>1</v>
      </c>
      <c r="FS178" s="729">
        <v>3</v>
      </c>
      <c r="FT178" s="729">
        <v>2</v>
      </c>
      <c r="FU178" s="729">
        <v>2</v>
      </c>
      <c r="FV178" s="681">
        <v>1</v>
      </c>
      <c r="FW178" s="729"/>
      <c r="FX178" s="729"/>
      <c r="FY178" s="729"/>
      <c r="FZ178" s="784">
        <v>507</v>
      </c>
      <c r="GA178" s="784">
        <v>548</v>
      </c>
      <c r="GB178" s="681">
        <v>448</v>
      </c>
      <c r="GC178" s="681">
        <v>485</v>
      </c>
      <c r="GD178" s="747">
        <v>1.09</v>
      </c>
      <c r="GE178" s="729"/>
      <c r="GF178" s="681">
        <v>72</v>
      </c>
      <c r="GG178" s="681">
        <v>92</v>
      </c>
      <c r="GH178" s="681">
        <v>64</v>
      </c>
      <c r="GI178" s="681">
        <v>67</v>
      </c>
      <c r="GJ178" s="681">
        <v>70</v>
      </c>
      <c r="GK178" s="681">
        <v>71</v>
      </c>
      <c r="GL178" s="681">
        <v>72</v>
      </c>
      <c r="GM178" s="681">
        <v>73</v>
      </c>
      <c r="GN178" s="681">
        <v>74</v>
      </c>
      <c r="GO178" s="681">
        <v>75</v>
      </c>
      <c r="GP178" s="681">
        <v>76</v>
      </c>
      <c r="GQ178" s="681">
        <v>76</v>
      </c>
      <c r="GR178" s="681">
        <v>77</v>
      </c>
      <c r="GS178" s="681">
        <v>77</v>
      </c>
      <c r="GT178" s="681">
        <v>78</v>
      </c>
      <c r="GU178" s="681">
        <v>79</v>
      </c>
      <c r="GV178" s="681">
        <v>79</v>
      </c>
      <c r="GW178" s="681">
        <v>80</v>
      </c>
      <c r="GX178" s="681">
        <v>82</v>
      </c>
      <c r="GY178" s="681">
        <v>83</v>
      </c>
      <c r="GZ178" s="681">
        <v>84</v>
      </c>
      <c r="HA178" s="681">
        <v>85</v>
      </c>
      <c r="HB178" s="681">
        <v>86</v>
      </c>
      <c r="HC178" s="681"/>
      <c r="HD178" s="750">
        <v>90</v>
      </c>
      <c r="HE178" s="681"/>
      <c r="HF178" s="681">
        <v>570</v>
      </c>
      <c r="HG178" s="681">
        <v>107</v>
      </c>
      <c r="HH178" s="714">
        <v>91.6</v>
      </c>
      <c r="HI178" s="714">
        <v>36.9</v>
      </c>
      <c r="HJ178" s="753">
        <v>0.242</v>
      </c>
      <c r="HK178" s="681">
        <v>82</v>
      </c>
      <c r="HL178" s="685">
        <v>2.11</v>
      </c>
      <c r="HM178" s="747">
        <v>2.98</v>
      </c>
      <c r="HN178" s="729" t="s">
        <v>1380</v>
      </c>
      <c r="HO178" s="729" t="s">
        <v>1381</v>
      </c>
      <c r="HP178" s="714">
        <v>-6.5</v>
      </c>
      <c r="HQ178" s="753">
        <v>0.92</v>
      </c>
      <c r="HR178" s="753">
        <v>0.962</v>
      </c>
      <c r="HS178" s="753">
        <v>0.99</v>
      </c>
      <c r="HT178" s="753">
        <v>0.999</v>
      </c>
      <c r="HU178" s="753">
        <v>0.999</v>
      </c>
      <c r="HV178" s="753">
        <v>0.999</v>
      </c>
      <c r="HW178" s="753">
        <v>0.999</v>
      </c>
      <c r="HX178" s="753">
        <v>0.999</v>
      </c>
      <c r="HY178" s="753">
        <v>0.999</v>
      </c>
      <c r="HZ178" s="753">
        <v>0.999</v>
      </c>
      <c r="IA178" s="753">
        <v>0.999</v>
      </c>
      <c r="IB178" s="753">
        <v>0.999</v>
      </c>
      <c r="IC178" s="753">
        <v>0.999</v>
      </c>
      <c r="ID178" s="753">
        <v>0.999</v>
      </c>
      <c r="IE178" s="754">
        <v>0.999</v>
      </c>
      <c r="IF178" s="753">
        <v>0.999</v>
      </c>
      <c r="IG178" s="754">
        <v>0.999</v>
      </c>
      <c r="IH178" s="754">
        <v>0.999</v>
      </c>
      <c r="II178" s="754">
        <v>0.999</v>
      </c>
      <c r="IJ178" s="754">
        <v>0.999</v>
      </c>
      <c r="IK178" s="754">
        <v>0.999</v>
      </c>
      <c r="IL178" s="754">
        <v>0.999</v>
      </c>
      <c r="IM178" s="754">
        <v>0.999</v>
      </c>
      <c r="IN178" s="754">
        <v>0.999</v>
      </c>
      <c r="IO178" s="754">
        <v>0.999</v>
      </c>
      <c r="IP178" s="754">
        <v>0.999</v>
      </c>
      <c r="IQ178" s="754">
        <v>0.994</v>
      </c>
      <c r="IR178" s="754">
        <v>0.988</v>
      </c>
      <c r="IS178" s="754">
        <v>0.974</v>
      </c>
      <c r="IT178" s="754">
        <v>0.955</v>
      </c>
      <c r="IU178" s="754">
        <v>0.919</v>
      </c>
      <c r="IV178" s="754">
        <v>0.859</v>
      </c>
      <c r="IW178" s="754">
        <v>0.753</v>
      </c>
      <c r="IX178" s="754">
        <v>0.597</v>
      </c>
      <c r="IY178" s="754">
        <v>0.411</v>
      </c>
      <c r="IZ178" s="754">
        <v>0.231</v>
      </c>
      <c r="JA178" s="753">
        <v>0.831</v>
      </c>
      <c r="JB178" s="753">
        <v>0.909</v>
      </c>
      <c r="JC178" s="753">
        <v>0.98</v>
      </c>
      <c r="JD178" s="753">
        <v>0.998</v>
      </c>
      <c r="JE178" s="753">
        <v>0.998</v>
      </c>
      <c r="JF178" s="753">
        <v>0.998</v>
      </c>
      <c r="JG178" s="753">
        <v>0.998</v>
      </c>
      <c r="JH178" s="753">
        <v>0.998</v>
      </c>
      <c r="JI178" s="753">
        <v>0.998</v>
      </c>
      <c r="JJ178" s="753">
        <v>0.998</v>
      </c>
      <c r="JK178" s="753">
        <v>0.998</v>
      </c>
      <c r="JL178" s="753">
        <v>0.998</v>
      </c>
      <c r="JM178" s="753">
        <v>0.998</v>
      </c>
      <c r="JN178" s="753">
        <v>0.998</v>
      </c>
      <c r="JO178" s="754">
        <v>0.998</v>
      </c>
      <c r="JP178" s="754">
        <v>0.998</v>
      </c>
      <c r="JQ178" s="754">
        <v>0.998</v>
      </c>
      <c r="JR178" s="754">
        <v>0.998</v>
      </c>
      <c r="JS178" s="754">
        <v>0.998</v>
      </c>
      <c r="JT178" s="754">
        <v>0.998</v>
      </c>
      <c r="JU178" s="754">
        <v>0.998</v>
      </c>
      <c r="JV178" s="754">
        <v>0.998</v>
      </c>
      <c r="JW178" s="754">
        <v>0.998</v>
      </c>
      <c r="JX178" s="754">
        <v>0.998</v>
      </c>
      <c r="JY178" s="754">
        <v>0.998</v>
      </c>
      <c r="JZ178" s="754">
        <v>0.998</v>
      </c>
      <c r="KA178" s="754">
        <v>0.99</v>
      </c>
      <c r="KB178" s="754">
        <v>0.979</v>
      </c>
      <c r="KC178" s="754">
        <v>0.949</v>
      </c>
      <c r="KD178" s="754">
        <v>0.913</v>
      </c>
      <c r="KE178" s="754">
        <v>0.851</v>
      </c>
      <c r="KF178" s="754">
        <v>0.734</v>
      </c>
      <c r="KG178" s="754">
        <v>0.567</v>
      </c>
      <c r="KH178" s="754">
        <v>0.358</v>
      </c>
      <c r="KI178" s="754">
        <v>0.173</v>
      </c>
      <c r="KJ178" s="754">
        <v>0.059</v>
      </c>
      <c r="KK178" s="765" t="s">
        <v>1349</v>
      </c>
      <c r="KL178" s="738">
        <v>68</v>
      </c>
      <c r="KM178" s="738">
        <v>203</v>
      </c>
      <c r="KN178" s="646" t="s">
        <v>282</v>
      </c>
      <c r="KO178" s="646" t="s">
        <v>1379</v>
      </c>
      <c r="KP178" s="679">
        <v>587596</v>
      </c>
      <c r="KQ178" s="789" t="s">
        <v>1382</v>
      </c>
      <c r="KR178" s="750" t="s">
        <v>1383</v>
      </c>
      <c r="KS178" s="789" t="s">
        <v>1384</v>
      </c>
      <c r="KT178" s="770" t="s">
        <v>1385</v>
      </c>
      <c r="KU178" s="789" t="s">
        <v>1386</v>
      </c>
      <c r="KV178" s="750">
        <v>583595</v>
      </c>
      <c r="KW178" s="771" t="s">
        <v>1387</v>
      </c>
      <c r="KX178" s="750" t="s">
        <v>1388</v>
      </c>
      <c r="KY178" s="789" t="s">
        <v>1389</v>
      </c>
      <c r="KZ178" s="770" t="s">
        <v>1388</v>
      </c>
    </row>
    <row r="179" s="628" customFormat="1" customHeight="1" spans="1:312">
      <c r="A179" s="682" t="s">
        <v>374</v>
      </c>
      <c r="B179" s="683">
        <v>175</v>
      </c>
      <c r="C179" s="781" t="s">
        <v>1390</v>
      </c>
      <c r="D179" s="679">
        <v>589613</v>
      </c>
      <c r="E179" s="685">
        <v>61.25</v>
      </c>
      <c r="F179" s="685">
        <v>61.03</v>
      </c>
      <c r="G179" s="688">
        <v>0.009619</v>
      </c>
      <c r="H179" s="686">
        <v>0.00969</v>
      </c>
      <c r="I179" s="696">
        <v>1.55682</v>
      </c>
      <c r="J179" s="696">
        <v>1.56338</v>
      </c>
      <c r="K179" s="696">
        <v>1.57035</v>
      </c>
      <c r="L179" s="696">
        <v>1.57613</v>
      </c>
      <c r="M179" s="696">
        <v>1.57711</v>
      </c>
      <c r="N179" s="696">
        <v>1.5779</v>
      </c>
      <c r="O179" s="696">
        <v>1.58083</v>
      </c>
      <c r="P179" s="696">
        <v>1.58275</v>
      </c>
      <c r="Q179" s="697">
        <v>1.58448</v>
      </c>
      <c r="R179" s="697">
        <v>1.58618</v>
      </c>
      <c r="S179" s="697">
        <v>1.58665</v>
      </c>
      <c r="T179" s="701">
        <v>1.58709</v>
      </c>
      <c r="U179" s="697">
        <v>1.58904</v>
      </c>
      <c r="V179" s="697">
        <v>1.58913</v>
      </c>
      <c r="W179" s="697">
        <v>1.59142</v>
      </c>
      <c r="X179" s="697">
        <v>1.5958</v>
      </c>
      <c r="Y179" s="697">
        <v>1.59634</v>
      </c>
      <c r="Z179" s="697">
        <v>1.60095</v>
      </c>
      <c r="AA179" s="697">
        <v>1.6052</v>
      </c>
      <c r="AB179" s="697">
        <v>1.61247</v>
      </c>
      <c r="AC179" s="704">
        <v>2.49074484</v>
      </c>
      <c r="AD179" s="705">
        <v>-0.0128107504</v>
      </c>
      <c r="AE179" s="705">
        <v>0.0119021712</v>
      </c>
      <c r="AF179" s="705">
        <v>0.000738866979</v>
      </c>
      <c r="AG179" s="705">
        <v>-8.24332058e-5</v>
      </c>
      <c r="AH179" s="705">
        <v>4.70546661e-6</v>
      </c>
      <c r="AI179" s="709">
        <v>0.3067</v>
      </c>
      <c r="AJ179" s="709">
        <v>0.2381</v>
      </c>
      <c r="AK179" s="709">
        <v>0.5354</v>
      </c>
      <c r="AL179" s="709">
        <v>0.2559</v>
      </c>
      <c r="AM179" s="709">
        <v>0.2363</v>
      </c>
      <c r="AN179" s="709">
        <v>0.4757</v>
      </c>
      <c r="AO179" s="709">
        <v>-0.001</v>
      </c>
      <c r="AP179" s="709">
        <v>-0.0065</v>
      </c>
      <c r="AQ179" s="709">
        <v>0.0239</v>
      </c>
      <c r="AR179" s="709">
        <v>0.0088</v>
      </c>
      <c r="AS179" s="714">
        <v>3.7</v>
      </c>
      <c r="AT179" s="714">
        <v>3.7</v>
      </c>
      <c r="AU179" s="714">
        <v>3.7</v>
      </c>
      <c r="AV179" s="714">
        <v>3.7</v>
      </c>
      <c r="AW179" s="714">
        <v>3.7</v>
      </c>
      <c r="AX179" s="714">
        <v>3.7</v>
      </c>
      <c r="AY179" s="714">
        <v>3.7</v>
      </c>
      <c r="AZ179" s="714">
        <v>3.8</v>
      </c>
      <c r="BA179" s="714">
        <v>3.8</v>
      </c>
      <c r="BB179" s="714">
        <v>3.8</v>
      </c>
      <c r="BC179" s="714">
        <v>3.8</v>
      </c>
      <c r="BD179" s="714">
        <v>3.8</v>
      </c>
      <c r="BE179" s="714">
        <v>3.8</v>
      </c>
      <c r="BF179" s="714">
        <v>3.8</v>
      </c>
      <c r="BG179" s="714">
        <v>3.8</v>
      </c>
      <c r="BH179" s="714">
        <v>3.8</v>
      </c>
      <c r="BI179" s="714">
        <v>3.8</v>
      </c>
      <c r="BJ179" s="714">
        <v>3.8</v>
      </c>
      <c r="BK179" s="714">
        <v>3.8</v>
      </c>
      <c r="BL179" s="714">
        <v>3.8</v>
      </c>
      <c r="BM179" s="714">
        <v>3.9</v>
      </c>
      <c r="BN179" s="714">
        <v>3.9</v>
      </c>
      <c r="BO179" s="714">
        <v>4</v>
      </c>
      <c r="BP179" s="714">
        <v>4</v>
      </c>
      <c r="BQ179" s="714">
        <v>4</v>
      </c>
      <c r="BR179" s="714">
        <v>4</v>
      </c>
      <c r="BS179" s="714">
        <v>4.1</v>
      </c>
      <c r="BT179" s="714">
        <v>4.2</v>
      </c>
      <c r="BU179" s="714">
        <v>4.2</v>
      </c>
      <c r="BV179" s="714">
        <v>4.2</v>
      </c>
      <c r="BW179" s="714">
        <v>4.2</v>
      </c>
      <c r="BX179" s="714">
        <v>4.3</v>
      </c>
      <c r="BY179" s="714">
        <v>4.3</v>
      </c>
      <c r="BZ179" s="714">
        <v>4</v>
      </c>
      <c r="CA179" s="714">
        <v>4</v>
      </c>
      <c r="CB179" s="714">
        <v>4.1</v>
      </c>
      <c r="CC179" s="714">
        <v>4.1</v>
      </c>
      <c r="CD179" s="714">
        <v>4.1</v>
      </c>
      <c r="CE179" s="714">
        <v>4.2</v>
      </c>
      <c r="CF179" s="714">
        <v>4.3</v>
      </c>
      <c r="CG179" s="714">
        <v>4.3</v>
      </c>
      <c r="CH179" s="714">
        <v>4.3</v>
      </c>
      <c r="CI179" s="714">
        <v>4.3</v>
      </c>
      <c r="CJ179" s="714">
        <v>4.3</v>
      </c>
      <c r="CK179" s="714">
        <v>4.1</v>
      </c>
      <c r="CL179" s="714">
        <v>4.1</v>
      </c>
      <c r="CM179" s="714">
        <v>4.1</v>
      </c>
      <c r="CN179" s="714">
        <v>4.2</v>
      </c>
      <c r="CO179" s="714">
        <v>4.2</v>
      </c>
      <c r="CP179" s="714">
        <v>4.3</v>
      </c>
      <c r="CQ179" s="714">
        <v>4.3</v>
      </c>
      <c r="CR179" s="714">
        <v>4.3</v>
      </c>
      <c r="CS179" s="714">
        <v>4.3</v>
      </c>
      <c r="CT179" s="714">
        <v>4.3</v>
      </c>
      <c r="CU179" s="714">
        <v>4.4</v>
      </c>
      <c r="CV179" s="714">
        <v>4.1</v>
      </c>
      <c r="CW179" s="714">
        <v>4.2</v>
      </c>
      <c r="CX179" s="714">
        <v>4.2</v>
      </c>
      <c r="CY179" s="714">
        <v>4.2</v>
      </c>
      <c r="CZ179" s="714">
        <v>4.2</v>
      </c>
      <c r="DA179" s="714">
        <v>4.3</v>
      </c>
      <c r="DB179" s="714">
        <v>4.3</v>
      </c>
      <c r="DC179" s="714">
        <v>4.3</v>
      </c>
      <c r="DD179" s="714">
        <v>4.4</v>
      </c>
      <c r="DE179" s="714">
        <v>4.4</v>
      </c>
      <c r="DF179" s="714">
        <v>4.4</v>
      </c>
      <c r="DG179" s="714">
        <v>4.3</v>
      </c>
      <c r="DH179" s="714">
        <v>4.4</v>
      </c>
      <c r="DI179" s="714">
        <v>4.4</v>
      </c>
      <c r="DJ179" s="714">
        <v>4.4</v>
      </c>
      <c r="DK179" s="714">
        <v>4.4</v>
      </c>
      <c r="DL179" s="714">
        <v>4.4</v>
      </c>
      <c r="DM179" s="714">
        <v>4.4</v>
      </c>
      <c r="DN179" s="714">
        <v>4.4</v>
      </c>
      <c r="DO179" s="714">
        <v>4.5</v>
      </c>
      <c r="DP179" s="714">
        <v>4.5</v>
      </c>
      <c r="DQ179" s="714">
        <v>4.5</v>
      </c>
      <c r="DR179" s="714">
        <v>4.8</v>
      </c>
      <c r="DS179" s="714">
        <v>4.8</v>
      </c>
      <c r="DT179" s="714">
        <v>4.8</v>
      </c>
      <c r="DU179" s="714">
        <v>4.8</v>
      </c>
      <c r="DV179" s="714">
        <v>4.8</v>
      </c>
      <c r="DW179" s="714">
        <v>4.8</v>
      </c>
      <c r="DX179" s="714">
        <v>4.8</v>
      </c>
      <c r="DY179" s="714">
        <v>4.8</v>
      </c>
      <c r="DZ179" s="714">
        <v>4.8</v>
      </c>
      <c r="EA179" s="714">
        <v>4.8</v>
      </c>
      <c r="EB179" s="714">
        <v>4.8</v>
      </c>
      <c r="EC179" s="714">
        <v>4.8</v>
      </c>
      <c r="ED179" s="714">
        <v>4.8</v>
      </c>
      <c r="EE179" s="714">
        <v>4.8</v>
      </c>
      <c r="EF179" s="714">
        <v>4.8</v>
      </c>
      <c r="EG179" s="714">
        <v>4.9</v>
      </c>
      <c r="EH179" s="714">
        <v>4.9</v>
      </c>
      <c r="EI179" s="714">
        <v>5</v>
      </c>
      <c r="EJ179" s="714">
        <v>5</v>
      </c>
      <c r="EK179" s="714">
        <v>5</v>
      </c>
      <c r="EL179" s="714">
        <v>5</v>
      </c>
      <c r="EM179" s="714">
        <v>5</v>
      </c>
      <c r="EN179" s="714">
        <v>5</v>
      </c>
      <c r="EO179" s="714">
        <v>5</v>
      </c>
      <c r="EP179" s="714">
        <v>5</v>
      </c>
      <c r="EQ179" s="714">
        <v>5</v>
      </c>
      <c r="ER179" s="714">
        <v>5</v>
      </c>
      <c r="ES179" s="714">
        <v>5</v>
      </c>
      <c r="ET179" s="714">
        <v>5</v>
      </c>
      <c r="EU179" s="714">
        <v>5.1</v>
      </c>
      <c r="EV179" s="714">
        <v>5.1</v>
      </c>
      <c r="EW179" s="714">
        <v>5.1</v>
      </c>
      <c r="EX179" s="714">
        <v>5.1</v>
      </c>
      <c r="EY179" s="714">
        <v>1.5</v>
      </c>
      <c r="EZ179" s="714">
        <v>2</v>
      </c>
      <c r="FA179" s="714">
        <v>2.3</v>
      </c>
      <c r="FB179" s="714">
        <v>2.6</v>
      </c>
      <c r="FC179" s="714">
        <v>2.8</v>
      </c>
      <c r="FD179" s="714">
        <v>3.1</v>
      </c>
      <c r="FE179" s="714">
        <v>3.2</v>
      </c>
      <c r="FF179" s="714">
        <v>3.3</v>
      </c>
      <c r="FG179" s="714">
        <v>3.4</v>
      </c>
      <c r="FH179" s="714">
        <v>3.5</v>
      </c>
      <c r="FI179" s="714">
        <v>3.7</v>
      </c>
      <c r="FJ179" s="725">
        <v>4.03e-6</v>
      </c>
      <c r="FK179" s="725">
        <v>1.27e-8</v>
      </c>
      <c r="FL179" s="723">
        <v>-2.83e-11</v>
      </c>
      <c r="FM179" s="723">
        <v>6.09e-7</v>
      </c>
      <c r="FN179" s="723">
        <v>-8.9e-12</v>
      </c>
      <c r="FO179" s="723">
        <v>3.02e-8</v>
      </c>
      <c r="FP179" s="729">
        <v>1</v>
      </c>
      <c r="FQ179" s="729">
        <v>3</v>
      </c>
      <c r="FR179" s="729">
        <v>2</v>
      </c>
      <c r="FS179" s="729">
        <v>3</v>
      </c>
      <c r="FT179" s="729">
        <v>2</v>
      </c>
      <c r="FU179" s="729">
        <v>2</v>
      </c>
      <c r="FV179" s="681" t="s">
        <v>516</v>
      </c>
      <c r="FW179" s="729"/>
      <c r="FX179" s="729"/>
      <c r="FY179" s="729"/>
      <c r="FZ179" s="784">
        <v>508</v>
      </c>
      <c r="GA179" s="784">
        <v>544</v>
      </c>
      <c r="GB179" s="681">
        <v>444</v>
      </c>
      <c r="GC179" s="681">
        <v>465</v>
      </c>
      <c r="GD179" s="747">
        <v>1.31</v>
      </c>
      <c r="GE179" s="729"/>
      <c r="GF179" s="681">
        <v>66</v>
      </c>
      <c r="GG179" s="681">
        <v>89</v>
      </c>
      <c r="GH179" s="681">
        <v>58</v>
      </c>
      <c r="GI179" s="681">
        <v>59</v>
      </c>
      <c r="GJ179" s="681">
        <v>59</v>
      </c>
      <c r="GK179" s="681">
        <v>62</v>
      </c>
      <c r="GL179" s="681">
        <v>63</v>
      </c>
      <c r="GM179" s="681">
        <v>65</v>
      </c>
      <c r="GN179" s="681">
        <v>67</v>
      </c>
      <c r="GO179" s="681">
        <v>67</v>
      </c>
      <c r="GP179" s="681">
        <v>70</v>
      </c>
      <c r="GQ179" s="681">
        <v>70</v>
      </c>
      <c r="GR179" s="681">
        <v>72</v>
      </c>
      <c r="GS179" s="681">
        <v>73</v>
      </c>
      <c r="GT179" s="681">
        <v>75</v>
      </c>
      <c r="GU179" s="681">
        <v>75</v>
      </c>
      <c r="GV179" s="681">
        <v>76</v>
      </c>
      <c r="GW179" s="681">
        <v>77</v>
      </c>
      <c r="GX179" s="681">
        <v>79</v>
      </c>
      <c r="GY179" s="681">
        <v>80</v>
      </c>
      <c r="GZ179" s="681">
        <v>83</v>
      </c>
      <c r="HA179" s="681">
        <v>83</v>
      </c>
      <c r="HB179" s="681">
        <v>84</v>
      </c>
      <c r="HC179" s="681"/>
      <c r="HD179" s="750">
        <v>100</v>
      </c>
      <c r="HE179" s="681"/>
      <c r="HF179" s="681">
        <v>628</v>
      </c>
      <c r="HG179" s="681">
        <v>85</v>
      </c>
      <c r="HH179" s="714">
        <v>98.3</v>
      </c>
      <c r="HI179" s="714">
        <v>39.3</v>
      </c>
      <c r="HJ179" s="753">
        <v>0.25</v>
      </c>
      <c r="HK179" s="681">
        <v>70</v>
      </c>
      <c r="HL179" s="685">
        <v>2.12</v>
      </c>
      <c r="HM179" s="747">
        <v>2.79</v>
      </c>
      <c r="HN179" s="729" t="s">
        <v>1391</v>
      </c>
      <c r="HO179" s="729" t="s">
        <v>1392</v>
      </c>
      <c r="HP179" s="714">
        <v>-2.5</v>
      </c>
      <c r="HQ179" s="753">
        <v>0.805</v>
      </c>
      <c r="HR179" s="753">
        <v>0.913</v>
      </c>
      <c r="HS179" s="753">
        <v>0.988</v>
      </c>
      <c r="HT179" s="753">
        <v>0.999</v>
      </c>
      <c r="HU179" s="753">
        <v>0.999</v>
      </c>
      <c r="HV179" s="753">
        <v>0.999</v>
      </c>
      <c r="HW179" s="753">
        <v>0.999</v>
      </c>
      <c r="HX179" s="753">
        <v>0.999</v>
      </c>
      <c r="HY179" s="753">
        <v>0.999</v>
      </c>
      <c r="HZ179" s="753">
        <v>0.999</v>
      </c>
      <c r="IA179" s="753">
        <v>0.999</v>
      </c>
      <c r="IB179" s="753">
        <v>0.999</v>
      </c>
      <c r="IC179" s="753">
        <v>0.999</v>
      </c>
      <c r="ID179" s="753">
        <v>0.999</v>
      </c>
      <c r="IE179" s="754">
        <v>0.999</v>
      </c>
      <c r="IF179" s="753">
        <v>0.999</v>
      </c>
      <c r="IG179" s="754">
        <v>0.999</v>
      </c>
      <c r="IH179" s="754">
        <v>0.999</v>
      </c>
      <c r="II179" s="754">
        <v>0.999</v>
      </c>
      <c r="IJ179" s="754">
        <v>0.999</v>
      </c>
      <c r="IK179" s="754">
        <v>0.999</v>
      </c>
      <c r="IL179" s="754">
        <v>0.999</v>
      </c>
      <c r="IM179" s="754">
        <v>0.999</v>
      </c>
      <c r="IN179" s="754">
        <v>0.999</v>
      </c>
      <c r="IO179" s="754">
        <v>0.995</v>
      </c>
      <c r="IP179" s="754">
        <v>0.993</v>
      </c>
      <c r="IQ179" s="754">
        <v>0.989</v>
      </c>
      <c r="IR179" s="754">
        <v>0.98</v>
      </c>
      <c r="IS179" s="754">
        <v>0.965</v>
      </c>
      <c r="IT179" s="754">
        <v>0.937</v>
      </c>
      <c r="IU179" s="754">
        <v>0.892</v>
      </c>
      <c r="IV179" s="754">
        <v>0.815</v>
      </c>
      <c r="IW179" s="754">
        <v>0.705</v>
      </c>
      <c r="IX179" s="754">
        <v>0.566</v>
      </c>
      <c r="IY179" s="754">
        <v>0.417</v>
      </c>
      <c r="IZ179" s="754">
        <v>0.281</v>
      </c>
      <c r="JA179" s="753">
        <v>0.648</v>
      </c>
      <c r="JB179" s="753">
        <v>0.834</v>
      </c>
      <c r="JC179" s="753">
        <v>0.976</v>
      </c>
      <c r="JD179" s="753">
        <v>0.998</v>
      </c>
      <c r="JE179" s="753">
        <v>0.998</v>
      </c>
      <c r="JF179" s="753">
        <v>0.998</v>
      </c>
      <c r="JG179" s="753">
        <v>0.998</v>
      </c>
      <c r="JH179" s="753">
        <v>0.998</v>
      </c>
      <c r="JI179" s="753">
        <v>0.998</v>
      </c>
      <c r="JJ179" s="753">
        <v>0.998</v>
      </c>
      <c r="JK179" s="753">
        <v>0.998</v>
      </c>
      <c r="JL179" s="753">
        <v>0.998</v>
      </c>
      <c r="JM179" s="753">
        <v>0.998</v>
      </c>
      <c r="JN179" s="753">
        <v>0.998</v>
      </c>
      <c r="JO179" s="754">
        <v>0.998</v>
      </c>
      <c r="JP179" s="754">
        <v>0.998</v>
      </c>
      <c r="JQ179" s="754">
        <v>0.998</v>
      </c>
      <c r="JR179" s="754">
        <v>0.998</v>
      </c>
      <c r="JS179" s="754">
        <v>0.998</v>
      </c>
      <c r="JT179" s="754">
        <v>0.998</v>
      </c>
      <c r="JU179" s="754">
        <v>0.998</v>
      </c>
      <c r="JV179" s="754">
        <v>0.998</v>
      </c>
      <c r="JW179" s="754">
        <v>0.998</v>
      </c>
      <c r="JX179" s="754">
        <v>0.998</v>
      </c>
      <c r="JY179" s="754">
        <v>0.989</v>
      </c>
      <c r="JZ179" s="754">
        <v>0.984</v>
      </c>
      <c r="KA179" s="754">
        <v>0.977</v>
      </c>
      <c r="KB179" s="754">
        <v>0.962</v>
      </c>
      <c r="KC179" s="754">
        <v>0.933</v>
      </c>
      <c r="KD179" s="754">
        <v>0.88</v>
      </c>
      <c r="KE179" s="754">
        <v>0.794</v>
      </c>
      <c r="KF179" s="754">
        <v>0.664</v>
      </c>
      <c r="KG179" s="754">
        <v>0.498</v>
      </c>
      <c r="KH179" s="754">
        <v>0.322</v>
      </c>
      <c r="KI179" s="754">
        <v>0.176</v>
      </c>
      <c r="KJ179" s="754">
        <v>0.082</v>
      </c>
      <c r="KK179" s="765" t="s">
        <v>1349</v>
      </c>
      <c r="KL179" s="738">
        <v>68</v>
      </c>
      <c r="KM179" s="738">
        <v>190</v>
      </c>
      <c r="KN179" s="646" t="s">
        <v>282</v>
      </c>
      <c r="KO179" s="646" t="s">
        <v>1390</v>
      </c>
      <c r="KP179" s="679">
        <v>589613</v>
      </c>
      <c r="KQ179" s="789" t="s">
        <v>1393</v>
      </c>
      <c r="KR179" s="750" t="s">
        <v>445</v>
      </c>
      <c r="KS179" s="789" t="s">
        <v>1394</v>
      </c>
      <c r="KT179" s="770" t="s">
        <v>1395</v>
      </c>
      <c r="KU179" s="789" t="s">
        <v>1396</v>
      </c>
      <c r="KV179" s="750">
        <v>589613</v>
      </c>
      <c r="KW179" s="771" t="s">
        <v>1397</v>
      </c>
      <c r="KX179" s="750" t="s">
        <v>445</v>
      </c>
      <c r="KY179" s="789" t="s">
        <v>1398</v>
      </c>
      <c r="KZ179" s="770" t="s">
        <v>445</v>
      </c>
    </row>
    <row r="180" s="628" customFormat="1" customHeight="1" spans="1:312">
      <c r="A180" s="682" t="s">
        <v>277</v>
      </c>
      <c r="B180" s="683">
        <v>176</v>
      </c>
      <c r="C180" s="781" t="s">
        <v>1399</v>
      </c>
      <c r="D180" s="646">
        <v>588610</v>
      </c>
      <c r="E180" s="685">
        <v>61.02</v>
      </c>
      <c r="F180" s="685">
        <v>60.81</v>
      </c>
      <c r="G180" s="686">
        <v>0.00964</v>
      </c>
      <c r="H180" s="686">
        <v>0.00971</v>
      </c>
      <c r="I180" s="696"/>
      <c r="J180" s="696"/>
      <c r="K180" s="696"/>
      <c r="L180" s="696">
        <v>1.57541</v>
      </c>
      <c r="M180" s="696">
        <v>1.57635</v>
      </c>
      <c r="N180" s="696">
        <v>1.57712</v>
      </c>
      <c r="O180" s="696">
        <v>1.58001</v>
      </c>
      <c r="P180" s="696">
        <v>1.58193</v>
      </c>
      <c r="Q180" s="696">
        <v>1.58365</v>
      </c>
      <c r="R180" s="696">
        <v>1.58535</v>
      </c>
      <c r="S180" s="696">
        <v>1.58582</v>
      </c>
      <c r="T180" s="696">
        <v>1.58627</v>
      </c>
      <c r="U180" s="696">
        <v>1.58823</v>
      </c>
      <c r="V180" s="696">
        <v>1.58831</v>
      </c>
      <c r="W180" s="696">
        <v>1.59061</v>
      </c>
      <c r="X180" s="696">
        <v>1.59499</v>
      </c>
      <c r="Y180" s="696">
        <v>1.59555</v>
      </c>
      <c r="Z180" s="696">
        <v>1.60018</v>
      </c>
      <c r="AA180" s="696">
        <v>1.60446</v>
      </c>
      <c r="AB180" s="696">
        <v>1.61171</v>
      </c>
      <c r="AC180" s="705">
        <v>2.4852064</v>
      </c>
      <c r="AD180" s="705">
        <v>-0.0111940698</v>
      </c>
      <c r="AE180" s="705">
        <v>0.0138766236</v>
      </c>
      <c r="AF180" s="705">
        <v>0.000112540137</v>
      </c>
      <c r="AG180" s="705">
        <v>1.15205458e-5</v>
      </c>
      <c r="AH180" s="705">
        <v>-4.63440822e-7</v>
      </c>
      <c r="AI180" s="710">
        <v>0.3071</v>
      </c>
      <c r="AJ180" s="710">
        <v>0.2386</v>
      </c>
      <c r="AK180" s="710">
        <v>0.5384</v>
      </c>
      <c r="AL180" s="710">
        <v>0.2564</v>
      </c>
      <c r="AM180" s="710">
        <v>0.2369</v>
      </c>
      <c r="AN180" s="710">
        <v>0.4768</v>
      </c>
      <c r="AO180" s="710">
        <v>-0.0022</v>
      </c>
      <c r="AP180" s="710">
        <v>-0.0039</v>
      </c>
      <c r="AQ180" s="710">
        <v>0.0179</v>
      </c>
      <c r="AR180" s="710">
        <v>0.0071</v>
      </c>
      <c r="AS180" s="715">
        <v>1.8</v>
      </c>
      <c r="AT180" s="715">
        <v>1.8</v>
      </c>
      <c r="AU180" s="715">
        <v>1.9</v>
      </c>
      <c r="AV180" s="715">
        <v>2</v>
      </c>
      <c r="AW180" s="715">
        <v>2.1</v>
      </c>
      <c r="AX180" s="715">
        <v>2.3</v>
      </c>
      <c r="AY180" s="715">
        <v>2.3</v>
      </c>
      <c r="AZ180" s="715">
        <v>2.3</v>
      </c>
      <c r="BA180" s="715">
        <v>2.4</v>
      </c>
      <c r="BB180" s="715">
        <v>2.5</v>
      </c>
      <c r="BC180" s="715">
        <v>2.6</v>
      </c>
      <c r="BD180" s="715">
        <v>2.2</v>
      </c>
      <c r="BE180" s="715">
        <v>2.2</v>
      </c>
      <c r="BF180" s="715">
        <v>2.3</v>
      </c>
      <c r="BG180" s="715">
        <v>2.4</v>
      </c>
      <c r="BH180" s="715">
        <v>2.5</v>
      </c>
      <c r="BI180" s="715">
        <v>2.7</v>
      </c>
      <c r="BJ180" s="715">
        <v>2.8</v>
      </c>
      <c r="BK180" s="715">
        <v>2.8</v>
      </c>
      <c r="BL180" s="715">
        <v>3</v>
      </c>
      <c r="BM180" s="715">
        <v>3.2</v>
      </c>
      <c r="BN180" s="715">
        <v>3.3</v>
      </c>
      <c r="BO180" s="715">
        <v>2.2</v>
      </c>
      <c r="BP180" s="715">
        <v>2.2</v>
      </c>
      <c r="BQ180" s="715">
        <v>2.4</v>
      </c>
      <c r="BR180" s="715">
        <v>2.5</v>
      </c>
      <c r="BS180" s="715">
        <v>2.7</v>
      </c>
      <c r="BT180" s="715">
        <v>2.8</v>
      </c>
      <c r="BU180" s="715">
        <v>3</v>
      </c>
      <c r="BV180" s="715">
        <v>3.2</v>
      </c>
      <c r="BW180" s="715">
        <v>3.3</v>
      </c>
      <c r="BX180" s="715">
        <v>3.4</v>
      </c>
      <c r="BY180" s="715">
        <v>3.5</v>
      </c>
      <c r="BZ180" s="715">
        <v>2.3</v>
      </c>
      <c r="CA180" s="715">
        <v>2.3</v>
      </c>
      <c r="CB180" s="715">
        <v>2.5</v>
      </c>
      <c r="CC180" s="715">
        <v>2.6</v>
      </c>
      <c r="CD180" s="715">
        <v>2.8</v>
      </c>
      <c r="CE180" s="715">
        <v>2.8</v>
      </c>
      <c r="CF180" s="715">
        <v>3</v>
      </c>
      <c r="CG180" s="715">
        <v>3.2</v>
      </c>
      <c r="CH180" s="715">
        <v>3.3</v>
      </c>
      <c r="CI180" s="715">
        <v>3.5</v>
      </c>
      <c r="CJ180" s="715">
        <v>3.6</v>
      </c>
      <c r="CK180" s="715">
        <v>2.4</v>
      </c>
      <c r="CL180" s="715">
        <v>2.5</v>
      </c>
      <c r="CM180" s="715">
        <v>2.6</v>
      </c>
      <c r="CN180" s="715">
        <v>2.7</v>
      </c>
      <c r="CO180" s="715">
        <v>2.9</v>
      </c>
      <c r="CP180" s="715">
        <v>3</v>
      </c>
      <c r="CQ180" s="715">
        <v>3.1</v>
      </c>
      <c r="CR180" s="715">
        <v>3.3</v>
      </c>
      <c r="CS180" s="715">
        <v>3.4</v>
      </c>
      <c r="CT180" s="715">
        <v>3.6</v>
      </c>
      <c r="CU180" s="715">
        <v>3.8</v>
      </c>
      <c r="CV180" s="715">
        <v>2.6</v>
      </c>
      <c r="CW180" s="715">
        <v>2.7</v>
      </c>
      <c r="CX180" s="715">
        <v>2.9</v>
      </c>
      <c r="CY180" s="715">
        <v>2.9</v>
      </c>
      <c r="CZ180" s="715">
        <v>3</v>
      </c>
      <c r="DA180" s="715">
        <v>3.2</v>
      </c>
      <c r="DB180" s="715">
        <v>3.4</v>
      </c>
      <c r="DC180" s="715">
        <v>3.6</v>
      </c>
      <c r="DD180" s="715">
        <v>3.7</v>
      </c>
      <c r="DE180" s="715">
        <v>3.8</v>
      </c>
      <c r="DF180" s="715">
        <v>3.9</v>
      </c>
      <c r="DG180" s="715">
        <v>2.7</v>
      </c>
      <c r="DH180" s="715">
        <v>2.7</v>
      </c>
      <c r="DI180" s="715">
        <v>3</v>
      </c>
      <c r="DJ180" s="715">
        <v>3.1</v>
      </c>
      <c r="DK180" s="715">
        <v>3.2</v>
      </c>
      <c r="DL180" s="715">
        <v>3.4</v>
      </c>
      <c r="DM180" s="715">
        <v>3.5</v>
      </c>
      <c r="DN180" s="715">
        <v>3.7</v>
      </c>
      <c r="DO180" s="715">
        <v>3.9</v>
      </c>
      <c r="DP180" s="715">
        <v>4</v>
      </c>
      <c r="DQ180" s="715">
        <v>4.1</v>
      </c>
      <c r="DR180" s="715">
        <v>2.9</v>
      </c>
      <c r="DS180" s="715">
        <v>3</v>
      </c>
      <c r="DT180" s="715">
        <v>3.1</v>
      </c>
      <c r="DU180" s="715">
        <v>3.2</v>
      </c>
      <c r="DV180" s="715">
        <v>3.3</v>
      </c>
      <c r="DW180" s="715">
        <v>3.5</v>
      </c>
      <c r="DX180" s="715">
        <v>3.7</v>
      </c>
      <c r="DY180" s="715">
        <v>3.9</v>
      </c>
      <c r="DZ180" s="715">
        <v>4</v>
      </c>
      <c r="EA180" s="715">
        <v>4.1</v>
      </c>
      <c r="EB180" s="715">
        <v>4.3</v>
      </c>
      <c r="EC180" s="715">
        <v>2.9</v>
      </c>
      <c r="ED180" s="715">
        <v>3.1</v>
      </c>
      <c r="EE180" s="715">
        <v>3.2</v>
      </c>
      <c r="EF180" s="715">
        <v>3.2</v>
      </c>
      <c r="EG180" s="715">
        <v>3.4</v>
      </c>
      <c r="EH180" s="715">
        <v>3.6</v>
      </c>
      <c r="EI180" s="715">
        <v>3.8</v>
      </c>
      <c r="EJ180" s="715">
        <v>4</v>
      </c>
      <c r="EK180" s="715">
        <v>4.1</v>
      </c>
      <c r="EL180" s="715">
        <v>4.2</v>
      </c>
      <c r="EM180" s="715">
        <v>4.4</v>
      </c>
      <c r="EN180" s="715">
        <v>3.1</v>
      </c>
      <c r="EO180" s="715">
        <v>3.2</v>
      </c>
      <c r="EP180" s="715">
        <v>3.3</v>
      </c>
      <c r="EQ180" s="715">
        <v>3.5</v>
      </c>
      <c r="ER180" s="715">
        <v>3.7</v>
      </c>
      <c r="ES180" s="715">
        <v>3.9</v>
      </c>
      <c r="ET180" s="715">
        <v>4.2</v>
      </c>
      <c r="EU180" s="715">
        <v>4.3</v>
      </c>
      <c r="EV180" s="715">
        <v>4.5</v>
      </c>
      <c r="EW180" s="715">
        <v>4.6</v>
      </c>
      <c r="EX180" s="715">
        <v>4.8</v>
      </c>
      <c r="EY180" s="715">
        <v>-0.2</v>
      </c>
      <c r="EZ180" s="715">
        <v>0.4</v>
      </c>
      <c r="FA180" s="715">
        <v>0.8</v>
      </c>
      <c r="FB180" s="715">
        <v>1.1</v>
      </c>
      <c r="FC180" s="715">
        <v>1.5</v>
      </c>
      <c r="FD180" s="715">
        <v>1.8</v>
      </c>
      <c r="FE180" s="715">
        <v>2</v>
      </c>
      <c r="FF180" s="715">
        <v>2.3</v>
      </c>
      <c r="FG180" s="715">
        <v>2.5</v>
      </c>
      <c r="FH180" s="715">
        <v>2.8</v>
      </c>
      <c r="FI180" s="715">
        <v>3.1</v>
      </c>
      <c r="FJ180" s="723">
        <v>8.95e-7</v>
      </c>
      <c r="FK180" s="723">
        <v>1.58e-8</v>
      </c>
      <c r="FL180" s="723">
        <v>-2.51e-11</v>
      </c>
      <c r="FM180" s="723">
        <v>6.76e-7</v>
      </c>
      <c r="FN180" s="723">
        <v>8.92e-10</v>
      </c>
      <c r="FO180" s="723">
        <v>8.04e-9</v>
      </c>
      <c r="FP180" s="646">
        <v>2</v>
      </c>
      <c r="FQ180" s="646">
        <v>2</v>
      </c>
      <c r="FR180" s="646">
        <v>2</v>
      </c>
      <c r="FS180" s="646">
        <v>3</v>
      </c>
      <c r="FT180" s="646">
        <v>2</v>
      </c>
      <c r="FU180" s="646">
        <v>2</v>
      </c>
      <c r="FV180" s="681" t="s">
        <v>493</v>
      </c>
      <c r="FW180" s="646"/>
      <c r="FX180" s="646"/>
      <c r="FY180" s="646"/>
      <c r="FZ180" s="738">
        <v>514</v>
      </c>
      <c r="GA180" s="738">
        <v>546</v>
      </c>
      <c r="GB180" s="738">
        <v>474</v>
      </c>
      <c r="GC180" s="738">
        <v>502</v>
      </c>
      <c r="GD180" s="685">
        <v>1.19</v>
      </c>
      <c r="GE180" s="646"/>
      <c r="GF180" s="738">
        <v>73</v>
      </c>
      <c r="GG180" s="738">
        <v>96</v>
      </c>
      <c r="GH180" s="738">
        <v>60</v>
      </c>
      <c r="GI180" s="738">
        <v>65</v>
      </c>
      <c r="GJ180" s="738">
        <v>67</v>
      </c>
      <c r="GK180" s="738">
        <v>68</v>
      </c>
      <c r="GL180" s="738">
        <v>72</v>
      </c>
      <c r="GM180" s="738">
        <v>73</v>
      </c>
      <c r="GN180" s="738">
        <v>73</v>
      </c>
      <c r="GO180" s="738">
        <v>75</v>
      </c>
      <c r="GP180" s="738">
        <v>77</v>
      </c>
      <c r="GQ180" s="738">
        <v>79</v>
      </c>
      <c r="GR180" s="738">
        <v>79</v>
      </c>
      <c r="GS180" s="738">
        <v>81</v>
      </c>
      <c r="GT180" s="738">
        <v>82</v>
      </c>
      <c r="GU180" s="738">
        <v>84</v>
      </c>
      <c r="GV180" s="738">
        <v>84</v>
      </c>
      <c r="GW180" s="738">
        <v>86</v>
      </c>
      <c r="GX180" s="738">
        <v>86</v>
      </c>
      <c r="GY180" s="738">
        <v>89</v>
      </c>
      <c r="GZ180" s="738">
        <v>89</v>
      </c>
      <c r="HA180" s="738">
        <v>91</v>
      </c>
      <c r="HB180" s="738">
        <v>94</v>
      </c>
      <c r="HC180" s="738"/>
      <c r="HD180" s="738">
        <v>100</v>
      </c>
      <c r="HE180" s="738"/>
      <c r="HF180" s="738">
        <v>606</v>
      </c>
      <c r="HG180" s="738">
        <v>103</v>
      </c>
      <c r="HH180" s="715">
        <v>99.1</v>
      </c>
      <c r="HI180" s="715">
        <v>38.8</v>
      </c>
      <c r="HJ180" s="754">
        <v>0.278</v>
      </c>
      <c r="HK180" s="738">
        <v>141</v>
      </c>
      <c r="HL180" s="685">
        <v>2.14</v>
      </c>
      <c r="HM180" s="685">
        <v>2.8</v>
      </c>
      <c r="HN180" s="646" t="s">
        <v>1391</v>
      </c>
      <c r="HO180" s="646" t="s">
        <v>1400</v>
      </c>
      <c r="HP180" s="715">
        <v>-2.2</v>
      </c>
      <c r="HQ180" s="754">
        <v>0.884</v>
      </c>
      <c r="HR180" s="754">
        <v>0.955</v>
      </c>
      <c r="HS180" s="754">
        <v>0.987</v>
      </c>
      <c r="HT180" s="754">
        <v>0.993</v>
      </c>
      <c r="HU180" s="754">
        <v>0.997</v>
      </c>
      <c r="HV180" s="754">
        <v>0.999</v>
      </c>
      <c r="HW180" s="753">
        <v>0.999</v>
      </c>
      <c r="HX180" s="753">
        <v>0.999</v>
      </c>
      <c r="HY180" s="754">
        <v>0.999</v>
      </c>
      <c r="HZ180" s="754">
        <v>0.999</v>
      </c>
      <c r="IA180" s="754">
        <v>0.999</v>
      </c>
      <c r="IB180" s="754">
        <v>0.999</v>
      </c>
      <c r="IC180" s="754">
        <v>0.999</v>
      </c>
      <c r="ID180" s="754">
        <v>0.999</v>
      </c>
      <c r="IE180" s="754">
        <v>0.999</v>
      </c>
      <c r="IF180" s="754">
        <v>0.999</v>
      </c>
      <c r="IG180" s="754">
        <v>0.999</v>
      </c>
      <c r="IH180" s="754">
        <v>0.999</v>
      </c>
      <c r="II180" s="754">
        <v>0.999</v>
      </c>
      <c r="IJ180" s="754">
        <v>0.999</v>
      </c>
      <c r="IK180" s="754">
        <v>0.999</v>
      </c>
      <c r="IL180" s="754">
        <v>0.999</v>
      </c>
      <c r="IM180" s="754">
        <v>0.999</v>
      </c>
      <c r="IN180" s="754">
        <v>0.998</v>
      </c>
      <c r="IO180" s="754">
        <v>0.997</v>
      </c>
      <c r="IP180" s="754">
        <v>0.995</v>
      </c>
      <c r="IQ180" s="754">
        <v>0.994</v>
      </c>
      <c r="IR180" s="754">
        <v>0.986</v>
      </c>
      <c r="IS180" s="754">
        <v>0.975</v>
      </c>
      <c r="IT180" s="754">
        <v>0.953</v>
      </c>
      <c r="IU180" s="754">
        <v>0.914</v>
      </c>
      <c r="IV180" s="754">
        <v>0.847</v>
      </c>
      <c r="IW180" s="754">
        <v>0.738</v>
      </c>
      <c r="IX180" s="754">
        <v>0.597</v>
      </c>
      <c r="IY180" s="754">
        <v>0.438</v>
      </c>
      <c r="IZ180" s="754">
        <v>0.293</v>
      </c>
      <c r="JA180" s="754">
        <v>0.781</v>
      </c>
      <c r="JB180" s="754">
        <v>0.911</v>
      </c>
      <c r="JC180" s="754">
        <v>0.974</v>
      </c>
      <c r="JD180" s="754">
        <v>0.986</v>
      </c>
      <c r="JE180" s="754">
        <v>0.995</v>
      </c>
      <c r="JF180" s="754">
        <v>0.998</v>
      </c>
      <c r="JG180" s="754">
        <v>0.998</v>
      </c>
      <c r="JH180" s="754">
        <v>0.998</v>
      </c>
      <c r="JI180" s="754">
        <v>0.998</v>
      </c>
      <c r="JJ180" s="754">
        <v>0.998</v>
      </c>
      <c r="JK180" s="754">
        <v>0.998</v>
      </c>
      <c r="JL180" s="754">
        <v>0.998</v>
      </c>
      <c r="JM180" s="754">
        <v>0.998</v>
      </c>
      <c r="JN180" s="754">
        <v>0.998</v>
      </c>
      <c r="JO180" s="754">
        <v>0.998</v>
      </c>
      <c r="JP180" s="754">
        <v>0.998</v>
      </c>
      <c r="JQ180" s="754">
        <v>0.998</v>
      </c>
      <c r="JR180" s="754">
        <v>0.998</v>
      </c>
      <c r="JS180" s="754">
        <v>0.998</v>
      </c>
      <c r="JT180" s="754">
        <v>0.998</v>
      </c>
      <c r="JU180" s="754">
        <v>0.998</v>
      </c>
      <c r="JV180" s="754">
        <v>0.998</v>
      </c>
      <c r="JW180" s="754">
        <v>0.998</v>
      </c>
      <c r="JX180" s="754">
        <v>0.996</v>
      </c>
      <c r="JY180" s="754">
        <v>0.994</v>
      </c>
      <c r="JZ180" s="754">
        <v>0.991</v>
      </c>
      <c r="KA180" s="754">
        <v>0.988</v>
      </c>
      <c r="KB180" s="754">
        <v>0.973</v>
      </c>
      <c r="KC180" s="754">
        <v>0.951</v>
      </c>
      <c r="KD180" s="754">
        <v>0.908</v>
      </c>
      <c r="KE180" s="754">
        <v>0.836</v>
      </c>
      <c r="KF180" s="754">
        <v>0.717</v>
      </c>
      <c r="KG180" s="754">
        <v>0.545</v>
      </c>
      <c r="KH180" s="754">
        <v>0.356</v>
      </c>
      <c r="KI180" s="754">
        <v>0.192</v>
      </c>
      <c r="KJ180" s="754">
        <v>0.086</v>
      </c>
      <c r="KK180" s="765" t="s">
        <v>1349</v>
      </c>
      <c r="KL180" s="738">
        <v>68</v>
      </c>
      <c r="KM180" s="738">
        <v>190</v>
      </c>
      <c r="KN180" s="646" t="s">
        <v>282</v>
      </c>
      <c r="KO180" s="646" t="s">
        <v>1399</v>
      </c>
      <c r="KP180" s="646">
        <v>588610</v>
      </c>
      <c r="KQ180" s="684" t="s">
        <v>1401</v>
      </c>
      <c r="KR180" s="646" t="s">
        <v>445</v>
      </c>
      <c r="KS180" s="684" t="s">
        <v>1402</v>
      </c>
      <c r="KT180" s="646" t="s">
        <v>1395</v>
      </c>
      <c r="KU180" s="684" t="s">
        <v>1403</v>
      </c>
      <c r="KV180" s="646">
        <v>589613</v>
      </c>
      <c r="KW180" s="684" t="s">
        <v>1404</v>
      </c>
      <c r="KX180" s="646" t="s">
        <v>445</v>
      </c>
      <c r="KY180" s="684" t="s">
        <v>1405</v>
      </c>
      <c r="KZ180" s="738" t="s">
        <v>445</v>
      </c>
    </row>
    <row r="181" s="628" customFormat="1" customHeight="1" spans="1:312">
      <c r="A181" s="682" t="s">
        <v>277</v>
      </c>
      <c r="B181" s="683">
        <v>177</v>
      </c>
      <c r="C181" s="781" t="s">
        <v>1406</v>
      </c>
      <c r="D181" s="679">
        <v>609579</v>
      </c>
      <c r="E181" s="685">
        <v>57.9</v>
      </c>
      <c r="F181" s="685">
        <v>57.7</v>
      </c>
      <c r="G181" s="688">
        <v>0.010516</v>
      </c>
      <c r="H181" s="686">
        <v>0.010595</v>
      </c>
      <c r="I181" s="696">
        <v>1.57477</v>
      </c>
      <c r="J181" s="696">
        <v>1.58152</v>
      </c>
      <c r="K181" s="696">
        <v>1.58874</v>
      </c>
      <c r="L181" s="696">
        <v>1.59482</v>
      </c>
      <c r="M181" s="696">
        <v>1.59586</v>
      </c>
      <c r="N181" s="696">
        <v>1.59671</v>
      </c>
      <c r="O181" s="696">
        <v>1.59986</v>
      </c>
      <c r="P181" s="696">
        <v>1.60194</v>
      </c>
      <c r="Q181" s="696">
        <v>1.6038</v>
      </c>
      <c r="R181" s="697">
        <v>1.60565</v>
      </c>
      <c r="S181" s="697">
        <v>1.60616</v>
      </c>
      <c r="T181" s="697">
        <v>1.60664</v>
      </c>
      <c r="U181" s="701">
        <v>1.60876</v>
      </c>
      <c r="V181" s="697">
        <v>1.60886</v>
      </c>
      <c r="W181" s="697">
        <v>1.61136</v>
      </c>
      <c r="X181" s="697">
        <v>1.61616</v>
      </c>
      <c r="Y181" s="697">
        <v>1.61676</v>
      </c>
      <c r="Z181" s="697">
        <v>1.62184</v>
      </c>
      <c r="AA181" s="697">
        <v>1.62655</v>
      </c>
      <c r="AB181" s="697">
        <v>1.6346</v>
      </c>
      <c r="AC181" s="704">
        <v>2.54913552</v>
      </c>
      <c r="AD181" s="705">
        <v>-0.0132831855</v>
      </c>
      <c r="AE181" s="705">
        <v>0.0139362205</v>
      </c>
      <c r="AF181" s="705">
        <v>0.000499307363</v>
      </c>
      <c r="AG181" s="705">
        <v>-3.36145332e-5</v>
      </c>
      <c r="AH181" s="705">
        <v>1.90094032e-6</v>
      </c>
      <c r="AI181" s="709">
        <v>0.3052</v>
      </c>
      <c r="AJ181" s="709">
        <v>0.2377</v>
      </c>
      <c r="AK181" s="709">
        <v>0.5401</v>
      </c>
      <c r="AL181" s="709">
        <v>0.2548</v>
      </c>
      <c r="AM181" s="709">
        <v>0.236</v>
      </c>
      <c r="AN181" s="709">
        <v>0.4795</v>
      </c>
      <c r="AO181" s="709">
        <v>-0.0018</v>
      </c>
      <c r="AP181" s="709">
        <v>-0.0073</v>
      </c>
      <c r="AQ181" s="709">
        <v>0.0294</v>
      </c>
      <c r="AR181" s="709">
        <v>0.0112</v>
      </c>
      <c r="AS181" s="714">
        <v>0.9</v>
      </c>
      <c r="AT181" s="714">
        <v>1.2</v>
      </c>
      <c r="AU181" s="714">
        <v>2</v>
      </c>
      <c r="AV181" s="714">
        <v>2.1</v>
      </c>
      <c r="AW181" s="714">
        <v>2.1</v>
      </c>
      <c r="AX181" s="714">
        <v>2.3</v>
      </c>
      <c r="AY181" s="714">
        <v>2.3</v>
      </c>
      <c r="AZ181" s="714">
        <v>2.4</v>
      </c>
      <c r="BA181" s="714">
        <v>2.4</v>
      </c>
      <c r="BB181" s="714">
        <v>2.5</v>
      </c>
      <c r="BC181" s="714">
        <v>2.6</v>
      </c>
      <c r="BD181" s="714">
        <v>1.1</v>
      </c>
      <c r="BE181" s="714">
        <v>1.4</v>
      </c>
      <c r="BF181" s="714">
        <v>2.1</v>
      </c>
      <c r="BG181" s="714">
        <v>2.4</v>
      </c>
      <c r="BH181" s="714">
        <v>2.4</v>
      </c>
      <c r="BI181" s="714">
        <v>2.6</v>
      </c>
      <c r="BJ181" s="714">
        <v>2.7</v>
      </c>
      <c r="BK181" s="714">
        <v>2.8</v>
      </c>
      <c r="BL181" s="714">
        <v>2.9</v>
      </c>
      <c r="BM181" s="714">
        <v>3</v>
      </c>
      <c r="BN181" s="714">
        <v>3.1</v>
      </c>
      <c r="BO181" s="714">
        <v>1.2</v>
      </c>
      <c r="BP181" s="714">
        <v>1.5</v>
      </c>
      <c r="BQ181" s="714">
        <v>2.2</v>
      </c>
      <c r="BR181" s="714">
        <v>2.4</v>
      </c>
      <c r="BS181" s="714">
        <v>2.5</v>
      </c>
      <c r="BT181" s="714">
        <v>2.6</v>
      </c>
      <c r="BU181" s="714">
        <v>2.7</v>
      </c>
      <c r="BV181" s="714">
        <v>2.9</v>
      </c>
      <c r="BW181" s="714">
        <v>3</v>
      </c>
      <c r="BX181" s="714">
        <v>3.1</v>
      </c>
      <c r="BY181" s="714">
        <v>3.2</v>
      </c>
      <c r="BZ181" s="714">
        <v>1.2</v>
      </c>
      <c r="CA181" s="714">
        <v>1.5</v>
      </c>
      <c r="CB181" s="714">
        <v>2.2</v>
      </c>
      <c r="CC181" s="714">
        <v>2.4</v>
      </c>
      <c r="CD181" s="714">
        <v>2.5</v>
      </c>
      <c r="CE181" s="714">
        <v>2.6</v>
      </c>
      <c r="CF181" s="714">
        <v>2.7</v>
      </c>
      <c r="CG181" s="714">
        <v>2.9</v>
      </c>
      <c r="CH181" s="714">
        <v>3.1</v>
      </c>
      <c r="CI181" s="714">
        <v>3.2</v>
      </c>
      <c r="CJ181" s="714">
        <v>3.3</v>
      </c>
      <c r="CK181" s="714">
        <v>1.3</v>
      </c>
      <c r="CL181" s="714">
        <v>1.6</v>
      </c>
      <c r="CM181" s="714">
        <v>2.3</v>
      </c>
      <c r="CN181" s="714">
        <v>2.4</v>
      </c>
      <c r="CO181" s="714">
        <v>2.5</v>
      </c>
      <c r="CP181" s="714">
        <v>2.6</v>
      </c>
      <c r="CQ181" s="714">
        <v>2.8</v>
      </c>
      <c r="CR181" s="714">
        <v>3</v>
      </c>
      <c r="CS181" s="714">
        <v>3.1</v>
      </c>
      <c r="CT181" s="714">
        <v>3.2</v>
      </c>
      <c r="CU181" s="714">
        <v>3.3</v>
      </c>
      <c r="CV181" s="714">
        <v>1.6</v>
      </c>
      <c r="CW181" s="714">
        <v>1.9</v>
      </c>
      <c r="CX181" s="714">
        <v>2.4</v>
      </c>
      <c r="CY181" s="714">
        <v>2.5</v>
      </c>
      <c r="CZ181" s="714">
        <v>2.7</v>
      </c>
      <c r="DA181" s="714">
        <v>2.8</v>
      </c>
      <c r="DB181" s="714">
        <v>2.9</v>
      </c>
      <c r="DC181" s="714">
        <v>3.1</v>
      </c>
      <c r="DD181" s="714">
        <v>3.2</v>
      </c>
      <c r="DE181" s="714">
        <v>3.3</v>
      </c>
      <c r="DF181" s="714">
        <v>3.4</v>
      </c>
      <c r="DG181" s="714">
        <v>1.7</v>
      </c>
      <c r="DH181" s="714">
        <v>2.1</v>
      </c>
      <c r="DI181" s="714">
        <v>2.6</v>
      </c>
      <c r="DJ181" s="714">
        <v>2.7</v>
      </c>
      <c r="DK181" s="714">
        <v>2.9</v>
      </c>
      <c r="DL181" s="714">
        <v>3</v>
      </c>
      <c r="DM181" s="714">
        <v>3.1</v>
      </c>
      <c r="DN181" s="714">
        <v>3.2</v>
      </c>
      <c r="DO181" s="714">
        <v>3.3</v>
      </c>
      <c r="DP181" s="714">
        <v>3.4</v>
      </c>
      <c r="DQ181" s="714">
        <v>3.5</v>
      </c>
      <c r="DR181" s="714">
        <v>1.9</v>
      </c>
      <c r="DS181" s="714">
        <v>2.2</v>
      </c>
      <c r="DT181" s="714">
        <v>2.7</v>
      </c>
      <c r="DU181" s="714">
        <v>2.9</v>
      </c>
      <c r="DV181" s="714">
        <v>3.2</v>
      </c>
      <c r="DW181" s="714">
        <v>3.4</v>
      </c>
      <c r="DX181" s="714">
        <v>3.5</v>
      </c>
      <c r="DY181" s="714">
        <v>3.7</v>
      </c>
      <c r="DZ181" s="714">
        <v>3.8</v>
      </c>
      <c r="EA181" s="714">
        <v>3.9</v>
      </c>
      <c r="EB181" s="714">
        <v>3.9</v>
      </c>
      <c r="EC181" s="714">
        <v>1.9</v>
      </c>
      <c r="ED181" s="714">
        <v>2.2</v>
      </c>
      <c r="EE181" s="714">
        <v>2.7</v>
      </c>
      <c r="EF181" s="714">
        <v>3</v>
      </c>
      <c r="EG181" s="714">
        <v>3.2</v>
      </c>
      <c r="EH181" s="714">
        <v>3.5</v>
      </c>
      <c r="EI181" s="714">
        <v>3.5</v>
      </c>
      <c r="EJ181" s="714">
        <v>3.7</v>
      </c>
      <c r="EK181" s="714">
        <v>3.8</v>
      </c>
      <c r="EL181" s="714">
        <v>3.9</v>
      </c>
      <c r="EM181" s="714">
        <v>4</v>
      </c>
      <c r="EN181" s="714">
        <v>2.1</v>
      </c>
      <c r="EO181" s="714">
        <v>2.4</v>
      </c>
      <c r="EP181" s="714">
        <v>3.4</v>
      </c>
      <c r="EQ181" s="714">
        <v>3.6</v>
      </c>
      <c r="ER181" s="714">
        <v>3.8</v>
      </c>
      <c r="ES181" s="714">
        <v>4</v>
      </c>
      <c r="ET181" s="714">
        <v>4</v>
      </c>
      <c r="EU181" s="714">
        <v>4.2</v>
      </c>
      <c r="EV181" s="714">
        <v>4.3</v>
      </c>
      <c r="EW181" s="714">
        <v>4.4</v>
      </c>
      <c r="EX181" s="714">
        <v>4.5</v>
      </c>
      <c r="EY181" s="714">
        <v>-1.3</v>
      </c>
      <c r="EZ181" s="714">
        <v>-0.6</v>
      </c>
      <c r="FA181" s="714">
        <v>0.4</v>
      </c>
      <c r="FB181" s="714">
        <v>0.8</v>
      </c>
      <c r="FC181" s="714">
        <v>1.1</v>
      </c>
      <c r="FD181" s="714">
        <v>1.4</v>
      </c>
      <c r="FE181" s="714">
        <v>1.7</v>
      </c>
      <c r="FF181" s="714">
        <v>2</v>
      </c>
      <c r="FG181" s="714">
        <v>2.2</v>
      </c>
      <c r="FH181" s="714">
        <v>2.4</v>
      </c>
      <c r="FI181" s="714">
        <v>2.6</v>
      </c>
      <c r="FJ181" s="725">
        <v>7.83e-7</v>
      </c>
      <c r="FK181" s="725">
        <v>2.24e-8</v>
      </c>
      <c r="FL181" s="725">
        <v>-6.1e-11</v>
      </c>
      <c r="FM181" s="725">
        <v>3.51e-7</v>
      </c>
      <c r="FN181" s="725">
        <v>3.25e-10</v>
      </c>
      <c r="FO181" s="725">
        <v>0.279</v>
      </c>
      <c r="FP181" s="729">
        <v>1</v>
      </c>
      <c r="FQ181" s="729">
        <v>3</v>
      </c>
      <c r="FR181" s="729">
        <v>2</v>
      </c>
      <c r="FS181" s="729">
        <v>3</v>
      </c>
      <c r="FT181" s="729">
        <v>2</v>
      </c>
      <c r="FU181" s="729">
        <v>2</v>
      </c>
      <c r="FV181" s="681" t="s">
        <v>493</v>
      </c>
      <c r="FW181" s="729"/>
      <c r="FX181" s="729"/>
      <c r="FY181" s="729"/>
      <c r="FZ181" s="784">
        <v>505</v>
      </c>
      <c r="GA181" s="784">
        <v>541</v>
      </c>
      <c r="GB181" s="681">
        <v>458</v>
      </c>
      <c r="GC181" s="681">
        <v>476</v>
      </c>
      <c r="GD181" s="747">
        <v>1.18</v>
      </c>
      <c r="GE181" s="729"/>
      <c r="GF181" s="681">
        <v>70</v>
      </c>
      <c r="GG181" s="681">
        <v>87</v>
      </c>
      <c r="GH181" s="738">
        <v>58</v>
      </c>
      <c r="GI181" s="738">
        <v>61</v>
      </c>
      <c r="GJ181" s="738">
        <v>64</v>
      </c>
      <c r="GK181" s="738">
        <v>65</v>
      </c>
      <c r="GL181" s="738">
        <v>67</v>
      </c>
      <c r="GM181" s="738">
        <v>69</v>
      </c>
      <c r="GN181" s="738">
        <v>70</v>
      </c>
      <c r="GO181" s="738">
        <v>72</v>
      </c>
      <c r="GP181" s="738">
        <v>74</v>
      </c>
      <c r="GQ181" s="738">
        <v>75</v>
      </c>
      <c r="GR181" s="738">
        <v>76</v>
      </c>
      <c r="GS181" s="738">
        <v>77</v>
      </c>
      <c r="GT181" s="738">
        <v>77</v>
      </c>
      <c r="GU181" s="738">
        <v>78</v>
      </c>
      <c r="GV181" s="738">
        <v>79</v>
      </c>
      <c r="GW181" s="738">
        <v>81</v>
      </c>
      <c r="GX181" s="738">
        <v>82</v>
      </c>
      <c r="GY181" s="738">
        <v>84</v>
      </c>
      <c r="GZ181" s="738">
        <v>85</v>
      </c>
      <c r="HA181" s="738">
        <v>87</v>
      </c>
      <c r="HB181" s="738">
        <v>88</v>
      </c>
      <c r="HC181" s="681"/>
      <c r="HD181" s="750">
        <v>100</v>
      </c>
      <c r="HE181" s="681"/>
      <c r="HF181" s="681">
        <v>669</v>
      </c>
      <c r="HG181" s="681">
        <v>106</v>
      </c>
      <c r="HH181" s="714">
        <v>103.1</v>
      </c>
      <c r="HI181" s="714">
        <v>40.6</v>
      </c>
      <c r="HJ181" s="753">
        <v>0.269</v>
      </c>
      <c r="HK181" s="681">
        <v>90</v>
      </c>
      <c r="HL181" s="685">
        <v>2.34</v>
      </c>
      <c r="HM181" s="747">
        <v>2.83</v>
      </c>
      <c r="HN181" s="729" t="s">
        <v>1407</v>
      </c>
      <c r="HO181" s="729" t="s">
        <v>1408</v>
      </c>
      <c r="HP181" s="714">
        <v>0</v>
      </c>
      <c r="HQ181" s="753">
        <v>0.78</v>
      </c>
      <c r="HR181" s="753">
        <v>0.903</v>
      </c>
      <c r="HS181" s="753">
        <v>0.987</v>
      </c>
      <c r="HT181" s="753">
        <v>0.995</v>
      </c>
      <c r="HU181" s="753">
        <v>0.999</v>
      </c>
      <c r="HV181" s="754">
        <v>0.999</v>
      </c>
      <c r="HW181" s="754">
        <v>0.999</v>
      </c>
      <c r="HX181" s="754">
        <v>0.999</v>
      </c>
      <c r="HY181" s="754">
        <v>0.999</v>
      </c>
      <c r="HZ181" s="754">
        <v>0.999</v>
      </c>
      <c r="IA181" s="754">
        <v>0.999</v>
      </c>
      <c r="IB181" s="754">
        <v>0.999</v>
      </c>
      <c r="IC181" s="754">
        <v>0.999</v>
      </c>
      <c r="ID181" s="754">
        <v>0.999</v>
      </c>
      <c r="IE181" s="754">
        <v>0.999</v>
      </c>
      <c r="IF181" s="753">
        <v>0.999</v>
      </c>
      <c r="IG181" s="754">
        <v>0.999</v>
      </c>
      <c r="IH181" s="754">
        <v>0.999</v>
      </c>
      <c r="II181" s="754">
        <v>0.999</v>
      </c>
      <c r="IJ181" s="754">
        <v>0.999</v>
      </c>
      <c r="IK181" s="754">
        <v>0.999</v>
      </c>
      <c r="IL181" s="754">
        <v>0.999</v>
      </c>
      <c r="IM181" s="754">
        <v>0.998</v>
      </c>
      <c r="IN181" s="754">
        <v>0.997</v>
      </c>
      <c r="IO181" s="754">
        <v>0.996</v>
      </c>
      <c r="IP181" s="754">
        <v>0.994</v>
      </c>
      <c r="IQ181" s="754">
        <v>0.989</v>
      </c>
      <c r="IR181" s="754">
        <v>0.974</v>
      </c>
      <c r="IS181" s="754">
        <v>0.955</v>
      </c>
      <c r="IT181" s="754">
        <v>0.919</v>
      </c>
      <c r="IU181" s="754">
        <v>0.855</v>
      </c>
      <c r="IV181" s="754">
        <v>0.74</v>
      </c>
      <c r="IW181" s="754">
        <v>0.535</v>
      </c>
      <c r="IX181" s="754">
        <v>0.23</v>
      </c>
      <c r="IY181" s="754"/>
      <c r="IZ181" s="754"/>
      <c r="JA181" s="753">
        <v>0.608</v>
      </c>
      <c r="JB181" s="753">
        <v>0.815</v>
      </c>
      <c r="JC181" s="753">
        <v>0.974</v>
      </c>
      <c r="JD181" s="753">
        <v>0.99</v>
      </c>
      <c r="JE181" s="753">
        <v>0.998</v>
      </c>
      <c r="JF181" s="754">
        <v>0.998</v>
      </c>
      <c r="JG181" s="754">
        <v>0.998</v>
      </c>
      <c r="JH181" s="754">
        <v>0.998</v>
      </c>
      <c r="JI181" s="754">
        <v>0.998</v>
      </c>
      <c r="JJ181" s="754">
        <v>0.998</v>
      </c>
      <c r="JK181" s="754">
        <v>0.998</v>
      </c>
      <c r="JL181" s="754">
        <v>0.998</v>
      </c>
      <c r="JM181" s="754">
        <v>0.998</v>
      </c>
      <c r="JN181" s="754">
        <v>0.998</v>
      </c>
      <c r="JO181" s="754">
        <v>0.998</v>
      </c>
      <c r="JP181" s="754">
        <v>0.998</v>
      </c>
      <c r="JQ181" s="754">
        <v>0.998</v>
      </c>
      <c r="JR181" s="754">
        <v>0.998</v>
      </c>
      <c r="JS181" s="754">
        <v>0.998</v>
      </c>
      <c r="JT181" s="754">
        <v>0.998</v>
      </c>
      <c r="JU181" s="754">
        <v>0.998</v>
      </c>
      <c r="JV181" s="754">
        <v>0.998</v>
      </c>
      <c r="JW181" s="754">
        <v>0.996</v>
      </c>
      <c r="JX181" s="754">
        <v>0.994</v>
      </c>
      <c r="JY181" s="754">
        <v>0.992</v>
      </c>
      <c r="JZ181" s="754">
        <v>0.988</v>
      </c>
      <c r="KA181" s="754">
        <v>0.978</v>
      </c>
      <c r="KB181" s="754">
        <v>0.952</v>
      </c>
      <c r="KC181" s="754">
        <v>0.915</v>
      </c>
      <c r="KD181" s="754">
        <v>0.848</v>
      </c>
      <c r="KE181" s="754">
        <v>0.733</v>
      </c>
      <c r="KF181" s="754">
        <v>0.548</v>
      </c>
      <c r="KG181" s="754">
        <v>0.287</v>
      </c>
      <c r="KH181" s="754">
        <v>0.054</v>
      </c>
      <c r="KI181" s="754"/>
      <c r="KJ181" s="754"/>
      <c r="KK181" s="765" t="s">
        <v>1349</v>
      </c>
      <c r="KL181" s="738">
        <v>68</v>
      </c>
      <c r="KM181" s="738">
        <v>192</v>
      </c>
      <c r="KN181" s="646" t="s">
        <v>303</v>
      </c>
      <c r="KO181" s="646" t="s">
        <v>1406</v>
      </c>
      <c r="KP181" s="679">
        <v>609579</v>
      </c>
      <c r="KQ181" s="789"/>
      <c r="KR181" s="750"/>
      <c r="KS181" s="789" t="s">
        <v>1409</v>
      </c>
      <c r="KT181" s="770" t="s">
        <v>1410</v>
      </c>
      <c r="KU181" s="789"/>
      <c r="KV181" s="750"/>
      <c r="KW181" s="771" t="s">
        <v>1411</v>
      </c>
      <c r="KX181" s="750" t="s">
        <v>1412</v>
      </c>
      <c r="KY181" s="789" t="s">
        <v>1413</v>
      </c>
      <c r="KZ181" s="770" t="s">
        <v>1412</v>
      </c>
    </row>
    <row r="182" s="628" customFormat="1" customHeight="1" spans="1:312">
      <c r="A182" s="682" t="s">
        <v>277</v>
      </c>
      <c r="B182" s="683">
        <v>178</v>
      </c>
      <c r="C182" s="781" t="s">
        <v>1414</v>
      </c>
      <c r="D182" s="679">
        <v>694532</v>
      </c>
      <c r="E182" s="685">
        <v>53.2</v>
      </c>
      <c r="F182" s="685">
        <v>52.97</v>
      </c>
      <c r="G182" s="688">
        <v>0.013036</v>
      </c>
      <c r="H182" s="686">
        <v>0.013152</v>
      </c>
      <c r="I182" s="696">
        <v>1.65586</v>
      </c>
      <c r="J182" s="696">
        <v>1.66278</v>
      </c>
      <c r="K182" s="696">
        <v>1.67028</v>
      </c>
      <c r="L182" s="696">
        <v>1.67683</v>
      </c>
      <c r="M182" s="696">
        <v>1.67799</v>
      </c>
      <c r="N182" s="696">
        <v>1.67895</v>
      </c>
      <c r="O182" s="696">
        <v>1.68259</v>
      </c>
      <c r="P182" s="696">
        <v>1.68506</v>
      </c>
      <c r="Q182" s="697">
        <v>1.68731</v>
      </c>
      <c r="R182" s="697">
        <v>1.68955</v>
      </c>
      <c r="S182" s="697">
        <v>1.69017</v>
      </c>
      <c r="T182" s="701">
        <v>1.69076</v>
      </c>
      <c r="U182" s="697">
        <v>1.69338</v>
      </c>
      <c r="V182" s="697">
        <v>1.6935</v>
      </c>
      <c r="W182" s="697">
        <v>1.69661</v>
      </c>
      <c r="X182" s="697">
        <v>1.70258</v>
      </c>
      <c r="Y182" s="697">
        <v>1.70333</v>
      </c>
      <c r="Z182" s="697">
        <v>1.70973</v>
      </c>
      <c r="AA182" s="697">
        <v>1.7157</v>
      </c>
      <c r="AB182" s="697">
        <v>1.72593</v>
      </c>
      <c r="AC182" s="704">
        <v>2.81505089</v>
      </c>
      <c r="AD182" s="705">
        <v>-0.0141604226</v>
      </c>
      <c r="AE182" s="705">
        <v>0.01826732</v>
      </c>
      <c r="AF182" s="705">
        <v>0.000674961616</v>
      </c>
      <c r="AG182" s="705">
        <v>-4.03278304e-5</v>
      </c>
      <c r="AH182" s="705">
        <v>2.3918665e-6</v>
      </c>
      <c r="AI182" s="709">
        <v>0.303</v>
      </c>
      <c r="AJ182" s="709">
        <v>0.2386</v>
      </c>
      <c r="AK182" s="709">
        <v>0.5485</v>
      </c>
      <c r="AL182" s="709">
        <v>0.2532</v>
      </c>
      <c r="AM182" s="709">
        <v>0.2365</v>
      </c>
      <c r="AN182" s="709">
        <v>0.4866</v>
      </c>
      <c r="AO182" s="709">
        <v>-0.0029</v>
      </c>
      <c r="AP182" s="709">
        <v>-0.0068</v>
      </c>
      <c r="AQ182" s="709">
        <v>0.0152</v>
      </c>
      <c r="AR182" s="709">
        <v>0.0058</v>
      </c>
      <c r="AS182" s="714">
        <v>3.9</v>
      </c>
      <c r="AT182" s="714">
        <v>4</v>
      </c>
      <c r="AU182" s="714">
        <v>4</v>
      </c>
      <c r="AV182" s="714">
        <v>4</v>
      </c>
      <c r="AW182" s="714">
        <v>3.9</v>
      </c>
      <c r="AX182" s="714">
        <v>4.1</v>
      </c>
      <c r="AY182" s="714">
        <v>4.1</v>
      </c>
      <c r="AZ182" s="714">
        <v>4.1</v>
      </c>
      <c r="BA182" s="714">
        <v>4.1</v>
      </c>
      <c r="BB182" s="714">
        <v>4.1</v>
      </c>
      <c r="BC182" s="714">
        <v>4.2</v>
      </c>
      <c r="BD182" s="714">
        <v>4.4</v>
      </c>
      <c r="BE182" s="714">
        <v>4.5</v>
      </c>
      <c r="BF182" s="714">
        <v>4.5</v>
      </c>
      <c r="BG182" s="714">
        <v>4.6</v>
      </c>
      <c r="BH182" s="714">
        <v>4.5</v>
      </c>
      <c r="BI182" s="714">
        <v>4.5</v>
      </c>
      <c r="BJ182" s="714">
        <v>4.6</v>
      </c>
      <c r="BK182" s="714">
        <v>4.6</v>
      </c>
      <c r="BL182" s="714">
        <v>4.7</v>
      </c>
      <c r="BM182" s="714">
        <v>4.7</v>
      </c>
      <c r="BN182" s="714">
        <v>4.7</v>
      </c>
      <c r="BO182" s="714">
        <v>4.4</v>
      </c>
      <c r="BP182" s="714">
        <v>4.5</v>
      </c>
      <c r="BQ182" s="714">
        <v>4.6</v>
      </c>
      <c r="BR182" s="714">
        <v>4.5</v>
      </c>
      <c r="BS182" s="714">
        <v>4.5</v>
      </c>
      <c r="BT182" s="714">
        <v>4.6</v>
      </c>
      <c r="BU182" s="714">
        <v>4.7</v>
      </c>
      <c r="BV182" s="714">
        <v>4.7</v>
      </c>
      <c r="BW182" s="714">
        <v>4.7</v>
      </c>
      <c r="BX182" s="714">
        <v>4.8</v>
      </c>
      <c r="BY182" s="714">
        <v>4.8</v>
      </c>
      <c r="BZ182" s="714">
        <v>4.5</v>
      </c>
      <c r="CA182" s="714">
        <v>4.6</v>
      </c>
      <c r="CB182" s="714">
        <v>4.6</v>
      </c>
      <c r="CC182" s="714">
        <v>4.6</v>
      </c>
      <c r="CD182" s="714">
        <v>4.6</v>
      </c>
      <c r="CE182" s="714">
        <v>4.7</v>
      </c>
      <c r="CF182" s="714">
        <v>4.7</v>
      </c>
      <c r="CG182" s="714">
        <v>4.8</v>
      </c>
      <c r="CH182" s="714">
        <v>4.8</v>
      </c>
      <c r="CI182" s="714">
        <v>4.8</v>
      </c>
      <c r="CJ182" s="714">
        <v>4.8</v>
      </c>
      <c r="CK182" s="714">
        <v>4.6</v>
      </c>
      <c r="CL182" s="714">
        <v>4.6</v>
      </c>
      <c r="CM182" s="714">
        <v>4.7</v>
      </c>
      <c r="CN182" s="714">
        <v>4.7</v>
      </c>
      <c r="CO182" s="714">
        <v>4.7</v>
      </c>
      <c r="CP182" s="714">
        <v>4.7</v>
      </c>
      <c r="CQ182" s="714">
        <v>4.7</v>
      </c>
      <c r="CR182" s="714">
        <v>4.8</v>
      </c>
      <c r="CS182" s="714">
        <v>4.8</v>
      </c>
      <c r="CT182" s="714">
        <v>4.8</v>
      </c>
      <c r="CU182" s="714">
        <v>4.8</v>
      </c>
      <c r="CV182" s="714">
        <v>4.7</v>
      </c>
      <c r="CW182" s="714">
        <v>4.7</v>
      </c>
      <c r="CX182" s="714">
        <v>4.7</v>
      </c>
      <c r="CY182" s="714">
        <v>4.7</v>
      </c>
      <c r="CZ182" s="714">
        <v>4.7</v>
      </c>
      <c r="DA182" s="714">
        <v>4.8</v>
      </c>
      <c r="DB182" s="714">
        <v>4.9</v>
      </c>
      <c r="DC182" s="714">
        <v>4.9</v>
      </c>
      <c r="DD182" s="714">
        <v>4.9</v>
      </c>
      <c r="DE182" s="714">
        <v>5</v>
      </c>
      <c r="DF182" s="714">
        <v>5</v>
      </c>
      <c r="DG182" s="714">
        <v>4.9</v>
      </c>
      <c r="DH182" s="714">
        <v>5</v>
      </c>
      <c r="DI182" s="714">
        <v>5</v>
      </c>
      <c r="DJ182" s="714">
        <v>5.1</v>
      </c>
      <c r="DK182" s="714">
        <v>5.1</v>
      </c>
      <c r="DL182" s="714">
        <v>5.1</v>
      </c>
      <c r="DM182" s="714">
        <v>5.2</v>
      </c>
      <c r="DN182" s="714">
        <v>5.3</v>
      </c>
      <c r="DO182" s="714">
        <v>5.4</v>
      </c>
      <c r="DP182" s="714">
        <v>5.4</v>
      </c>
      <c r="DQ182" s="714">
        <v>5.5</v>
      </c>
      <c r="DR182" s="714">
        <v>5.2</v>
      </c>
      <c r="DS182" s="714">
        <v>5.3</v>
      </c>
      <c r="DT182" s="714">
        <v>5.4</v>
      </c>
      <c r="DU182" s="714">
        <v>5.4</v>
      </c>
      <c r="DV182" s="714">
        <v>5.5</v>
      </c>
      <c r="DW182" s="714">
        <v>5.6</v>
      </c>
      <c r="DX182" s="714">
        <v>5.7</v>
      </c>
      <c r="DY182" s="714">
        <v>5.9</v>
      </c>
      <c r="DZ182" s="714">
        <v>5.9</v>
      </c>
      <c r="EA182" s="714">
        <v>6</v>
      </c>
      <c r="EB182" s="714">
        <v>6.1</v>
      </c>
      <c r="EC182" s="714">
        <v>5.3</v>
      </c>
      <c r="ED182" s="714">
        <v>5.4</v>
      </c>
      <c r="EE182" s="714">
        <v>5.5</v>
      </c>
      <c r="EF182" s="714">
        <v>5.5</v>
      </c>
      <c r="EG182" s="714">
        <v>5.6</v>
      </c>
      <c r="EH182" s="714">
        <v>5.6</v>
      </c>
      <c r="EI182" s="714">
        <v>5.8</v>
      </c>
      <c r="EJ182" s="714">
        <v>5.9</v>
      </c>
      <c r="EK182" s="714">
        <v>6</v>
      </c>
      <c r="EL182" s="714">
        <v>6</v>
      </c>
      <c r="EM182" s="714">
        <v>6.1</v>
      </c>
      <c r="EN182" s="714">
        <v>5.8</v>
      </c>
      <c r="EO182" s="714">
        <v>5.8</v>
      </c>
      <c r="EP182" s="714">
        <v>5.9</v>
      </c>
      <c r="EQ182" s="714">
        <v>5.9</v>
      </c>
      <c r="ER182" s="714">
        <v>6</v>
      </c>
      <c r="ES182" s="714">
        <v>6</v>
      </c>
      <c r="ET182" s="714">
        <v>6.2</v>
      </c>
      <c r="EU182" s="714">
        <v>6.4</v>
      </c>
      <c r="EV182" s="714">
        <v>6.6</v>
      </c>
      <c r="EW182" s="714">
        <v>6.7</v>
      </c>
      <c r="EX182" s="714">
        <v>6.8</v>
      </c>
      <c r="EY182" s="714">
        <v>1.9</v>
      </c>
      <c r="EZ182" s="714">
        <v>2.3</v>
      </c>
      <c r="FA182" s="714">
        <v>2.7</v>
      </c>
      <c r="FB182" s="714">
        <v>3</v>
      </c>
      <c r="FC182" s="714">
        <v>3.2</v>
      </c>
      <c r="FD182" s="714">
        <v>3.4</v>
      </c>
      <c r="FE182" s="714">
        <v>3.6</v>
      </c>
      <c r="FF182" s="714">
        <v>3.8</v>
      </c>
      <c r="FG182" s="714">
        <v>3.9</v>
      </c>
      <c r="FH182" s="714">
        <v>4</v>
      </c>
      <c r="FI182" s="714">
        <v>4</v>
      </c>
      <c r="FJ182" s="725">
        <v>4.28e-6</v>
      </c>
      <c r="FK182" s="725">
        <v>1.09e-8</v>
      </c>
      <c r="FL182" s="725">
        <v>-2.48e-11</v>
      </c>
      <c r="FM182" s="725">
        <v>4.38e-7</v>
      </c>
      <c r="FN182" s="725">
        <v>5.64e-10</v>
      </c>
      <c r="FO182" s="725">
        <v>0.259</v>
      </c>
      <c r="FP182" s="729">
        <v>1</v>
      </c>
      <c r="FQ182" s="729">
        <v>3</v>
      </c>
      <c r="FR182" s="729">
        <v>1</v>
      </c>
      <c r="FS182" s="729">
        <v>3</v>
      </c>
      <c r="FT182" s="729">
        <v>1</v>
      </c>
      <c r="FU182" s="729">
        <v>2</v>
      </c>
      <c r="FV182" s="681">
        <v>1</v>
      </c>
      <c r="FW182" s="729"/>
      <c r="FX182" s="729"/>
      <c r="FY182" s="729"/>
      <c r="FZ182" s="786">
        <v>532</v>
      </c>
      <c r="GA182" s="786">
        <v>570</v>
      </c>
      <c r="GB182" s="681">
        <v>481</v>
      </c>
      <c r="GC182" s="681">
        <v>516</v>
      </c>
      <c r="GD182" s="747">
        <v>1.08</v>
      </c>
      <c r="GE182" s="729"/>
      <c r="GF182" s="681">
        <v>68</v>
      </c>
      <c r="GG182" s="681">
        <v>89</v>
      </c>
      <c r="GH182" s="681">
        <v>60</v>
      </c>
      <c r="GI182" s="681">
        <v>61</v>
      </c>
      <c r="GJ182" s="681">
        <v>63</v>
      </c>
      <c r="GK182" s="681">
        <v>65</v>
      </c>
      <c r="GL182" s="681">
        <v>66</v>
      </c>
      <c r="GM182" s="681">
        <v>67</v>
      </c>
      <c r="GN182" s="681">
        <v>67</v>
      </c>
      <c r="GO182" s="681">
        <v>68</v>
      </c>
      <c r="GP182" s="681">
        <v>69</v>
      </c>
      <c r="GQ182" s="681">
        <v>70</v>
      </c>
      <c r="GR182" s="681">
        <v>70</v>
      </c>
      <c r="GS182" s="681">
        <v>71</v>
      </c>
      <c r="GT182" s="681">
        <v>72</v>
      </c>
      <c r="GU182" s="681">
        <v>73</v>
      </c>
      <c r="GV182" s="681">
        <v>74</v>
      </c>
      <c r="GW182" s="681">
        <v>76</v>
      </c>
      <c r="GX182" s="681">
        <v>77</v>
      </c>
      <c r="GY182" s="681">
        <v>79</v>
      </c>
      <c r="GZ182" s="681">
        <v>80</v>
      </c>
      <c r="HA182" s="681">
        <v>82</v>
      </c>
      <c r="HB182" s="681">
        <v>83</v>
      </c>
      <c r="HC182" s="681">
        <v>130</v>
      </c>
      <c r="HD182" s="750">
        <v>130</v>
      </c>
      <c r="HE182" s="681">
        <v>130</v>
      </c>
      <c r="HF182" s="681">
        <v>642</v>
      </c>
      <c r="HG182" s="681">
        <v>107</v>
      </c>
      <c r="HH182" s="714">
        <v>113.9</v>
      </c>
      <c r="HI182" s="714">
        <v>44.7</v>
      </c>
      <c r="HJ182" s="753">
        <v>0.273</v>
      </c>
      <c r="HK182" s="681">
        <v>75</v>
      </c>
      <c r="HL182" s="685">
        <v>1.98</v>
      </c>
      <c r="HM182" s="747">
        <v>3.5</v>
      </c>
      <c r="HN182" s="729" t="s">
        <v>1415</v>
      </c>
      <c r="HO182" s="729" t="s">
        <v>1416</v>
      </c>
      <c r="HP182" s="714">
        <v>-0.5</v>
      </c>
      <c r="HQ182" s="753">
        <v>0.834</v>
      </c>
      <c r="HR182" s="753">
        <v>0.962</v>
      </c>
      <c r="HS182" s="753">
        <v>0.99</v>
      </c>
      <c r="HT182" s="753">
        <v>0.997</v>
      </c>
      <c r="HU182" s="753">
        <v>0.999</v>
      </c>
      <c r="HV182" s="753">
        <v>0.999</v>
      </c>
      <c r="HW182" s="753">
        <v>0.999</v>
      </c>
      <c r="HX182" s="753">
        <v>0.999</v>
      </c>
      <c r="HY182" s="753">
        <v>0.999</v>
      </c>
      <c r="HZ182" s="753">
        <v>0.999</v>
      </c>
      <c r="IA182" s="753">
        <v>0.999</v>
      </c>
      <c r="IB182" s="753">
        <v>0.999</v>
      </c>
      <c r="IC182" s="753">
        <v>0.999</v>
      </c>
      <c r="ID182" s="753">
        <v>0.999</v>
      </c>
      <c r="IE182" s="754">
        <v>0.999</v>
      </c>
      <c r="IF182" s="753">
        <v>0.999</v>
      </c>
      <c r="IG182" s="754">
        <v>0.999</v>
      </c>
      <c r="IH182" s="754">
        <v>0.999</v>
      </c>
      <c r="II182" s="754">
        <v>0.999</v>
      </c>
      <c r="IJ182" s="754">
        <v>0.999</v>
      </c>
      <c r="IK182" s="754">
        <v>0.999</v>
      </c>
      <c r="IL182" s="754">
        <v>0.998</v>
      </c>
      <c r="IM182" s="754">
        <v>0.997</v>
      </c>
      <c r="IN182" s="754">
        <v>0.996</v>
      </c>
      <c r="IO182" s="754">
        <v>0.995</v>
      </c>
      <c r="IP182" s="754">
        <v>0.993</v>
      </c>
      <c r="IQ182" s="754">
        <v>0.99</v>
      </c>
      <c r="IR182" s="754">
        <v>0.976</v>
      </c>
      <c r="IS182" s="754">
        <v>0.958</v>
      </c>
      <c r="IT182" s="754">
        <v>0.927</v>
      </c>
      <c r="IU182" s="754">
        <v>0.879</v>
      </c>
      <c r="IV182" s="754">
        <v>0.81</v>
      </c>
      <c r="IW182" s="754">
        <v>0.707</v>
      </c>
      <c r="IX182" s="754">
        <v>0.557</v>
      </c>
      <c r="IY182" s="754">
        <v>0.298</v>
      </c>
      <c r="IZ182" s="754">
        <v>0.058</v>
      </c>
      <c r="JA182" s="753">
        <v>0.696</v>
      </c>
      <c r="JB182" s="753">
        <v>0.926</v>
      </c>
      <c r="JC182" s="753">
        <v>0.98</v>
      </c>
      <c r="JD182" s="753">
        <v>0.994</v>
      </c>
      <c r="JE182" s="753">
        <v>0.998</v>
      </c>
      <c r="JF182" s="753">
        <v>0.998</v>
      </c>
      <c r="JG182" s="753">
        <v>0.998</v>
      </c>
      <c r="JH182" s="753">
        <v>0.998</v>
      </c>
      <c r="JI182" s="753">
        <v>0.998</v>
      </c>
      <c r="JJ182" s="753">
        <v>0.998</v>
      </c>
      <c r="JK182" s="753">
        <v>0.998</v>
      </c>
      <c r="JL182" s="753">
        <v>0.998</v>
      </c>
      <c r="JM182" s="753">
        <v>0.998</v>
      </c>
      <c r="JN182" s="753">
        <v>0.998</v>
      </c>
      <c r="JO182" s="754">
        <v>0.998</v>
      </c>
      <c r="JP182" s="754">
        <v>0.998</v>
      </c>
      <c r="JQ182" s="754">
        <v>0.998</v>
      </c>
      <c r="JR182" s="754">
        <v>0.998</v>
      </c>
      <c r="JS182" s="754">
        <v>0.998</v>
      </c>
      <c r="JT182" s="754">
        <v>0.998</v>
      </c>
      <c r="JU182" s="754">
        <v>0.998</v>
      </c>
      <c r="JV182" s="754">
        <v>0.996</v>
      </c>
      <c r="JW182" s="754">
        <v>0.994</v>
      </c>
      <c r="JX182" s="754">
        <v>0.992</v>
      </c>
      <c r="JY182" s="754">
        <v>0.99</v>
      </c>
      <c r="JZ182" s="754">
        <v>0.985</v>
      </c>
      <c r="KA182" s="754">
        <v>0.973</v>
      </c>
      <c r="KB182" s="754">
        <v>0.943</v>
      </c>
      <c r="KC182" s="754">
        <v>0.907</v>
      </c>
      <c r="KD182" s="754">
        <v>0.847</v>
      </c>
      <c r="KE182" s="754">
        <v>0.758</v>
      </c>
      <c r="KF182" s="754">
        <v>0.64</v>
      </c>
      <c r="KG182" s="754">
        <v>0.482</v>
      </c>
      <c r="KH182" s="754">
        <v>0.296</v>
      </c>
      <c r="KI182" s="754">
        <v>0.082</v>
      </c>
      <c r="KJ182" s="754">
        <v>0.013</v>
      </c>
      <c r="KK182" s="765" t="s">
        <v>1349</v>
      </c>
      <c r="KL182" s="738">
        <v>64</v>
      </c>
      <c r="KM182" s="738">
        <v>224</v>
      </c>
      <c r="KN182" s="646" t="s">
        <v>282</v>
      </c>
      <c r="KO182" s="646" t="s">
        <v>1414</v>
      </c>
      <c r="KP182" s="679">
        <v>694532</v>
      </c>
      <c r="KQ182" s="789" t="s">
        <v>576</v>
      </c>
      <c r="KR182" s="750" t="s">
        <v>577</v>
      </c>
      <c r="KS182" s="789" t="s">
        <v>1417</v>
      </c>
      <c r="KT182" s="770" t="s">
        <v>1418</v>
      </c>
      <c r="KU182" s="789" t="s">
        <v>1419</v>
      </c>
      <c r="KV182" s="750">
        <v>694532</v>
      </c>
      <c r="KW182" s="771" t="s">
        <v>1420</v>
      </c>
      <c r="KX182" s="750" t="s">
        <v>1421</v>
      </c>
      <c r="KY182" s="789" t="s">
        <v>1422</v>
      </c>
      <c r="KZ182" s="770" t="s">
        <v>577</v>
      </c>
    </row>
    <row r="183" s="628" customFormat="1" customHeight="1" spans="1:312">
      <c r="A183" s="682" t="s">
        <v>277</v>
      </c>
      <c r="B183" s="683">
        <v>179</v>
      </c>
      <c r="C183" s="781" t="s">
        <v>1423</v>
      </c>
      <c r="D183" s="679">
        <v>689311</v>
      </c>
      <c r="E183" s="685">
        <v>31.08</v>
      </c>
      <c r="F183" s="685">
        <v>30.85</v>
      </c>
      <c r="G183" s="688">
        <v>0.022169</v>
      </c>
      <c r="H183" s="686">
        <v>0.022498</v>
      </c>
      <c r="I183" s="696"/>
      <c r="J183" s="696"/>
      <c r="K183" s="696"/>
      <c r="L183" s="696">
        <v>1.66447</v>
      </c>
      <c r="M183" s="696">
        <v>1.66585</v>
      </c>
      <c r="N183" s="696">
        <v>1.66704</v>
      </c>
      <c r="O183" s="696">
        <v>1.67193</v>
      </c>
      <c r="P183" s="696">
        <v>1.67553</v>
      </c>
      <c r="Q183" s="697">
        <v>1.67895</v>
      </c>
      <c r="R183" s="697">
        <v>1.68249</v>
      </c>
      <c r="S183" s="697">
        <v>1.6835</v>
      </c>
      <c r="T183" s="701">
        <v>1.68444</v>
      </c>
      <c r="U183" s="697">
        <v>1.68874</v>
      </c>
      <c r="V183" s="697">
        <v>1.68893</v>
      </c>
      <c r="W183" s="697">
        <v>1.69417</v>
      </c>
      <c r="X183" s="697">
        <v>1.70466</v>
      </c>
      <c r="Y183" s="697">
        <v>1.706</v>
      </c>
      <c r="Z183" s="697">
        <v>1.71795</v>
      </c>
      <c r="AA183" s="697">
        <v>1.72975</v>
      </c>
      <c r="AB183" s="697">
        <v>1.75193</v>
      </c>
      <c r="AC183" s="704">
        <v>2.7602778</v>
      </c>
      <c r="AD183" s="705">
        <v>-0.0106941385</v>
      </c>
      <c r="AE183" s="705">
        <v>0.0292240616</v>
      </c>
      <c r="AF183" s="705">
        <v>0.00144064372</v>
      </c>
      <c r="AG183" s="705">
        <v>-7.09323241e-5</v>
      </c>
      <c r="AH183" s="705">
        <v>1.25693927e-5</v>
      </c>
      <c r="AI183" s="709">
        <v>0.2905</v>
      </c>
      <c r="AJ183" s="709">
        <v>0.2364</v>
      </c>
      <c r="AK183" s="709">
        <v>0.5995</v>
      </c>
      <c r="AL183" s="709">
        <v>0.2414</v>
      </c>
      <c r="AM183" s="709">
        <v>0.2329</v>
      </c>
      <c r="AN183" s="709">
        <v>0.5312</v>
      </c>
      <c r="AO183" s="709">
        <v>0.0001</v>
      </c>
      <c r="AP183" s="709">
        <v>0.0075</v>
      </c>
      <c r="AQ183" s="709">
        <v>0.0062</v>
      </c>
      <c r="AR183" s="709">
        <v>0.0013</v>
      </c>
      <c r="AS183" s="714">
        <v>-0.7</v>
      </c>
      <c r="AT183" s="714">
        <v>-0.6</v>
      </c>
      <c r="AU183" s="714">
        <v>-0.6</v>
      </c>
      <c r="AV183" s="714">
        <v>-0.5</v>
      </c>
      <c r="AW183" s="714">
        <v>-0.4</v>
      </c>
      <c r="AX183" s="714">
        <v>-0.3</v>
      </c>
      <c r="AY183" s="714">
        <v>-0.3</v>
      </c>
      <c r="AZ183" s="714">
        <v>-0.3</v>
      </c>
      <c r="BA183" s="714">
        <v>-0.1</v>
      </c>
      <c r="BB183" s="714">
        <v>0</v>
      </c>
      <c r="BC183" s="714">
        <v>0.1</v>
      </c>
      <c r="BD183" s="714">
        <v>-0.5</v>
      </c>
      <c r="BE183" s="714">
        <v>-0.4</v>
      </c>
      <c r="BF183" s="714">
        <v>-0.3</v>
      </c>
      <c r="BG183" s="714">
        <v>-0.3</v>
      </c>
      <c r="BH183" s="714">
        <v>-0.2</v>
      </c>
      <c r="BI183" s="714">
        <v>0</v>
      </c>
      <c r="BJ183" s="714">
        <v>0.1</v>
      </c>
      <c r="BK183" s="714">
        <v>0.2</v>
      </c>
      <c r="BL183" s="714">
        <v>0.3</v>
      </c>
      <c r="BM183" s="714">
        <v>0.5</v>
      </c>
      <c r="BN183" s="714">
        <v>0.6</v>
      </c>
      <c r="BO183" s="714">
        <v>-0.4</v>
      </c>
      <c r="BP183" s="714">
        <v>-0.3</v>
      </c>
      <c r="BQ183" s="714">
        <v>-0.2</v>
      </c>
      <c r="BR183" s="714">
        <v>-0.1</v>
      </c>
      <c r="BS183" s="714">
        <v>-0.1</v>
      </c>
      <c r="BT183" s="714">
        <v>0.2</v>
      </c>
      <c r="BU183" s="714">
        <v>0.4</v>
      </c>
      <c r="BV183" s="714">
        <v>0.5</v>
      </c>
      <c r="BW183" s="714">
        <v>0.6</v>
      </c>
      <c r="BX183" s="714">
        <v>0.8</v>
      </c>
      <c r="BY183" s="714">
        <v>1</v>
      </c>
      <c r="BZ183" s="714">
        <v>-0.3</v>
      </c>
      <c r="CA183" s="714">
        <v>-0.1</v>
      </c>
      <c r="CB183" s="714">
        <v>0</v>
      </c>
      <c r="CC183" s="714">
        <v>0.1</v>
      </c>
      <c r="CD183" s="714">
        <v>0.2</v>
      </c>
      <c r="CE183" s="714">
        <v>0.3</v>
      </c>
      <c r="CF183" s="714">
        <v>0.5</v>
      </c>
      <c r="CG183" s="714">
        <v>0.6</v>
      </c>
      <c r="CH183" s="714">
        <v>0.8</v>
      </c>
      <c r="CI183" s="714">
        <v>1</v>
      </c>
      <c r="CJ183" s="714">
        <v>1.2</v>
      </c>
      <c r="CK183" s="714">
        <v>-0.1</v>
      </c>
      <c r="CL183" s="714">
        <v>0</v>
      </c>
      <c r="CM183" s="714">
        <v>0.1</v>
      </c>
      <c r="CN183" s="714">
        <v>0.3</v>
      </c>
      <c r="CO183" s="714">
        <v>0.3</v>
      </c>
      <c r="CP183" s="714">
        <v>0.5</v>
      </c>
      <c r="CQ183" s="714">
        <v>0.8</v>
      </c>
      <c r="CR183" s="714">
        <v>0.9</v>
      </c>
      <c r="CS183" s="714">
        <v>1</v>
      </c>
      <c r="CT183" s="714">
        <v>1.3</v>
      </c>
      <c r="CU183" s="714">
        <v>1.5</v>
      </c>
      <c r="CV183" s="714">
        <v>0</v>
      </c>
      <c r="CW183" s="714">
        <v>0.3</v>
      </c>
      <c r="CX183" s="714">
        <v>0.4</v>
      </c>
      <c r="CY183" s="714">
        <v>0.6</v>
      </c>
      <c r="CZ183" s="714">
        <v>0.7</v>
      </c>
      <c r="DA183" s="714">
        <v>0.8</v>
      </c>
      <c r="DB183" s="714">
        <v>1.2</v>
      </c>
      <c r="DC183" s="714">
        <v>1.5</v>
      </c>
      <c r="DD183" s="714">
        <v>1.7</v>
      </c>
      <c r="DE183" s="714">
        <v>1.9</v>
      </c>
      <c r="DF183" s="714">
        <v>2</v>
      </c>
      <c r="DG183" s="714">
        <v>0.5</v>
      </c>
      <c r="DH183" s="714">
        <v>0.7</v>
      </c>
      <c r="DI183" s="714">
        <v>0.7</v>
      </c>
      <c r="DJ183" s="714">
        <v>0.9</v>
      </c>
      <c r="DK183" s="714">
        <v>1.1</v>
      </c>
      <c r="DL183" s="714">
        <v>1.2</v>
      </c>
      <c r="DM183" s="714">
        <v>1.5</v>
      </c>
      <c r="DN183" s="714">
        <v>1.8</v>
      </c>
      <c r="DO183" s="714">
        <v>2</v>
      </c>
      <c r="DP183" s="714">
        <v>2.1</v>
      </c>
      <c r="DQ183" s="714">
        <v>2.3</v>
      </c>
      <c r="DR183" s="714">
        <v>0.9</v>
      </c>
      <c r="DS183" s="714">
        <v>1.1</v>
      </c>
      <c r="DT183" s="714">
        <v>1.2</v>
      </c>
      <c r="DU183" s="714">
        <v>1.3</v>
      </c>
      <c r="DV183" s="714">
        <v>1.4</v>
      </c>
      <c r="DW183" s="714">
        <v>1.6</v>
      </c>
      <c r="DX183" s="714">
        <v>1.7</v>
      </c>
      <c r="DY183" s="714">
        <v>1.9</v>
      </c>
      <c r="DZ183" s="714">
        <v>2.1</v>
      </c>
      <c r="EA183" s="714">
        <v>2.3</v>
      </c>
      <c r="EB183" s="714">
        <v>2.6</v>
      </c>
      <c r="EC183" s="714">
        <v>1.1</v>
      </c>
      <c r="ED183" s="714">
        <v>1.2</v>
      </c>
      <c r="EE183" s="714">
        <v>1.3</v>
      </c>
      <c r="EF183" s="714">
        <v>1.5</v>
      </c>
      <c r="EG183" s="714">
        <v>1.5</v>
      </c>
      <c r="EH183" s="714">
        <v>1.7</v>
      </c>
      <c r="EI183" s="714">
        <v>1.9</v>
      </c>
      <c r="EJ183" s="714">
        <v>2</v>
      </c>
      <c r="EK183" s="714">
        <v>2.2</v>
      </c>
      <c r="EL183" s="714">
        <v>2.5</v>
      </c>
      <c r="EM183" s="714">
        <v>2.8</v>
      </c>
      <c r="EN183" s="714">
        <v>2</v>
      </c>
      <c r="EO183" s="714">
        <v>2.1</v>
      </c>
      <c r="EP183" s="714">
        <v>2.3</v>
      </c>
      <c r="EQ183" s="714">
        <v>2.5</v>
      </c>
      <c r="ER183" s="714">
        <v>2.6</v>
      </c>
      <c r="ES183" s="714">
        <v>2.9</v>
      </c>
      <c r="ET183" s="714">
        <v>3.2</v>
      </c>
      <c r="EU183" s="714">
        <v>3.4</v>
      </c>
      <c r="EV183" s="714">
        <v>3.8</v>
      </c>
      <c r="EW183" s="714">
        <v>4.2</v>
      </c>
      <c r="EX183" s="714">
        <v>4.4</v>
      </c>
      <c r="EY183" s="714">
        <v>-2.8</v>
      </c>
      <c r="EZ183" s="714">
        <v>-2.3</v>
      </c>
      <c r="FA183" s="714">
        <v>-1.8</v>
      </c>
      <c r="FB183" s="714">
        <v>-1.4</v>
      </c>
      <c r="FC183" s="714">
        <v>-1.2</v>
      </c>
      <c r="FD183" s="714">
        <v>-0.8</v>
      </c>
      <c r="FE183" s="714">
        <v>-0.3</v>
      </c>
      <c r="FF183" s="714">
        <v>-0.1</v>
      </c>
      <c r="FG183" s="714">
        <v>0.1</v>
      </c>
      <c r="FH183" s="714">
        <v>0.5</v>
      </c>
      <c r="FI183" s="714">
        <v>0.7</v>
      </c>
      <c r="FJ183" s="725">
        <v>-4.6e-6</v>
      </c>
      <c r="FK183" s="725">
        <v>1.48e-8</v>
      </c>
      <c r="FL183" s="725">
        <v>-1.77e-11</v>
      </c>
      <c r="FM183" s="725">
        <v>7.06e-7</v>
      </c>
      <c r="FN183" s="725">
        <v>6.24e-10</v>
      </c>
      <c r="FO183" s="725">
        <v>0.274</v>
      </c>
      <c r="FP183" s="729">
        <v>1</v>
      </c>
      <c r="FQ183" s="729">
        <v>1</v>
      </c>
      <c r="FR183" s="729">
        <v>1</v>
      </c>
      <c r="FS183" s="729">
        <v>1</v>
      </c>
      <c r="FT183" s="729">
        <v>1</v>
      </c>
      <c r="FU183" s="729">
        <v>1</v>
      </c>
      <c r="FV183" s="681">
        <v>1</v>
      </c>
      <c r="FW183" s="729"/>
      <c r="FX183" s="729"/>
      <c r="FY183" s="729"/>
      <c r="FZ183" s="786">
        <v>510</v>
      </c>
      <c r="GA183" s="786">
        <v>547</v>
      </c>
      <c r="GB183" s="681">
        <v>462</v>
      </c>
      <c r="GC183" s="681">
        <v>490</v>
      </c>
      <c r="GD183" s="747">
        <v>1.14</v>
      </c>
      <c r="GE183" s="729"/>
      <c r="GF183" s="681">
        <v>98</v>
      </c>
      <c r="GG183" s="681">
        <v>129</v>
      </c>
      <c r="GH183" s="681">
        <v>88</v>
      </c>
      <c r="GI183" s="681">
        <v>90</v>
      </c>
      <c r="GJ183" s="681">
        <v>94</v>
      </c>
      <c r="GK183" s="681">
        <v>93</v>
      </c>
      <c r="GL183" s="681">
        <v>96</v>
      </c>
      <c r="GM183" s="681">
        <v>98</v>
      </c>
      <c r="GN183" s="681">
        <v>96</v>
      </c>
      <c r="GO183" s="681">
        <v>101</v>
      </c>
      <c r="GP183" s="681">
        <v>96</v>
      </c>
      <c r="GQ183" s="681">
        <v>101</v>
      </c>
      <c r="GR183" s="681">
        <v>104</v>
      </c>
      <c r="GS183" s="681">
        <v>109</v>
      </c>
      <c r="GT183" s="681">
        <v>111</v>
      </c>
      <c r="GU183" s="681">
        <v>110</v>
      </c>
      <c r="GV183" s="681">
        <v>108</v>
      </c>
      <c r="GW183" s="681">
        <v>113</v>
      </c>
      <c r="GX183" s="681">
        <v>119</v>
      </c>
      <c r="GY183" s="681">
        <v>125</v>
      </c>
      <c r="GZ183" s="681">
        <v>128</v>
      </c>
      <c r="HA183" s="681">
        <v>128</v>
      </c>
      <c r="HB183" s="681">
        <v>123</v>
      </c>
      <c r="HC183" s="681">
        <v>191</v>
      </c>
      <c r="HD183" s="750">
        <v>195</v>
      </c>
      <c r="HE183" s="681">
        <v>130</v>
      </c>
      <c r="HF183" s="681">
        <v>528</v>
      </c>
      <c r="HG183" s="681">
        <v>149</v>
      </c>
      <c r="HH183" s="714">
        <v>88.3</v>
      </c>
      <c r="HI183" s="714">
        <v>35</v>
      </c>
      <c r="HJ183" s="753">
        <v>0.26</v>
      </c>
      <c r="HK183" s="681">
        <v>101</v>
      </c>
      <c r="HL183" s="685">
        <v>2.92</v>
      </c>
      <c r="HM183" s="747">
        <v>2.9</v>
      </c>
      <c r="HN183" s="729" t="s">
        <v>801</v>
      </c>
      <c r="HO183" s="729" t="s">
        <v>1424</v>
      </c>
      <c r="HP183" s="714">
        <v>-0.5</v>
      </c>
      <c r="HQ183" s="753">
        <v>0.968</v>
      </c>
      <c r="HR183" s="753">
        <v>0.976</v>
      </c>
      <c r="HS183" s="753">
        <v>0.987</v>
      </c>
      <c r="HT183" s="753">
        <v>0.992</v>
      </c>
      <c r="HU183" s="753">
        <v>0.998</v>
      </c>
      <c r="HV183" s="753">
        <v>0.999</v>
      </c>
      <c r="HW183" s="753">
        <v>0.999</v>
      </c>
      <c r="HX183" s="753">
        <v>0.999</v>
      </c>
      <c r="HY183" s="753">
        <v>0.999</v>
      </c>
      <c r="HZ183" s="753">
        <v>0.999</v>
      </c>
      <c r="IA183" s="753">
        <v>0.999</v>
      </c>
      <c r="IB183" s="753">
        <v>0.999</v>
      </c>
      <c r="IC183" s="753">
        <v>0.999</v>
      </c>
      <c r="ID183" s="753">
        <v>0.999</v>
      </c>
      <c r="IE183" s="754">
        <v>0.998</v>
      </c>
      <c r="IF183" s="753">
        <v>0.998</v>
      </c>
      <c r="IG183" s="754">
        <v>0.998</v>
      </c>
      <c r="IH183" s="754">
        <v>0.998</v>
      </c>
      <c r="II183" s="754">
        <v>0.996</v>
      </c>
      <c r="IJ183" s="754">
        <v>0.995</v>
      </c>
      <c r="IK183" s="754">
        <v>0.993</v>
      </c>
      <c r="IL183" s="754">
        <v>0.99</v>
      </c>
      <c r="IM183" s="754">
        <v>0.984</v>
      </c>
      <c r="IN183" s="754">
        <v>0.964</v>
      </c>
      <c r="IO183" s="754">
        <v>0.939</v>
      </c>
      <c r="IP183" s="754">
        <v>0.88</v>
      </c>
      <c r="IQ183" s="754">
        <v>0.724</v>
      </c>
      <c r="IR183" s="754">
        <v>0.387</v>
      </c>
      <c r="IS183" s="754"/>
      <c r="IT183" s="754"/>
      <c r="IU183" s="754"/>
      <c r="IV183" s="754"/>
      <c r="IW183" s="754"/>
      <c r="IX183" s="754"/>
      <c r="IY183" s="754"/>
      <c r="IZ183" s="754"/>
      <c r="JA183" s="753">
        <v>0.937</v>
      </c>
      <c r="JB183" s="753">
        <v>0.952</v>
      </c>
      <c r="JC183" s="753">
        <v>0.974</v>
      </c>
      <c r="JD183" s="753">
        <v>0.984</v>
      </c>
      <c r="JE183" s="753">
        <v>0.995</v>
      </c>
      <c r="JF183" s="753">
        <v>0.998</v>
      </c>
      <c r="JG183" s="753">
        <v>0.998</v>
      </c>
      <c r="JH183" s="753">
        <v>0.998</v>
      </c>
      <c r="JI183" s="753">
        <v>0.998</v>
      </c>
      <c r="JJ183" s="753">
        <v>0.998</v>
      </c>
      <c r="JK183" s="753">
        <v>0.998</v>
      </c>
      <c r="JL183" s="753">
        <v>0.998</v>
      </c>
      <c r="JM183" s="753">
        <v>0.998</v>
      </c>
      <c r="JN183" s="753">
        <v>0.998</v>
      </c>
      <c r="JO183" s="754">
        <v>0.997</v>
      </c>
      <c r="JP183" s="754">
        <v>0.997</v>
      </c>
      <c r="JQ183" s="754">
        <v>0.997</v>
      </c>
      <c r="JR183" s="754">
        <v>0.996</v>
      </c>
      <c r="JS183" s="754">
        <v>0.992</v>
      </c>
      <c r="JT183" s="754">
        <v>0.99</v>
      </c>
      <c r="JU183" s="754">
        <v>0.986</v>
      </c>
      <c r="JV183" s="754">
        <v>0.98</v>
      </c>
      <c r="JW183" s="754">
        <v>0.968</v>
      </c>
      <c r="JX183" s="754">
        <v>0.929</v>
      </c>
      <c r="JY183" s="754">
        <v>0.881</v>
      </c>
      <c r="JZ183" s="754">
        <v>0.774</v>
      </c>
      <c r="KA183" s="754">
        <v>0.524</v>
      </c>
      <c r="KB183" s="754">
        <v>0.15</v>
      </c>
      <c r="KC183" s="754"/>
      <c r="KD183" s="754"/>
      <c r="KE183" s="754"/>
      <c r="KF183" s="754"/>
      <c r="KG183" s="754"/>
      <c r="KH183" s="754"/>
      <c r="KI183" s="754"/>
      <c r="KJ183" s="754"/>
      <c r="KK183" s="765" t="s">
        <v>1349</v>
      </c>
      <c r="KL183" s="738">
        <v>66</v>
      </c>
      <c r="KM183" s="738">
        <v>191</v>
      </c>
      <c r="KN183" s="646" t="s">
        <v>282</v>
      </c>
      <c r="KO183" s="646" t="s">
        <v>1423</v>
      </c>
      <c r="KP183" s="679">
        <v>689311</v>
      </c>
      <c r="KQ183" s="789" t="s">
        <v>1425</v>
      </c>
      <c r="KR183" s="750" t="s">
        <v>1426</v>
      </c>
      <c r="KS183" s="766" t="s">
        <v>1427</v>
      </c>
      <c r="KT183" s="770" t="s">
        <v>1428</v>
      </c>
      <c r="KU183" s="789" t="s">
        <v>1429</v>
      </c>
      <c r="KV183" s="750">
        <v>689312</v>
      </c>
      <c r="KW183" s="771" t="s">
        <v>1430</v>
      </c>
      <c r="KX183" s="750" t="s">
        <v>804</v>
      </c>
      <c r="KY183" s="766" t="s">
        <v>1431</v>
      </c>
      <c r="KZ183" s="770" t="s">
        <v>809</v>
      </c>
    </row>
    <row r="184" s="628" customFormat="1" customHeight="1" spans="1:312">
      <c r="A184" s="682" t="s">
        <v>277</v>
      </c>
      <c r="B184" s="683">
        <v>180</v>
      </c>
      <c r="C184" s="781" t="s">
        <v>1432</v>
      </c>
      <c r="D184" s="687">
        <v>768492</v>
      </c>
      <c r="E184" s="685">
        <v>49.24</v>
      </c>
      <c r="F184" s="685">
        <v>49</v>
      </c>
      <c r="G184" s="688">
        <v>0.015597</v>
      </c>
      <c r="H184" s="686">
        <v>0.015749</v>
      </c>
      <c r="I184" s="696">
        <v>1.72707</v>
      </c>
      <c r="J184" s="696">
        <v>1.73403</v>
      </c>
      <c r="K184" s="696">
        <v>1.7417</v>
      </c>
      <c r="L184" s="696">
        <v>1.74866</v>
      </c>
      <c r="M184" s="696">
        <v>1.74994</v>
      </c>
      <c r="N184" s="696">
        <v>1.75101</v>
      </c>
      <c r="O184" s="696">
        <v>1.75515</v>
      </c>
      <c r="P184" s="696">
        <v>1.75802</v>
      </c>
      <c r="Q184" s="696">
        <v>1.76066</v>
      </c>
      <c r="R184" s="696">
        <v>1.76331</v>
      </c>
      <c r="S184" s="696">
        <v>1.76406</v>
      </c>
      <c r="T184" s="701">
        <v>1.76475</v>
      </c>
      <c r="U184" s="696">
        <v>1.76787</v>
      </c>
      <c r="V184" s="696">
        <v>1.76802</v>
      </c>
      <c r="W184" s="696">
        <v>1.77173</v>
      </c>
      <c r="X184" s="696">
        <v>1.77891</v>
      </c>
      <c r="Y184" s="696">
        <v>1.7798</v>
      </c>
      <c r="Z184" s="696">
        <v>1.78753</v>
      </c>
      <c r="AA184" s="696">
        <v>1.79475</v>
      </c>
      <c r="AB184" s="696">
        <v>1.80718</v>
      </c>
      <c r="AC184" s="704">
        <v>3.05764396</v>
      </c>
      <c r="AD184" s="705">
        <v>-0.0146517743</v>
      </c>
      <c r="AE184" s="705">
        <v>0.0234463123</v>
      </c>
      <c r="AF184" s="705">
        <v>0.00070174242</v>
      </c>
      <c r="AG184" s="705">
        <v>-2.73402326e-5</v>
      </c>
      <c r="AH184" s="705">
        <v>1.97166425e-6</v>
      </c>
      <c r="AI184" s="709">
        <v>0.302</v>
      </c>
      <c r="AJ184" s="709">
        <v>0.2379</v>
      </c>
      <c r="AK184" s="709">
        <v>0.5527</v>
      </c>
      <c r="AL184" s="709">
        <v>0.2514</v>
      </c>
      <c r="AM184" s="709">
        <v>0.2356</v>
      </c>
      <c r="AN184" s="709">
        <v>0.4908</v>
      </c>
      <c r="AO184" s="709">
        <v>-0.0027</v>
      </c>
      <c r="AP184" s="709">
        <v>-0.0091</v>
      </c>
      <c r="AQ184" s="709">
        <v>0.0099</v>
      </c>
      <c r="AR184" s="709">
        <v>0.0046</v>
      </c>
      <c r="AS184" s="714">
        <v>2.9</v>
      </c>
      <c r="AT184" s="714">
        <v>3</v>
      </c>
      <c r="AU184" s="714">
        <v>3</v>
      </c>
      <c r="AV184" s="714">
        <v>3</v>
      </c>
      <c r="AW184" s="714">
        <v>3</v>
      </c>
      <c r="AX184" s="714">
        <v>3.1</v>
      </c>
      <c r="AY184" s="714">
        <v>3.2</v>
      </c>
      <c r="AZ184" s="714">
        <v>3.2</v>
      </c>
      <c r="BA184" s="714">
        <v>3.2</v>
      </c>
      <c r="BB184" s="714">
        <v>3.2</v>
      </c>
      <c r="BC184" s="714">
        <v>3.2</v>
      </c>
      <c r="BD184" s="714">
        <v>3.2</v>
      </c>
      <c r="BE184" s="714">
        <v>3.2</v>
      </c>
      <c r="BF184" s="714">
        <v>3.2</v>
      </c>
      <c r="BG184" s="714">
        <v>3.3</v>
      </c>
      <c r="BH184" s="714">
        <v>3.3</v>
      </c>
      <c r="BI184" s="714">
        <v>3.4</v>
      </c>
      <c r="BJ184" s="714">
        <v>3.6</v>
      </c>
      <c r="BK184" s="714">
        <v>3.7</v>
      </c>
      <c r="BL184" s="714">
        <v>3.8</v>
      </c>
      <c r="BM184" s="714">
        <v>3.9</v>
      </c>
      <c r="BN184" s="714">
        <v>4</v>
      </c>
      <c r="BO184" s="714">
        <v>3.3</v>
      </c>
      <c r="BP184" s="714">
        <v>3.3</v>
      </c>
      <c r="BQ184" s="714">
        <v>3.4</v>
      </c>
      <c r="BR184" s="714">
        <v>3.5</v>
      </c>
      <c r="BS184" s="714">
        <v>3.5</v>
      </c>
      <c r="BT184" s="714">
        <v>3.6</v>
      </c>
      <c r="BU184" s="714">
        <v>3.7</v>
      </c>
      <c r="BV184" s="714">
        <v>3.8</v>
      </c>
      <c r="BW184" s="714">
        <v>3.9</v>
      </c>
      <c r="BX184" s="714">
        <v>4</v>
      </c>
      <c r="BY184" s="714">
        <v>4.1</v>
      </c>
      <c r="BZ184" s="714">
        <v>3.4</v>
      </c>
      <c r="CA184" s="714">
        <v>3.4</v>
      </c>
      <c r="CB184" s="714">
        <v>3.5</v>
      </c>
      <c r="CC184" s="714">
        <v>3.6</v>
      </c>
      <c r="CD184" s="714">
        <v>3.7</v>
      </c>
      <c r="CE184" s="714">
        <v>3.8</v>
      </c>
      <c r="CF184" s="714">
        <v>3.8</v>
      </c>
      <c r="CG184" s="714">
        <v>3.9</v>
      </c>
      <c r="CH184" s="714">
        <v>4</v>
      </c>
      <c r="CI184" s="714">
        <v>4</v>
      </c>
      <c r="CJ184" s="714">
        <v>4.1</v>
      </c>
      <c r="CK184" s="714">
        <v>3.5</v>
      </c>
      <c r="CL184" s="714">
        <v>3.5</v>
      </c>
      <c r="CM184" s="714">
        <v>3.6</v>
      </c>
      <c r="CN184" s="714">
        <v>3.7</v>
      </c>
      <c r="CO184" s="714">
        <v>3.8</v>
      </c>
      <c r="CP184" s="714">
        <v>4</v>
      </c>
      <c r="CQ184" s="714">
        <v>4</v>
      </c>
      <c r="CR184" s="714">
        <v>4.1</v>
      </c>
      <c r="CS184" s="714">
        <v>4.2</v>
      </c>
      <c r="CT184" s="714">
        <v>4.3</v>
      </c>
      <c r="CU184" s="714">
        <v>4.5</v>
      </c>
      <c r="CV184" s="714">
        <v>3.7</v>
      </c>
      <c r="CW184" s="714">
        <v>3.8</v>
      </c>
      <c r="CX184" s="714">
        <v>3.9</v>
      </c>
      <c r="CY184" s="714">
        <v>4.1</v>
      </c>
      <c r="CZ184" s="714">
        <v>4.2</v>
      </c>
      <c r="DA184" s="714">
        <v>4.3</v>
      </c>
      <c r="DB184" s="714">
        <v>4.4</v>
      </c>
      <c r="DC184" s="714">
        <v>4.6</v>
      </c>
      <c r="DD184" s="714">
        <v>4.7</v>
      </c>
      <c r="DE184" s="714">
        <v>4.8</v>
      </c>
      <c r="DF184" s="714">
        <v>4.9</v>
      </c>
      <c r="DG184" s="714">
        <v>4</v>
      </c>
      <c r="DH184" s="714">
        <v>4.1</v>
      </c>
      <c r="DI184" s="714">
        <v>4.3</v>
      </c>
      <c r="DJ184" s="714">
        <v>4.4</v>
      </c>
      <c r="DK184" s="714">
        <v>4.5</v>
      </c>
      <c r="DL184" s="714">
        <v>4.7</v>
      </c>
      <c r="DM184" s="714">
        <v>4.8</v>
      </c>
      <c r="DN184" s="714">
        <v>4.9</v>
      </c>
      <c r="DO184" s="714">
        <v>5.1</v>
      </c>
      <c r="DP184" s="714">
        <v>5.3</v>
      </c>
      <c r="DQ184" s="714">
        <v>5.4</v>
      </c>
      <c r="DR184" s="714">
        <v>4.3</v>
      </c>
      <c r="DS184" s="714">
        <v>4.4</v>
      </c>
      <c r="DT184" s="714">
        <v>4.5</v>
      </c>
      <c r="DU184" s="714">
        <v>4.6</v>
      </c>
      <c r="DV184" s="714">
        <v>4.7</v>
      </c>
      <c r="DW184" s="714">
        <v>4.9</v>
      </c>
      <c r="DX184" s="714">
        <v>5.2</v>
      </c>
      <c r="DY184" s="714">
        <v>5.4</v>
      </c>
      <c r="DZ184" s="714">
        <v>5.6</v>
      </c>
      <c r="EA184" s="714">
        <v>5.7</v>
      </c>
      <c r="EB184" s="714">
        <v>5.8</v>
      </c>
      <c r="EC184" s="714">
        <v>4.3</v>
      </c>
      <c r="ED184" s="714">
        <v>4.4</v>
      </c>
      <c r="EE184" s="714">
        <v>4.6</v>
      </c>
      <c r="EF184" s="714">
        <v>4.7</v>
      </c>
      <c r="EG184" s="714">
        <v>4.8</v>
      </c>
      <c r="EH184" s="714">
        <v>5</v>
      </c>
      <c r="EI184" s="714">
        <v>5.2</v>
      </c>
      <c r="EJ184" s="714">
        <v>5.4</v>
      </c>
      <c r="EK184" s="714">
        <v>5.6</v>
      </c>
      <c r="EL184" s="714">
        <v>5.7</v>
      </c>
      <c r="EM184" s="714">
        <v>5.8</v>
      </c>
      <c r="EN184" s="714">
        <v>4.5</v>
      </c>
      <c r="EO184" s="714">
        <v>4.8</v>
      </c>
      <c r="EP184" s="714">
        <v>4.8</v>
      </c>
      <c r="EQ184" s="714">
        <v>4.9</v>
      </c>
      <c r="ER184" s="714">
        <v>5.1</v>
      </c>
      <c r="ES184" s="714">
        <v>5.3</v>
      </c>
      <c r="ET184" s="714">
        <v>5.6</v>
      </c>
      <c r="EU184" s="714">
        <v>5.8</v>
      </c>
      <c r="EV184" s="714">
        <v>6</v>
      </c>
      <c r="EW184" s="714">
        <v>6.2</v>
      </c>
      <c r="EX184" s="714">
        <v>6.4</v>
      </c>
      <c r="EY184" s="714">
        <v>0.7</v>
      </c>
      <c r="EZ184" s="714">
        <v>1.1</v>
      </c>
      <c r="FA184" s="714">
        <v>1.6</v>
      </c>
      <c r="FB184" s="714">
        <v>1.9</v>
      </c>
      <c r="FC184" s="714">
        <v>2.3</v>
      </c>
      <c r="FD184" s="714">
        <v>2.6</v>
      </c>
      <c r="FE184" s="714">
        <v>2.8</v>
      </c>
      <c r="FF184" s="714">
        <v>3</v>
      </c>
      <c r="FG184" s="714">
        <v>3.2</v>
      </c>
      <c r="FH184" s="714">
        <v>3.4</v>
      </c>
      <c r="FI184" s="714">
        <v>3.7</v>
      </c>
      <c r="FJ184" s="723">
        <v>1.61e-6</v>
      </c>
      <c r="FK184" s="723">
        <v>1.06e-8</v>
      </c>
      <c r="FL184" s="723">
        <v>-2.28e-11</v>
      </c>
      <c r="FM184" s="723">
        <v>7.75e-7</v>
      </c>
      <c r="FN184" s="723">
        <v>1.44e-9</v>
      </c>
      <c r="FO184" s="723">
        <v>3.04e-8</v>
      </c>
      <c r="FP184" s="730">
        <v>1</v>
      </c>
      <c r="FQ184" s="730">
        <v>3</v>
      </c>
      <c r="FR184" s="730">
        <v>1</v>
      </c>
      <c r="FS184" s="730">
        <v>3</v>
      </c>
      <c r="FT184" s="730">
        <v>1</v>
      </c>
      <c r="FU184" s="730">
        <v>2</v>
      </c>
      <c r="FV184" s="681">
        <v>1</v>
      </c>
      <c r="FW184" s="730"/>
      <c r="FX184" s="730"/>
      <c r="FY184" s="730"/>
      <c r="FZ184" s="787">
        <v>615</v>
      </c>
      <c r="GA184" s="787">
        <v>640</v>
      </c>
      <c r="GB184" s="736">
        <v>512</v>
      </c>
      <c r="GC184" s="736">
        <v>549</v>
      </c>
      <c r="GD184" s="748">
        <v>0.79</v>
      </c>
      <c r="GE184" s="730"/>
      <c r="GF184" s="736">
        <v>62</v>
      </c>
      <c r="GG184" s="736">
        <v>75</v>
      </c>
      <c r="GH184" s="736">
        <v>58</v>
      </c>
      <c r="GI184" s="736">
        <v>59</v>
      </c>
      <c r="GJ184" s="736">
        <v>60</v>
      </c>
      <c r="GK184" s="736">
        <v>61</v>
      </c>
      <c r="GL184" s="736">
        <v>62</v>
      </c>
      <c r="GM184" s="736">
        <v>62</v>
      </c>
      <c r="GN184" s="736">
        <v>62</v>
      </c>
      <c r="GO184" s="736">
        <v>63</v>
      </c>
      <c r="GP184" s="736">
        <v>63</v>
      </c>
      <c r="GQ184" s="736">
        <v>63</v>
      </c>
      <c r="GR184" s="736">
        <v>64</v>
      </c>
      <c r="GS184" s="736">
        <v>64</v>
      </c>
      <c r="GT184" s="736">
        <v>65</v>
      </c>
      <c r="GU184" s="736">
        <v>66</v>
      </c>
      <c r="GV184" s="736">
        <v>66</v>
      </c>
      <c r="GW184" s="736">
        <v>67</v>
      </c>
      <c r="GX184" s="736">
        <v>68</v>
      </c>
      <c r="GY184" s="736">
        <v>69</v>
      </c>
      <c r="GZ184" s="736">
        <v>71</v>
      </c>
      <c r="HA184" s="736">
        <v>72</v>
      </c>
      <c r="HB184" s="736">
        <v>73</v>
      </c>
      <c r="HC184" s="736">
        <v>148</v>
      </c>
      <c r="HD184" s="750">
        <v>147</v>
      </c>
      <c r="HE184" s="736">
        <v>148</v>
      </c>
      <c r="HF184" s="736">
        <v>578</v>
      </c>
      <c r="HG184" s="736">
        <v>72</v>
      </c>
      <c r="HH184" s="714">
        <v>112.7</v>
      </c>
      <c r="HI184" s="714">
        <v>43.1</v>
      </c>
      <c r="HJ184" s="755">
        <v>0.306</v>
      </c>
      <c r="HK184" s="736">
        <v>92</v>
      </c>
      <c r="HL184" s="685">
        <v>1.81</v>
      </c>
      <c r="HM184" s="748">
        <v>4.56</v>
      </c>
      <c r="HN184" s="730" t="s">
        <v>350</v>
      </c>
      <c r="HO184" s="730" t="s">
        <v>1433</v>
      </c>
      <c r="HP184" s="716">
        <v>-2.8</v>
      </c>
      <c r="HQ184" s="755">
        <v>0.82</v>
      </c>
      <c r="HR184" s="755">
        <v>0.952</v>
      </c>
      <c r="HS184" s="755">
        <v>0.978</v>
      </c>
      <c r="HT184" s="755">
        <v>0.989</v>
      </c>
      <c r="HU184" s="755">
        <v>0.999</v>
      </c>
      <c r="HV184" s="755">
        <v>0.999</v>
      </c>
      <c r="HW184" s="755">
        <v>0.999</v>
      </c>
      <c r="HX184" s="755">
        <v>0.999</v>
      </c>
      <c r="HY184" s="755">
        <v>0.999</v>
      </c>
      <c r="HZ184" s="755">
        <v>0.999</v>
      </c>
      <c r="IA184" s="755">
        <v>0.999</v>
      </c>
      <c r="IB184" s="755">
        <v>0.999</v>
      </c>
      <c r="IC184" s="755">
        <v>0.999</v>
      </c>
      <c r="ID184" s="755">
        <v>0.999</v>
      </c>
      <c r="IE184" s="755">
        <v>0.999</v>
      </c>
      <c r="IF184" s="755">
        <v>0.999</v>
      </c>
      <c r="IG184" s="755">
        <v>0.999</v>
      </c>
      <c r="IH184" s="755">
        <v>0.999</v>
      </c>
      <c r="II184" s="755">
        <v>0.999</v>
      </c>
      <c r="IJ184" s="755">
        <v>0.998</v>
      </c>
      <c r="IK184" s="755">
        <v>0.997</v>
      </c>
      <c r="IL184" s="755">
        <v>0.996</v>
      </c>
      <c r="IM184" s="755">
        <v>0.994</v>
      </c>
      <c r="IN184" s="755">
        <v>0.992</v>
      </c>
      <c r="IO184" s="755">
        <v>0.989</v>
      </c>
      <c r="IP184" s="755">
        <v>0.984</v>
      </c>
      <c r="IQ184" s="755">
        <v>0.975</v>
      </c>
      <c r="IR184" s="755">
        <v>0.96</v>
      </c>
      <c r="IS184" s="755">
        <v>0.938</v>
      </c>
      <c r="IT184" s="755">
        <v>0.904</v>
      </c>
      <c r="IU184" s="755">
        <v>0.858</v>
      </c>
      <c r="IV184" s="755">
        <v>0.796</v>
      </c>
      <c r="IW184" s="755">
        <v>0.629</v>
      </c>
      <c r="IX184" s="755">
        <v>0.632</v>
      </c>
      <c r="IY184" s="755">
        <v>0.552</v>
      </c>
      <c r="IZ184" s="755">
        <v>0.381</v>
      </c>
      <c r="JA184" s="755">
        <v>0.672</v>
      </c>
      <c r="JB184" s="755">
        <v>0.906</v>
      </c>
      <c r="JC184" s="755">
        <v>0.956</v>
      </c>
      <c r="JD184" s="755">
        <v>0.978</v>
      </c>
      <c r="JE184" s="755">
        <v>0.998</v>
      </c>
      <c r="JF184" s="755">
        <v>0.998</v>
      </c>
      <c r="JG184" s="755">
        <v>0.998</v>
      </c>
      <c r="JH184" s="755">
        <v>0.998</v>
      </c>
      <c r="JI184" s="755">
        <v>0.998</v>
      </c>
      <c r="JJ184" s="755">
        <v>0.998</v>
      </c>
      <c r="JK184" s="755">
        <v>0.998</v>
      </c>
      <c r="JL184" s="755">
        <v>0.998</v>
      </c>
      <c r="JM184" s="755">
        <v>0.998</v>
      </c>
      <c r="JN184" s="755">
        <v>0.998</v>
      </c>
      <c r="JO184" s="755">
        <v>0.998</v>
      </c>
      <c r="JP184" s="755">
        <v>0.998</v>
      </c>
      <c r="JQ184" s="755">
        <v>0.998</v>
      </c>
      <c r="JR184" s="755">
        <v>0.998</v>
      </c>
      <c r="JS184" s="755">
        <v>0.998</v>
      </c>
      <c r="JT184" s="755">
        <v>0.996</v>
      </c>
      <c r="JU184" s="755">
        <v>0.994</v>
      </c>
      <c r="JV184" s="755">
        <v>0.992</v>
      </c>
      <c r="JW184" s="755">
        <v>0.989</v>
      </c>
      <c r="JX184" s="755">
        <v>0.984</v>
      </c>
      <c r="JY184" s="755">
        <v>0.978</v>
      </c>
      <c r="JZ184" s="755">
        <v>0.968</v>
      </c>
      <c r="KA184" s="755">
        <v>0.951</v>
      </c>
      <c r="KB184" s="755">
        <v>0.922</v>
      </c>
      <c r="KC184" s="755">
        <v>0.879</v>
      </c>
      <c r="KD184" s="755">
        <v>0.818</v>
      </c>
      <c r="KE184" s="755">
        <v>0.736</v>
      </c>
      <c r="KF184" s="755">
        <v>0.634</v>
      </c>
      <c r="KG184" s="755">
        <v>0.396</v>
      </c>
      <c r="KH184" s="755">
        <v>0.4</v>
      </c>
      <c r="KI184" s="755">
        <v>0.305</v>
      </c>
      <c r="KJ184" s="755">
        <v>0.145</v>
      </c>
      <c r="KK184" s="765" t="s">
        <v>1349</v>
      </c>
      <c r="KL184" s="738">
        <v>165</v>
      </c>
      <c r="KM184" s="738">
        <v>752</v>
      </c>
      <c r="KN184" s="646" t="s">
        <v>339</v>
      </c>
      <c r="KO184" s="646" t="s">
        <v>1432</v>
      </c>
      <c r="KP184" s="687">
        <v>768492</v>
      </c>
      <c r="KQ184" s="789" t="s">
        <v>1434</v>
      </c>
      <c r="KR184" s="750" t="s">
        <v>1435</v>
      </c>
      <c r="KS184" s="766" t="s">
        <v>1436</v>
      </c>
      <c r="KT184" s="770" t="s">
        <v>1437</v>
      </c>
      <c r="KU184" s="789" t="s">
        <v>1438</v>
      </c>
      <c r="KV184" s="750">
        <v>768492</v>
      </c>
      <c r="KW184" s="771" t="s">
        <v>1439</v>
      </c>
      <c r="KX184" s="750" t="s">
        <v>1440</v>
      </c>
      <c r="KY184" s="766"/>
      <c r="KZ184" s="770"/>
    </row>
    <row r="185" s="628" customFormat="1" customHeight="1" spans="1:312">
      <c r="A185" s="682" t="s">
        <v>300</v>
      </c>
      <c r="B185" s="683">
        <v>181</v>
      </c>
      <c r="C185" s="781" t="s">
        <v>1441</v>
      </c>
      <c r="D185" s="687">
        <v>773495</v>
      </c>
      <c r="E185" s="685">
        <v>49.5</v>
      </c>
      <c r="F185" s="685">
        <v>49.26</v>
      </c>
      <c r="G185" s="688">
        <v>0.015605</v>
      </c>
      <c r="H185" s="686">
        <v>0.015757</v>
      </c>
      <c r="I185" s="696">
        <v>1.7313</v>
      </c>
      <c r="J185" s="696">
        <v>1.73834</v>
      </c>
      <c r="K185" s="696">
        <v>1.74608</v>
      </c>
      <c r="L185" s="696">
        <v>1.75309</v>
      </c>
      <c r="M185" s="696">
        <v>1.75438</v>
      </c>
      <c r="N185" s="696">
        <v>1.75545</v>
      </c>
      <c r="O185" s="696">
        <v>1.75961</v>
      </c>
      <c r="P185" s="696">
        <v>1.76248</v>
      </c>
      <c r="Q185" s="696">
        <v>1.76513</v>
      </c>
      <c r="R185" s="696">
        <v>1.76779</v>
      </c>
      <c r="S185" s="696">
        <v>1.76854</v>
      </c>
      <c r="T185" s="701">
        <v>1.76923</v>
      </c>
      <c r="U185" s="696">
        <v>1.77236</v>
      </c>
      <c r="V185" s="696">
        <v>1.7725</v>
      </c>
      <c r="W185" s="696">
        <v>1.77622</v>
      </c>
      <c r="X185" s="696">
        <v>1.7834</v>
      </c>
      <c r="Y185" s="696">
        <v>1.7843</v>
      </c>
      <c r="Z185" s="696">
        <v>1.79204</v>
      </c>
      <c r="AA185" s="696">
        <v>1.79927</v>
      </c>
      <c r="AB185" s="696">
        <v>1.81174</v>
      </c>
      <c r="AC185" s="704">
        <v>3.07337625</v>
      </c>
      <c r="AD185" s="705">
        <v>-0.0148574785</v>
      </c>
      <c r="AE185" s="705">
        <v>0.0234948451</v>
      </c>
      <c r="AF185" s="705">
        <v>0.000716989975</v>
      </c>
      <c r="AG185" s="705">
        <v>-3.03961557e-5</v>
      </c>
      <c r="AH185" s="705">
        <v>2.24464169e-6</v>
      </c>
      <c r="AI185" s="709">
        <v>0.3018</v>
      </c>
      <c r="AJ185" s="709">
        <v>0.2384</v>
      </c>
      <c r="AK185" s="709">
        <v>0.5537</v>
      </c>
      <c r="AL185" s="709">
        <v>0.2513</v>
      </c>
      <c r="AM185" s="709">
        <v>0.2361</v>
      </c>
      <c r="AN185" s="709">
        <v>0.4912</v>
      </c>
      <c r="AO185" s="709">
        <v>-0.0028</v>
      </c>
      <c r="AP185" s="709">
        <v>-0.0077</v>
      </c>
      <c r="AQ185" s="709">
        <v>0.0108</v>
      </c>
      <c r="AR185" s="709">
        <v>0.005</v>
      </c>
      <c r="AS185" s="714">
        <v>3.7</v>
      </c>
      <c r="AT185" s="714">
        <v>3.8</v>
      </c>
      <c r="AU185" s="714">
        <v>3.8</v>
      </c>
      <c r="AV185" s="714">
        <v>3.9</v>
      </c>
      <c r="AW185" s="714">
        <v>4</v>
      </c>
      <c r="AX185" s="714">
        <v>4</v>
      </c>
      <c r="AY185" s="714">
        <v>4.1</v>
      </c>
      <c r="AZ185" s="714">
        <v>4.2</v>
      </c>
      <c r="BA185" s="714">
        <v>4.3</v>
      </c>
      <c r="BB185" s="714">
        <v>4.5</v>
      </c>
      <c r="BC185" s="714">
        <v>4.6</v>
      </c>
      <c r="BD185" s="714">
        <v>4</v>
      </c>
      <c r="BE185" s="714">
        <v>4</v>
      </c>
      <c r="BF185" s="714">
        <v>4.1</v>
      </c>
      <c r="BG185" s="714">
        <v>4.1</v>
      </c>
      <c r="BH185" s="714">
        <v>4.2</v>
      </c>
      <c r="BI185" s="714">
        <v>4.3</v>
      </c>
      <c r="BJ185" s="714">
        <v>4.4</v>
      </c>
      <c r="BK185" s="714">
        <v>4.5</v>
      </c>
      <c r="BL185" s="714">
        <v>4.6</v>
      </c>
      <c r="BM185" s="714">
        <v>4.7</v>
      </c>
      <c r="BN185" s="714">
        <v>4.8</v>
      </c>
      <c r="BO185" s="714">
        <v>4.1</v>
      </c>
      <c r="BP185" s="714">
        <v>4.2</v>
      </c>
      <c r="BQ185" s="714">
        <v>4.2</v>
      </c>
      <c r="BR185" s="714">
        <v>4.3</v>
      </c>
      <c r="BS185" s="714">
        <v>4.4</v>
      </c>
      <c r="BT185" s="714">
        <v>4.6</v>
      </c>
      <c r="BU185" s="714">
        <v>4.6</v>
      </c>
      <c r="BV185" s="714">
        <v>4.7</v>
      </c>
      <c r="BW185" s="714">
        <v>4.8</v>
      </c>
      <c r="BX185" s="714">
        <v>5</v>
      </c>
      <c r="BY185" s="714">
        <v>5.2</v>
      </c>
      <c r="BZ185" s="714">
        <v>4.1</v>
      </c>
      <c r="CA185" s="714">
        <v>4.2</v>
      </c>
      <c r="CB185" s="714">
        <v>4.2</v>
      </c>
      <c r="CC185" s="714">
        <v>4.4</v>
      </c>
      <c r="CD185" s="714">
        <v>4.4</v>
      </c>
      <c r="CE185" s="714">
        <v>4.6</v>
      </c>
      <c r="CF185" s="714">
        <v>4.7</v>
      </c>
      <c r="CG185" s="714">
        <v>4.8</v>
      </c>
      <c r="CH185" s="714">
        <v>4.9</v>
      </c>
      <c r="CI185" s="714">
        <v>5.1</v>
      </c>
      <c r="CJ185" s="714">
        <v>5.2</v>
      </c>
      <c r="CK185" s="714">
        <v>4.2</v>
      </c>
      <c r="CL185" s="714">
        <v>4.3</v>
      </c>
      <c r="CM185" s="714">
        <v>4.3</v>
      </c>
      <c r="CN185" s="714">
        <v>4.4</v>
      </c>
      <c r="CO185" s="714">
        <v>4.4</v>
      </c>
      <c r="CP185" s="714">
        <v>4.6</v>
      </c>
      <c r="CQ185" s="714">
        <v>4.7</v>
      </c>
      <c r="CR185" s="714">
        <v>4.9</v>
      </c>
      <c r="CS185" s="714">
        <v>5</v>
      </c>
      <c r="CT185" s="714">
        <v>5.2</v>
      </c>
      <c r="CU185" s="714">
        <v>5.3</v>
      </c>
      <c r="CV185" s="714">
        <v>4.4</v>
      </c>
      <c r="CW185" s="714">
        <v>4.5</v>
      </c>
      <c r="CX185" s="714">
        <v>4.8</v>
      </c>
      <c r="CY185" s="714">
        <v>4.8</v>
      </c>
      <c r="CZ185" s="714">
        <v>4.8</v>
      </c>
      <c r="DA185" s="714">
        <v>4.9</v>
      </c>
      <c r="DB185" s="714">
        <v>5.1</v>
      </c>
      <c r="DC185" s="714">
        <v>5.3</v>
      </c>
      <c r="DD185" s="714">
        <v>5.5</v>
      </c>
      <c r="DE185" s="714">
        <v>5.6</v>
      </c>
      <c r="DF185" s="714">
        <v>5.7</v>
      </c>
      <c r="DG185" s="714">
        <v>4.7</v>
      </c>
      <c r="DH185" s="714">
        <v>4.9</v>
      </c>
      <c r="DI185" s="714">
        <v>5</v>
      </c>
      <c r="DJ185" s="714">
        <v>5.2</v>
      </c>
      <c r="DK185" s="714">
        <v>5.2</v>
      </c>
      <c r="DL185" s="714">
        <v>5.6</v>
      </c>
      <c r="DM185" s="714">
        <v>5.7</v>
      </c>
      <c r="DN185" s="714">
        <v>5.9</v>
      </c>
      <c r="DO185" s="714">
        <v>6</v>
      </c>
      <c r="DP185" s="714">
        <v>6.2</v>
      </c>
      <c r="DQ185" s="714">
        <v>6.3</v>
      </c>
      <c r="DR185" s="714">
        <v>5</v>
      </c>
      <c r="DS185" s="714">
        <v>5.2</v>
      </c>
      <c r="DT185" s="714">
        <v>5.5</v>
      </c>
      <c r="DU185" s="714">
        <v>5.6</v>
      </c>
      <c r="DV185" s="714">
        <v>5.8</v>
      </c>
      <c r="DW185" s="714">
        <v>6</v>
      </c>
      <c r="DX185" s="714">
        <v>6</v>
      </c>
      <c r="DY185" s="714">
        <v>6.1</v>
      </c>
      <c r="DZ185" s="714">
        <v>6.3</v>
      </c>
      <c r="EA185" s="714">
        <v>6.6</v>
      </c>
      <c r="EB185" s="714">
        <v>6.7</v>
      </c>
      <c r="EC185" s="714">
        <v>5.1</v>
      </c>
      <c r="ED185" s="714">
        <v>5.3</v>
      </c>
      <c r="EE185" s="714">
        <v>5.6</v>
      </c>
      <c r="EF185" s="714">
        <v>5.6</v>
      </c>
      <c r="EG185" s="714">
        <v>5.8</v>
      </c>
      <c r="EH185" s="714">
        <v>6</v>
      </c>
      <c r="EI185" s="714">
        <v>6.1</v>
      </c>
      <c r="EJ185" s="714">
        <v>6.2</v>
      </c>
      <c r="EK185" s="714">
        <v>6.4</v>
      </c>
      <c r="EL185" s="714">
        <v>6.7</v>
      </c>
      <c r="EM185" s="714">
        <v>6.8</v>
      </c>
      <c r="EN185" s="714">
        <v>5.5</v>
      </c>
      <c r="EO185" s="714">
        <v>5.7</v>
      </c>
      <c r="EP185" s="714">
        <v>6</v>
      </c>
      <c r="EQ185" s="714">
        <v>6.1</v>
      </c>
      <c r="ER185" s="714">
        <v>6.3</v>
      </c>
      <c r="ES185" s="714">
        <v>6.4</v>
      </c>
      <c r="ET185" s="714">
        <v>6.5</v>
      </c>
      <c r="EU185" s="714">
        <v>6.6</v>
      </c>
      <c r="EV185" s="714">
        <v>6.9</v>
      </c>
      <c r="EW185" s="714">
        <v>7.3</v>
      </c>
      <c r="EX185" s="714">
        <v>7.4</v>
      </c>
      <c r="EY185" s="714">
        <v>1.4</v>
      </c>
      <c r="EZ185" s="714">
        <v>1.9</v>
      </c>
      <c r="FA185" s="714">
        <v>2.3</v>
      </c>
      <c r="FB185" s="714">
        <v>2.6</v>
      </c>
      <c r="FC185" s="714">
        <v>2.9</v>
      </c>
      <c r="FD185" s="714">
        <v>3.2</v>
      </c>
      <c r="FE185" s="714">
        <v>3.5</v>
      </c>
      <c r="FF185" s="714">
        <v>3.8</v>
      </c>
      <c r="FG185" s="714">
        <v>4</v>
      </c>
      <c r="FH185" s="714">
        <v>4.3</v>
      </c>
      <c r="FI185" s="714">
        <v>4.5</v>
      </c>
      <c r="FJ185" s="723">
        <v>3.11e-6</v>
      </c>
      <c r="FK185" s="723">
        <v>1.25e-8</v>
      </c>
      <c r="FL185" s="723">
        <v>-2.12e-11</v>
      </c>
      <c r="FM185" s="723">
        <v>6.29e-7</v>
      </c>
      <c r="FN185" s="723">
        <v>7.94e-10</v>
      </c>
      <c r="FO185" s="723">
        <v>0.196</v>
      </c>
      <c r="FP185" s="730">
        <v>1</v>
      </c>
      <c r="FQ185" s="730">
        <v>3</v>
      </c>
      <c r="FR185" s="730">
        <v>1</v>
      </c>
      <c r="FS185" s="730">
        <v>3</v>
      </c>
      <c r="FT185" s="730">
        <v>1</v>
      </c>
      <c r="FU185" s="730">
        <v>2</v>
      </c>
      <c r="FV185" s="681">
        <v>1</v>
      </c>
      <c r="FW185" s="730"/>
      <c r="FX185" s="730"/>
      <c r="FY185" s="730"/>
      <c r="FZ185" s="787">
        <v>633</v>
      </c>
      <c r="GA185" s="787">
        <v>659</v>
      </c>
      <c r="GB185" s="736">
        <v>583</v>
      </c>
      <c r="GC185" s="736">
        <v>617</v>
      </c>
      <c r="GD185" s="748">
        <v>0.75</v>
      </c>
      <c r="GE185" s="730"/>
      <c r="GF185" s="736">
        <v>65</v>
      </c>
      <c r="GG185" s="736">
        <v>75</v>
      </c>
      <c r="GH185" s="736">
        <v>58</v>
      </c>
      <c r="GI185" s="736">
        <v>60</v>
      </c>
      <c r="GJ185" s="736">
        <v>61</v>
      </c>
      <c r="GK185" s="736">
        <v>62</v>
      </c>
      <c r="GL185" s="736">
        <v>63</v>
      </c>
      <c r="GM185" s="736">
        <v>63</v>
      </c>
      <c r="GN185" s="736">
        <v>64</v>
      </c>
      <c r="GO185" s="736">
        <v>64</v>
      </c>
      <c r="GP185" s="736">
        <v>64</v>
      </c>
      <c r="GQ185" s="736">
        <v>65</v>
      </c>
      <c r="GR185" s="736">
        <v>65</v>
      </c>
      <c r="GS185" s="736">
        <v>66</v>
      </c>
      <c r="GT185" s="736">
        <v>66</v>
      </c>
      <c r="GU185" s="736">
        <v>67</v>
      </c>
      <c r="GV185" s="736">
        <v>67</v>
      </c>
      <c r="GW185" s="736">
        <v>68</v>
      </c>
      <c r="GX185" s="736">
        <v>69</v>
      </c>
      <c r="GY185" s="736">
        <v>70</v>
      </c>
      <c r="GZ185" s="736">
        <v>71</v>
      </c>
      <c r="HA185" s="736">
        <v>72</v>
      </c>
      <c r="HB185" s="736">
        <v>73</v>
      </c>
      <c r="HC185" s="736"/>
      <c r="HD185" s="750">
        <v>138</v>
      </c>
      <c r="HE185" s="736">
        <v>148</v>
      </c>
      <c r="HF185" s="736">
        <v>643</v>
      </c>
      <c r="HG185" s="736">
        <v>81</v>
      </c>
      <c r="HH185" s="714">
        <v>114.8</v>
      </c>
      <c r="HI185" s="714">
        <v>43.4</v>
      </c>
      <c r="HJ185" s="755">
        <v>0.323</v>
      </c>
      <c r="HK185" s="736">
        <v>88</v>
      </c>
      <c r="HL185" s="685">
        <v>1.7</v>
      </c>
      <c r="HM185" s="748">
        <v>4.62</v>
      </c>
      <c r="HN185" s="730" t="s">
        <v>652</v>
      </c>
      <c r="HO185" s="730" t="s">
        <v>1442</v>
      </c>
      <c r="HP185" s="716">
        <v>-1.8</v>
      </c>
      <c r="HQ185" s="755">
        <v>0.82</v>
      </c>
      <c r="HR185" s="755">
        <v>0.955</v>
      </c>
      <c r="HS185" s="755">
        <v>0.989</v>
      </c>
      <c r="HT185" s="755">
        <v>0.997</v>
      </c>
      <c r="HU185" s="755">
        <v>0.999</v>
      </c>
      <c r="HV185" s="755">
        <v>0.999</v>
      </c>
      <c r="HW185" s="755">
        <v>0.999</v>
      </c>
      <c r="HX185" s="755">
        <v>0.999</v>
      </c>
      <c r="HY185" s="755">
        <v>0.999</v>
      </c>
      <c r="HZ185" s="755">
        <v>0.999</v>
      </c>
      <c r="IA185" s="755">
        <v>0.999</v>
      </c>
      <c r="IB185" s="755">
        <v>0.999</v>
      </c>
      <c r="IC185" s="755">
        <v>0.999</v>
      </c>
      <c r="ID185" s="755">
        <v>0.999</v>
      </c>
      <c r="IE185" s="755">
        <v>0.999</v>
      </c>
      <c r="IF185" s="755">
        <v>0.999</v>
      </c>
      <c r="IG185" s="755">
        <v>0.999</v>
      </c>
      <c r="IH185" s="755">
        <v>0.999</v>
      </c>
      <c r="II185" s="755">
        <v>0.999</v>
      </c>
      <c r="IJ185" s="755">
        <v>0.998</v>
      </c>
      <c r="IK185" s="755">
        <v>0.997</v>
      </c>
      <c r="IL185" s="755">
        <v>0.996</v>
      </c>
      <c r="IM185" s="755">
        <v>0.995</v>
      </c>
      <c r="IN185" s="755">
        <v>0.991</v>
      </c>
      <c r="IO185" s="755">
        <v>0.987</v>
      </c>
      <c r="IP185" s="755">
        <v>0.982</v>
      </c>
      <c r="IQ185" s="755">
        <v>0.973</v>
      </c>
      <c r="IR185" s="755">
        <v>0.952</v>
      </c>
      <c r="IS185" s="755">
        <v>0.931</v>
      </c>
      <c r="IT185" s="755">
        <v>0.898</v>
      </c>
      <c r="IU185" s="755">
        <v>0.853</v>
      </c>
      <c r="IV185" s="755">
        <v>0.797</v>
      </c>
      <c r="IW185" s="755">
        <v>0.679</v>
      </c>
      <c r="IX185" s="755">
        <v>0.649</v>
      </c>
      <c r="IY185" s="755">
        <v>0.572</v>
      </c>
      <c r="IZ185" s="755">
        <v>0.336</v>
      </c>
      <c r="JA185" s="755">
        <v>0.674</v>
      </c>
      <c r="JB185" s="755">
        <v>0.914</v>
      </c>
      <c r="JC185" s="755">
        <v>0.978</v>
      </c>
      <c r="JD185" s="755">
        <v>0.994</v>
      </c>
      <c r="JE185" s="755">
        <v>0.998</v>
      </c>
      <c r="JF185" s="755">
        <v>0.998</v>
      </c>
      <c r="JG185" s="755">
        <v>0.998</v>
      </c>
      <c r="JH185" s="755">
        <v>0.998</v>
      </c>
      <c r="JI185" s="755">
        <v>0.998</v>
      </c>
      <c r="JJ185" s="755">
        <v>0.998</v>
      </c>
      <c r="JK185" s="755">
        <v>0.998</v>
      </c>
      <c r="JL185" s="755">
        <v>0.998</v>
      </c>
      <c r="JM185" s="755">
        <v>0.998</v>
      </c>
      <c r="JN185" s="755">
        <v>0.998</v>
      </c>
      <c r="JO185" s="755">
        <v>0.998</v>
      </c>
      <c r="JP185" s="755">
        <v>0.998</v>
      </c>
      <c r="JQ185" s="755">
        <v>0.998</v>
      </c>
      <c r="JR185" s="755">
        <v>0.998</v>
      </c>
      <c r="JS185" s="755">
        <v>0.998</v>
      </c>
      <c r="JT185" s="755">
        <v>0.996</v>
      </c>
      <c r="JU185" s="755">
        <v>0.994</v>
      </c>
      <c r="JV185" s="755">
        <v>0.992</v>
      </c>
      <c r="JW185" s="755">
        <v>0.99</v>
      </c>
      <c r="JX185" s="755">
        <v>0.982</v>
      </c>
      <c r="JY185" s="755">
        <v>0.976</v>
      </c>
      <c r="JZ185" s="755">
        <v>0.966</v>
      </c>
      <c r="KA185" s="755">
        <v>0.95</v>
      </c>
      <c r="KB185" s="755">
        <v>0.92</v>
      </c>
      <c r="KC185" s="755">
        <v>0.87</v>
      </c>
      <c r="KD185" s="755">
        <v>0.809</v>
      </c>
      <c r="KE185" s="755">
        <v>0.731</v>
      </c>
      <c r="KF185" s="755">
        <v>0.639</v>
      </c>
      <c r="KG185" s="755">
        <v>0.465</v>
      </c>
      <c r="KH185" s="755">
        <v>0.423</v>
      </c>
      <c r="KI185" s="755">
        <v>0.329</v>
      </c>
      <c r="KJ185" s="755">
        <v>0.122</v>
      </c>
      <c r="KK185" s="765" t="s">
        <v>1349</v>
      </c>
      <c r="KL185" s="738">
        <v>233</v>
      </c>
      <c r="KM185" s="738">
        <v>1076</v>
      </c>
      <c r="KN185" s="646" t="s">
        <v>339</v>
      </c>
      <c r="KO185" s="646" t="s">
        <v>1441</v>
      </c>
      <c r="KP185" s="687">
        <v>773495</v>
      </c>
      <c r="KQ185" s="789"/>
      <c r="KR185" s="750"/>
      <c r="KS185" s="766" t="s">
        <v>1443</v>
      </c>
      <c r="KT185" s="770" t="s">
        <v>1444</v>
      </c>
      <c r="KU185" s="789" t="s">
        <v>1445</v>
      </c>
      <c r="KV185" s="750">
        <v>773495</v>
      </c>
      <c r="KW185" s="771" t="s">
        <v>1446</v>
      </c>
      <c r="KX185" s="750" t="s">
        <v>685</v>
      </c>
      <c r="KY185" s="766"/>
      <c r="KZ185" s="770"/>
    </row>
    <row r="186" s="628" customFormat="1" customHeight="1" spans="1:312">
      <c r="A186" s="682" t="s">
        <v>300</v>
      </c>
      <c r="B186" s="683">
        <v>182</v>
      </c>
      <c r="C186" s="781" t="s">
        <v>1447</v>
      </c>
      <c r="D186" s="687">
        <v>774494</v>
      </c>
      <c r="E186" s="685">
        <v>49.41</v>
      </c>
      <c r="F186" s="685">
        <v>49.17</v>
      </c>
      <c r="G186" s="688">
        <v>0.01567</v>
      </c>
      <c r="H186" s="686">
        <v>0.01582</v>
      </c>
      <c r="I186" s="696">
        <v>1.73298</v>
      </c>
      <c r="J186" s="696">
        <v>1.74004</v>
      </c>
      <c r="K186" s="696">
        <v>1.7478</v>
      </c>
      <c r="L186" s="696">
        <v>1.75479</v>
      </c>
      <c r="M186" s="696">
        <v>1.75608</v>
      </c>
      <c r="N186" s="696">
        <v>1.75714</v>
      </c>
      <c r="O186" s="696">
        <v>1.76129</v>
      </c>
      <c r="P186" s="696">
        <v>1.76416</v>
      </c>
      <c r="Q186" s="696">
        <v>1.76681</v>
      </c>
      <c r="R186" s="696">
        <v>1.76947</v>
      </c>
      <c r="S186" s="696">
        <v>1.77022</v>
      </c>
      <c r="T186" s="701">
        <v>1.77092</v>
      </c>
      <c r="U186" s="696">
        <v>1.77406</v>
      </c>
      <c r="V186" s="696">
        <v>1.7742</v>
      </c>
      <c r="W186" s="696">
        <v>1.77793</v>
      </c>
      <c r="X186" s="696">
        <v>1.78514</v>
      </c>
      <c r="Y186" s="696">
        <v>1.78604</v>
      </c>
      <c r="Z186" s="696">
        <v>1.79377</v>
      </c>
      <c r="AA186" s="696">
        <v>1.80098</v>
      </c>
      <c r="AB186" s="696">
        <v>1.81346</v>
      </c>
      <c r="AC186" s="704">
        <v>3.07996867</v>
      </c>
      <c r="AD186" s="705">
        <v>-0.0149730363</v>
      </c>
      <c r="AE186" s="705">
        <v>0.0226125445</v>
      </c>
      <c r="AF186" s="705">
        <v>0.00112810004</v>
      </c>
      <c r="AG186" s="705">
        <v>-9.99130408e-5</v>
      </c>
      <c r="AH186" s="705">
        <v>6.18705456e-6</v>
      </c>
      <c r="AI186" s="709">
        <v>0.3019</v>
      </c>
      <c r="AJ186" s="709">
        <v>0.238</v>
      </c>
      <c r="AK186" s="709">
        <v>0.5507</v>
      </c>
      <c r="AL186" s="709">
        <v>0.2516</v>
      </c>
      <c r="AM186" s="709">
        <v>0.2358</v>
      </c>
      <c r="AN186" s="709">
        <v>0.4886</v>
      </c>
      <c r="AO186" s="709">
        <v>-0.0028</v>
      </c>
      <c r="AP186" s="709">
        <v>-0.0108</v>
      </c>
      <c r="AQ186" s="709">
        <v>0.0073</v>
      </c>
      <c r="AR186" s="709">
        <v>0.003</v>
      </c>
      <c r="AS186" s="714">
        <v>2.4</v>
      </c>
      <c r="AT186" s="714">
        <v>2.4</v>
      </c>
      <c r="AU186" s="714">
        <v>2.5</v>
      </c>
      <c r="AV186" s="714">
        <v>2.7</v>
      </c>
      <c r="AW186" s="714">
        <v>2.8</v>
      </c>
      <c r="AX186" s="714">
        <v>2.9</v>
      </c>
      <c r="AY186" s="714">
        <v>3</v>
      </c>
      <c r="AZ186" s="714">
        <v>3</v>
      </c>
      <c r="BA186" s="714">
        <v>3</v>
      </c>
      <c r="BB186" s="714">
        <v>3.1</v>
      </c>
      <c r="BC186" s="714">
        <v>3.2</v>
      </c>
      <c r="BD186" s="714">
        <v>2.8</v>
      </c>
      <c r="BE186" s="714">
        <v>2.8</v>
      </c>
      <c r="BF186" s="714">
        <v>2.9</v>
      </c>
      <c r="BG186" s="714">
        <v>2.9</v>
      </c>
      <c r="BH186" s="714">
        <v>3</v>
      </c>
      <c r="BI186" s="714">
        <v>3.1</v>
      </c>
      <c r="BJ186" s="714">
        <v>3.2</v>
      </c>
      <c r="BK186" s="714">
        <v>3.4</v>
      </c>
      <c r="BL186" s="714">
        <v>3.6</v>
      </c>
      <c r="BM186" s="714">
        <v>3.6</v>
      </c>
      <c r="BN186" s="714">
        <v>3.7</v>
      </c>
      <c r="BO186" s="714">
        <v>2.9</v>
      </c>
      <c r="BP186" s="714">
        <v>2.9</v>
      </c>
      <c r="BQ186" s="714">
        <v>3</v>
      </c>
      <c r="BR186" s="714">
        <v>3.2</v>
      </c>
      <c r="BS186" s="714">
        <v>3.4</v>
      </c>
      <c r="BT186" s="714">
        <v>3.4</v>
      </c>
      <c r="BU186" s="714">
        <v>3.4</v>
      </c>
      <c r="BV186" s="714">
        <v>3.6</v>
      </c>
      <c r="BW186" s="714">
        <v>3.8</v>
      </c>
      <c r="BX186" s="714">
        <v>3.9</v>
      </c>
      <c r="BY186" s="714">
        <v>4.1</v>
      </c>
      <c r="BZ186" s="714">
        <v>2.9</v>
      </c>
      <c r="CA186" s="714">
        <v>3</v>
      </c>
      <c r="CB186" s="714">
        <v>3</v>
      </c>
      <c r="CC186" s="714">
        <v>3.2</v>
      </c>
      <c r="CD186" s="714">
        <v>3.4</v>
      </c>
      <c r="CE186" s="714">
        <v>3.5</v>
      </c>
      <c r="CF186" s="714">
        <v>3.5</v>
      </c>
      <c r="CG186" s="714">
        <v>3.6</v>
      </c>
      <c r="CH186" s="714">
        <v>3.8</v>
      </c>
      <c r="CI186" s="714">
        <v>3.9</v>
      </c>
      <c r="CJ186" s="714">
        <v>4.2</v>
      </c>
      <c r="CK186" s="714">
        <v>3</v>
      </c>
      <c r="CL186" s="714">
        <v>3.1</v>
      </c>
      <c r="CM186" s="714">
        <v>3.2</v>
      </c>
      <c r="CN186" s="714">
        <v>3.3</v>
      </c>
      <c r="CO186" s="714">
        <v>3.5</v>
      </c>
      <c r="CP186" s="714">
        <v>3.6</v>
      </c>
      <c r="CQ186" s="714">
        <v>3.6</v>
      </c>
      <c r="CR186" s="714">
        <v>3.8</v>
      </c>
      <c r="CS186" s="714">
        <v>4</v>
      </c>
      <c r="CT186" s="714">
        <v>4.1</v>
      </c>
      <c r="CU186" s="714">
        <v>4.3</v>
      </c>
      <c r="CV186" s="714">
        <v>3.2</v>
      </c>
      <c r="CW186" s="714">
        <v>3.3</v>
      </c>
      <c r="CX186" s="714">
        <v>3.6</v>
      </c>
      <c r="CY186" s="714">
        <v>3.8</v>
      </c>
      <c r="CZ186" s="714">
        <v>3.9</v>
      </c>
      <c r="DA186" s="714">
        <v>4</v>
      </c>
      <c r="DB186" s="714">
        <v>4.3</v>
      </c>
      <c r="DC186" s="714">
        <v>4.4</v>
      </c>
      <c r="DD186" s="714">
        <v>4.6</v>
      </c>
      <c r="DE186" s="714">
        <v>4.8</v>
      </c>
      <c r="DF186" s="714">
        <v>5</v>
      </c>
      <c r="DG186" s="714">
        <v>3.5</v>
      </c>
      <c r="DH186" s="714">
        <v>3.7</v>
      </c>
      <c r="DI186" s="714">
        <v>4</v>
      </c>
      <c r="DJ186" s="714">
        <v>4.2</v>
      </c>
      <c r="DK186" s="714">
        <v>4.5</v>
      </c>
      <c r="DL186" s="714">
        <v>4.7</v>
      </c>
      <c r="DM186" s="714">
        <v>4.9</v>
      </c>
      <c r="DN186" s="714">
        <v>5.1</v>
      </c>
      <c r="DO186" s="714">
        <v>5.3</v>
      </c>
      <c r="DP186" s="714">
        <v>5.4</v>
      </c>
      <c r="DQ186" s="714">
        <v>5.6</v>
      </c>
      <c r="DR186" s="714">
        <v>3.9</v>
      </c>
      <c r="DS186" s="714">
        <v>4.2</v>
      </c>
      <c r="DT186" s="714">
        <v>4.5</v>
      </c>
      <c r="DU186" s="714">
        <v>4.9</v>
      </c>
      <c r="DV186" s="714">
        <v>5.3</v>
      </c>
      <c r="DW186" s="714">
        <v>5.6</v>
      </c>
      <c r="DX186" s="714">
        <v>5.8</v>
      </c>
      <c r="DY186" s="714">
        <v>6</v>
      </c>
      <c r="DZ186" s="714">
        <v>6.1</v>
      </c>
      <c r="EA186" s="714">
        <v>6.2</v>
      </c>
      <c r="EB186" s="714">
        <v>6.3</v>
      </c>
      <c r="EC186" s="714">
        <v>4</v>
      </c>
      <c r="ED186" s="714">
        <v>4.3</v>
      </c>
      <c r="EE186" s="714">
        <v>4.6</v>
      </c>
      <c r="EF186" s="714">
        <v>5</v>
      </c>
      <c r="EG186" s="714">
        <v>5.4</v>
      </c>
      <c r="EH186" s="714">
        <v>5.6</v>
      </c>
      <c r="EI186" s="714">
        <v>5.9</v>
      </c>
      <c r="EJ186" s="714">
        <v>6.1</v>
      </c>
      <c r="EK186" s="714">
        <v>6.2</v>
      </c>
      <c r="EL186" s="714">
        <v>6.3</v>
      </c>
      <c r="EM186" s="714">
        <v>6.4</v>
      </c>
      <c r="EN186" s="714">
        <v>4.7</v>
      </c>
      <c r="EO186" s="714">
        <v>5</v>
      </c>
      <c r="EP186" s="714">
        <v>5.3</v>
      </c>
      <c r="EQ186" s="714">
        <v>5.7</v>
      </c>
      <c r="ER186" s="714">
        <v>6.1</v>
      </c>
      <c r="ES186" s="714">
        <v>6.5</v>
      </c>
      <c r="ET186" s="714">
        <v>7</v>
      </c>
      <c r="EU186" s="714">
        <v>7.3</v>
      </c>
      <c r="EV186" s="714">
        <v>7.5</v>
      </c>
      <c r="EW186" s="714">
        <v>7.6</v>
      </c>
      <c r="EX186" s="714">
        <v>7.8</v>
      </c>
      <c r="EY186" s="714">
        <v>0.1</v>
      </c>
      <c r="EZ186" s="714">
        <v>0.7</v>
      </c>
      <c r="FA186" s="714">
        <v>1.2</v>
      </c>
      <c r="FB186" s="714">
        <v>1.5</v>
      </c>
      <c r="FC186" s="714">
        <v>2</v>
      </c>
      <c r="FD186" s="714">
        <v>2.2</v>
      </c>
      <c r="FE186" s="714">
        <v>2.4</v>
      </c>
      <c r="FF186" s="714">
        <v>2.7</v>
      </c>
      <c r="FG186" s="714">
        <v>3</v>
      </c>
      <c r="FH186" s="714">
        <v>3.2</v>
      </c>
      <c r="FI186" s="714">
        <v>3.5</v>
      </c>
      <c r="FJ186" s="723">
        <v>9.91e-7</v>
      </c>
      <c r="FK186" s="723">
        <v>1.25e-8</v>
      </c>
      <c r="FL186" s="723">
        <v>-3.05e-11</v>
      </c>
      <c r="FM186" s="723">
        <v>6.9e-7</v>
      </c>
      <c r="FN186" s="723">
        <v>1.39e-9</v>
      </c>
      <c r="FO186" s="723">
        <v>0.272</v>
      </c>
      <c r="FP186" s="730">
        <v>1</v>
      </c>
      <c r="FQ186" s="730">
        <v>2</v>
      </c>
      <c r="FR186" s="730">
        <v>1</v>
      </c>
      <c r="FS186" s="730">
        <v>3</v>
      </c>
      <c r="FT186" s="730">
        <v>1</v>
      </c>
      <c r="FU186" s="730">
        <v>2</v>
      </c>
      <c r="FV186" s="681">
        <v>1</v>
      </c>
      <c r="FW186" s="730"/>
      <c r="FX186" s="730"/>
      <c r="FY186" s="730"/>
      <c r="FZ186" s="787">
        <v>628</v>
      </c>
      <c r="GA186" s="787">
        <v>662</v>
      </c>
      <c r="GB186" s="736">
        <v>578</v>
      </c>
      <c r="GC186" s="736">
        <v>612</v>
      </c>
      <c r="GD186" s="748">
        <v>0.8</v>
      </c>
      <c r="GE186" s="730"/>
      <c r="GF186" s="736">
        <v>60</v>
      </c>
      <c r="GG186" s="736">
        <v>76</v>
      </c>
      <c r="GH186" s="736">
        <v>53</v>
      </c>
      <c r="GI186" s="736">
        <v>54</v>
      </c>
      <c r="GJ186" s="736">
        <v>56</v>
      </c>
      <c r="GK186" s="736">
        <v>57</v>
      </c>
      <c r="GL186" s="736">
        <v>58</v>
      </c>
      <c r="GM186" s="736">
        <v>58</v>
      </c>
      <c r="GN186" s="736">
        <v>59</v>
      </c>
      <c r="GO186" s="736">
        <v>60</v>
      </c>
      <c r="GP186" s="736">
        <v>61</v>
      </c>
      <c r="GQ186" s="736">
        <v>62</v>
      </c>
      <c r="GR186" s="736">
        <v>63</v>
      </c>
      <c r="GS186" s="736">
        <v>64</v>
      </c>
      <c r="GT186" s="736">
        <v>65</v>
      </c>
      <c r="GU186" s="736">
        <v>66</v>
      </c>
      <c r="GV186" s="736">
        <v>66</v>
      </c>
      <c r="GW186" s="736">
        <v>67</v>
      </c>
      <c r="GX186" s="736">
        <v>67</v>
      </c>
      <c r="GY186" s="736">
        <v>68</v>
      </c>
      <c r="GZ186" s="736">
        <v>68</v>
      </c>
      <c r="HA186" s="736">
        <v>70</v>
      </c>
      <c r="HB186" s="736">
        <v>72</v>
      </c>
      <c r="HC186" s="736"/>
      <c r="HD186" s="750">
        <v>138</v>
      </c>
      <c r="HE186" s="736"/>
      <c r="HF186" s="736">
        <v>597</v>
      </c>
      <c r="HG186" s="736">
        <v>82</v>
      </c>
      <c r="HH186" s="714">
        <v>114.8</v>
      </c>
      <c r="HI186" s="714">
        <v>43.4</v>
      </c>
      <c r="HJ186" s="755">
        <v>0.323</v>
      </c>
      <c r="HK186" s="736">
        <v>100</v>
      </c>
      <c r="HL186" s="685">
        <v>1.52</v>
      </c>
      <c r="HM186" s="748">
        <v>4.62</v>
      </c>
      <c r="HN186" s="730" t="s">
        <v>652</v>
      </c>
      <c r="HO186" s="730" t="s">
        <v>1448</v>
      </c>
      <c r="HP186" s="716">
        <v>-2.4</v>
      </c>
      <c r="HQ186" s="755">
        <v>0.814</v>
      </c>
      <c r="HR186" s="755">
        <v>0.949</v>
      </c>
      <c r="HS186" s="755">
        <v>0.98</v>
      </c>
      <c r="HT186" s="755">
        <v>0.993</v>
      </c>
      <c r="HU186" s="755">
        <v>0.996</v>
      </c>
      <c r="HV186" s="755">
        <v>0.998</v>
      </c>
      <c r="HW186" s="755">
        <v>0.998</v>
      </c>
      <c r="HX186" s="755">
        <v>0.998</v>
      </c>
      <c r="HY186" s="755">
        <v>0.998</v>
      </c>
      <c r="HZ186" s="755">
        <v>0.998</v>
      </c>
      <c r="IA186" s="755">
        <v>0.998</v>
      </c>
      <c r="IB186" s="755">
        <v>0.998</v>
      </c>
      <c r="IC186" s="755">
        <v>0.998</v>
      </c>
      <c r="ID186" s="755">
        <v>0.998</v>
      </c>
      <c r="IE186" s="755">
        <v>0.998</v>
      </c>
      <c r="IF186" s="755">
        <v>0.998</v>
      </c>
      <c r="IG186" s="755">
        <v>0.997</v>
      </c>
      <c r="IH186" s="755">
        <v>0.996</v>
      </c>
      <c r="II186" s="755">
        <v>0.995</v>
      </c>
      <c r="IJ186" s="755">
        <v>0.994</v>
      </c>
      <c r="IK186" s="755">
        <v>0.993</v>
      </c>
      <c r="IL186" s="755">
        <v>0.992</v>
      </c>
      <c r="IM186" s="755">
        <v>0.99</v>
      </c>
      <c r="IN186" s="755">
        <v>0.987</v>
      </c>
      <c r="IO186" s="755">
        <v>0.984</v>
      </c>
      <c r="IP186" s="755">
        <v>0.979</v>
      </c>
      <c r="IQ186" s="755">
        <v>0.966</v>
      </c>
      <c r="IR186" s="755">
        <v>0.942</v>
      </c>
      <c r="IS186" s="755">
        <v>0.92</v>
      </c>
      <c r="IT186" s="755">
        <v>0.89</v>
      </c>
      <c r="IU186" s="755">
        <v>0.849</v>
      </c>
      <c r="IV186" s="755">
        <v>0.791</v>
      </c>
      <c r="IW186" s="755">
        <v>0.632</v>
      </c>
      <c r="IX186" s="755">
        <v>0.539</v>
      </c>
      <c r="IY186" s="755">
        <v>0.469</v>
      </c>
      <c r="IZ186" s="755">
        <v>0.362</v>
      </c>
      <c r="JA186" s="755">
        <v>0.663</v>
      </c>
      <c r="JB186" s="755">
        <v>0.9</v>
      </c>
      <c r="JC186" s="755">
        <v>0.96</v>
      </c>
      <c r="JD186" s="755">
        <v>0.985</v>
      </c>
      <c r="JE186" s="755">
        <v>0.992</v>
      </c>
      <c r="JF186" s="755">
        <v>0.996</v>
      </c>
      <c r="JG186" s="755">
        <v>0.996</v>
      </c>
      <c r="JH186" s="755">
        <v>0.996</v>
      </c>
      <c r="JI186" s="755">
        <v>0.996</v>
      </c>
      <c r="JJ186" s="755">
        <v>0.996</v>
      </c>
      <c r="JK186" s="755">
        <v>0.996</v>
      </c>
      <c r="JL186" s="755">
        <v>0.996</v>
      </c>
      <c r="JM186" s="755">
        <v>0.996</v>
      </c>
      <c r="JN186" s="755">
        <v>0.996</v>
      </c>
      <c r="JO186" s="755">
        <v>0.996</v>
      </c>
      <c r="JP186" s="755">
        <v>0.996</v>
      </c>
      <c r="JQ186" s="755">
        <v>0.994</v>
      </c>
      <c r="JR186" s="755">
        <v>0.993</v>
      </c>
      <c r="JS186" s="755">
        <v>0.99</v>
      </c>
      <c r="JT186" s="755">
        <v>0.989</v>
      </c>
      <c r="JU186" s="755">
        <v>0.986</v>
      </c>
      <c r="JV186" s="755">
        <v>0.983</v>
      </c>
      <c r="JW186" s="755">
        <v>0.98</v>
      </c>
      <c r="JX186" s="755">
        <v>0.974</v>
      </c>
      <c r="JY186" s="755">
        <v>0.969</v>
      </c>
      <c r="JZ186" s="755">
        <v>0.959</v>
      </c>
      <c r="KA186" s="755">
        <v>0.933</v>
      </c>
      <c r="KB186" s="755">
        <v>0.887</v>
      </c>
      <c r="KC186" s="755">
        <v>0.847</v>
      </c>
      <c r="KD186" s="755">
        <v>0.792</v>
      </c>
      <c r="KE186" s="755">
        <v>0.72</v>
      </c>
      <c r="KF186" s="755">
        <v>0.626</v>
      </c>
      <c r="KG186" s="755">
        <v>0.4</v>
      </c>
      <c r="KH186" s="755">
        <v>0.29</v>
      </c>
      <c r="KI186" s="755">
        <v>0.22</v>
      </c>
      <c r="KJ186" s="755">
        <v>0.131</v>
      </c>
      <c r="KK186" s="765" t="s">
        <v>1349</v>
      </c>
      <c r="KL186" s="738">
        <v>233</v>
      </c>
      <c r="KM186" s="738">
        <v>1076</v>
      </c>
      <c r="KN186" s="646" t="s">
        <v>339</v>
      </c>
      <c r="KO186" s="646" t="s">
        <v>1447</v>
      </c>
      <c r="KP186" s="687">
        <v>774494</v>
      </c>
      <c r="KQ186" s="789"/>
      <c r="KR186" s="750"/>
      <c r="KS186" s="789" t="s">
        <v>1449</v>
      </c>
      <c r="KT186" s="770" t="s">
        <v>1444</v>
      </c>
      <c r="KU186" s="789" t="s">
        <v>1450</v>
      </c>
      <c r="KV186" s="750">
        <v>773495</v>
      </c>
      <c r="KW186" s="771" t="s">
        <v>684</v>
      </c>
      <c r="KX186" s="750" t="s">
        <v>685</v>
      </c>
      <c r="KY186" s="789"/>
      <c r="KZ186" s="770"/>
    </row>
    <row r="187" s="628" customFormat="1" customHeight="1" spans="1:312">
      <c r="A187" s="682" t="s">
        <v>277</v>
      </c>
      <c r="B187" s="683">
        <v>183</v>
      </c>
      <c r="C187" s="684" t="s">
        <v>1451</v>
      </c>
      <c r="D187" s="687">
        <v>776495</v>
      </c>
      <c r="E187" s="685">
        <v>49.5</v>
      </c>
      <c r="F187" s="685">
        <v>49.21</v>
      </c>
      <c r="G187" s="688">
        <v>0.015693</v>
      </c>
      <c r="H187" s="686">
        <v>0.015858</v>
      </c>
      <c r="I187" s="696"/>
      <c r="J187" s="696"/>
      <c r="K187" s="696"/>
      <c r="L187" s="696">
        <v>1.75763</v>
      </c>
      <c r="M187" s="696">
        <v>1.75883</v>
      </c>
      <c r="N187" s="696">
        <v>1.75984</v>
      </c>
      <c r="O187" s="696">
        <v>1.76388</v>
      </c>
      <c r="P187" s="696">
        <v>1.76672</v>
      </c>
      <c r="Q187" s="697">
        <v>1.76936</v>
      </c>
      <c r="R187" s="697">
        <v>1.77201</v>
      </c>
      <c r="S187" s="697">
        <v>1.77275</v>
      </c>
      <c r="T187" s="701">
        <v>1.77345</v>
      </c>
      <c r="U187" s="697">
        <v>1.77658</v>
      </c>
      <c r="V187" s="697">
        <v>1.77672</v>
      </c>
      <c r="W187" s="697">
        <v>1.78045</v>
      </c>
      <c r="X187" s="697">
        <v>1.7877</v>
      </c>
      <c r="Y187" s="697">
        <v>1.78861</v>
      </c>
      <c r="Z187" s="697">
        <v>1.79646</v>
      </c>
      <c r="AA187" s="697">
        <v>1.80381</v>
      </c>
      <c r="AB187" s="697">
        <v>1.81637</v>
      </c>
      <c r="AC187" s="704">
        <v>3.08280752</v>
      </c>
      <c r="AD187" s="705">
        <v>-0.0114328917</v>
      </c>
      <c r="AE187" s="705">
        <v>0.0269890896</v>
      </c>
      <c r="AF187" s="705">
        <v>-0.00040262855</v>
      </c>
      <c r="AG187" s="705">
        <v>0.000149403074</v>
      </c>
      <c r="AH187" s="705">
        <v>-7.92664529e-6</v>
      </c>
      <c r="AI187" s="709">
        <v>0.3001</v>
      </c>
      <c r="AJ187" s="709">
        <v>0.2378</v>
      </c>
      <c r="AK187" s="709">
        <v>0.558</v>
      </c>
      <c r="AL187" s="709">
        <v>0.2501</v>
      </c>
      <c r="AM187" s="709">
        <v>0.2354</v>
      </c>
      <c r="AN187" s="709">
        <v>0.4949</v>
      </c>
      <c r="AO187" s="709">
        <v>-0.0009</v>
      </c>
      <c r="AP187" s="709">
        <v>-0.0034</v>
      </c>
      <c r="AQ187" s="709">
        <v>-0.0048</v>
      </c>
      <c r="AR187" s="709">
        <v>-0.0012</v>
      </c>
      <c r="AS187" s="714">
        <v>2.1</v>
      </c>
      <c r="AT187" s="715">
        <v>2.1</v>
      </c>
      <c r="AU187" s="715">
        <v>2.2</v>
      </c>
      <c r="AV187" s="715">
        <v>2.3</v>
      </c>
      <c r="AW187" s="715">
        <v>2.4</v>
      </c>
      <c r="AX187" s="715">
        <v>2.5</v>
      </c>
      <c r="AY187" s="715">
        <v>2.5</v>
      </c>
      <c r="AZ187" s="715">
        <v>2.6</v>
      </c>
      <c r="BA187" s="715">
        <v>2.7</v>
      </c>
      <c r="BB187" s="715">
        <v>2.7</v>
      </c>
      <c r="BC187" s="715">
        <v>2.7</v>
      </c>
      <c r="BD187" s="715">
        <v>2.3</v>
      </c>
      <c r="BE187" s="715">
        <v>2.4</v>
      </c>
      <c r="BF187" s="715">
        <v>2.4</v>
      </c>
      <c r="BG187" s="715">
        <v>2.5</v>
      </c>
      <c r="BH187" s="715">
        <v>2.6</v>
      </c>
      <c r="BI187" s="715">
        <v>2.7</v>
      </c>
      <c r="BJ187" s="715">
        <v>2.8</v>
      </c>
      <c r="BK187" s="715">
        <v>2.9</v>
      </c>
      <c r="BL187" s="715">
        <v>2.9</v>
      </c>
      <c r="BM187" s="715">
        <v>3</v>
      </c>
      <c r="BN187" s="715">
        <v>3</v>
      </c>
      <c r="BO187" s="715">
        <v>2.9</v>
      </c>
      <c r="BP187" s="715">
        <v>2.9</v>
      </c>
      <c r="BQ187" s="715">
        <v>3</v>
      </c>
      <c r="BR187" s="715">
        <v>3.1</v>
      </c>
      <c r="BS187" s="715">
        <v>3.2</v>
      </c>
      <c r="BT187" s="715">
        <v>3.3</v>
      </c>
      <c r="BU187" s="715">
        <v>3.4</v>
      </c>
      <c r="BV187" s="715">
        <v>3.5</v>
      </c>
      <c r="BW187" s="715">
        <v>3.6</v>
      </c>
      <c r="BX187" s="715">
        <v>3.6</v>
      </c>
      <c r="BY187" s="715">
        <v>3.6</v>
      </c>
      <c r="BZ187" s="715">
        <v>2.9</v>
      </c>
      <c r="CA187" s="715">
        <v>2.9</v>
      </c>
      <c r="CB187" s="715">
        <v>3</v>
      </c>
      <c r="CC187" s="715">
        <v>3.1</v>
      </c>
      <c r="CD187" s="715">
        <v>3.3</v>
      </c>
      <c r="CE187" s="715">
        <v>3.4</v>
      </c>
      <c r="CF187" s="715">
        <v>3.5</v>
      </c>
      <c r="CG187" s="715">
        <v>3.6</v>
      </c>
      <c r="CH187" s="715">
        <v>3.6</v>
      </c>
      <c r="CI187" s="715">
        <v>3.7</v>
      </c>
      <c r="CJ187" s="715">
        <v>3.7</v>
      </c>
      <c r="CK187" s="715">
        <v>3</v>
      </c>
      <c r="CL187" s="715">
        <v>3</v>
      </c>
      <c r="CM187" s="715">
        <v>3.1</v>
      </c>
      <c r="CN187" s="715">
        <v>3.2</v>
      </c>
      <c r="CO187" s="715">
        <v>3.3</v>
      </c>
      <c r="CP187" s="715">
        <v>3.4</v>
      </c>
      <c r="CQ187" s="715">
        <v>3.5</v>
      </c>
      <c r="CR187" s="715">
        <v>3.6</v>
      </c>
      <c r="CS187" s="715">
        <v>3.7</v>
      </c>
      <c r="CT187" s="715">
        <v>3.7</v>
      </c>
      <c r="CU187" s="715">
        <v>3.7</v>
      </c>
      <c r="CV187" s="715">
        <v>3.2</v>
      </c>
      <c r="CW187" s="715">
        <v>3.2</v>
      </c>
      <c r="CX187" s="715">
        <v>3.3</v>
      </c>
      <c r="CY187" s="715">
        <v>3.4</v>
      </c>
      <c r="CZ187" s="715">
        <v>3.6</v>
      </c>
      <c r="DA187" s="715">
        <v>3.7</v>
      </c>
      <c r="DB187" s="715">
        <v>3.8</v>
      </c>
      <c r="DC187" s="715">
        <v>3.9</v>
      </c>
      <c r="DD187" s="715">
        <v>4</v>
      </c>
      <c r="DE187" s="715">
        <v>4</v>
      </c>
      <c r="DF187" s="715">
        <v>4</v>
      </c>
      <c r="DG187" s="715">
        <v>3.5</v>
      </c>
      <c r="DH187" s="715">
        <v>3.5</v>
      </c>
      <c r="DI187" s="715">
        <v>3.6</v>
      </c>
      <c r="DJ187" s="715">
        <v>3.7</v>
      </c>
      <c r="DK187" s="715">
        <v>3.8</v>
      </c>
      <c r="DL187" s="715">
        <v>4</v>
      </c>
      <c r="DM187" s="715">
        <v>4.1</v>
      </c>
      <c r="DN187" s="715">
        <v>4.2</v>
      </c>
      <c r="DO187" s="715">
        <v>4.3</v>
      </c>
      <c r="DP187" s="715">
        <v>4.3</v>
      </c>
      <c r="DQ187" s="715">
        <v>4.3</v>
      </c>
      <c r="DR187" s="715">
        <v>4</v>
      </c>
      <c r="DS187" s="715">
        <v>4</v>
      </c>
      <c r="DT187" s="715">
        <v>4.1</v>
      </c>
      <c r="DU187" s="715">
        <v>4.3</v>
      </c>
      <c r="DV187" s="715">
        <v>4.4</v>
      </c>
      <c r="DW187" s="715">
        <v>4.5</v>
      </c>
      <c r="DX187" s="715">
        <v>4.7</v>
      </c>
      <c r="DY187" s="715">
        <v>4.8</v>
      </c>
      <c r="DZ187" s="715">
        <v>4.9</v>
      </c>
      <c r="EA187" s="715">
        <v>4.9</v>
      </c>
      <c r="EB187" s="715">
        <v>5</v>
      </c>
      <c r="EC187" s="715">
        <v>4.1</v>
      </c>
      <c r="ED187" s="715">
        <v>4.1</v>
      </c>
      <c r="EE187" s="715">
        <v>4.2</v>
      </c>
      <c r="EF187" s="715">
        <v>4.3</v>
      </c>
      <c r="EG187" s="715">
        <v>4.5</v>
      </c>
      <c r="EH187" s="715">
        <v>4.6</v>
      </c>
      <c r="EI187" s="715">
        <v>4.8</v>
      </c>
      <c r="EJ187" s="715">
        <v>4.9</v>
      </c>
      <c r="EK187" s="715">
        <v>4.9</v>
      </c>
      <c r="EL187" s="715">
        <v>5</v>
      </c>
      <c r="EM187" s="715">
        <v>5</v>
      </c>
      <c r="EN187" s="715">
        <v>4.6</v>
      </c>
      <c r="EO187" s="715">
        <v>4.7</v>
      </c>
      <c r="EP187" s="715">
        <v>4.8</v>
      </c>
      <c r="EQ187" s="715">
        <v>4.9</v>
      </c>
      <c r="ER187" s="715">
        <v>5.1</v>
      </c>
      <c r="ES187" s="715">
        <v>5.2</v>
      </c>
      <c r="ET187" s="715">
        <v>5.4</v>
      </c>
      <c r="EU187" s="715">
        <v>5.5</v>
      </c>
      <c r="EV187" s="715">
        <v>5.6</v>
      </c>
      <c r="EW187" s="715">
        <v>5.7</v>
      </c>
      <c r="EX187" s="715">
        <v>5.7</v>
      </c>
      <c r="EY187" s="715">
        <v>0.1</v>
      </c>
      <c r="EZ187" s="715">
        <v>0.6</v>
      </c>
      <c r="FA187" s="715">
        <v>1</v>
      </c>
      <c r="FB187" s="715">
        <v>1.4</v>
      </c>
      <c r="FC187" s="715">
        <v>1.8</v>
      </c>
      <c r="FD187" s="715">
        <v>2.1</v>
      </c>
      <c r="FE187" s="715">
        <v>2.3</v>
      </c>
      <c r="FF187" s="715">
        <v>2.5</v>
      </c>
      <c r="FG187" s="715">
        <v>2.7</v>
      </c>
      <c r="FH187" s="715">
        <v>2.9</v>
      </c>
      <c r="FI187" s="715">
        <v>3</v>
      </c>
      <c r="FJ187" s="723">
        <v>2.2e-7</v>
      </c>
      <c r="FK187" s="723">
        <v>1.31e-8</v>
      </c>
      <c r="FL187" s="723">
        <v>-2.91e-11</v>
      </c>
      <c r="FM187" s="723">
        <v>9.69e-7</v>
      </c>
      <c r="FN187" s="723">
        <v>4.85e-10</v>
      </c>
      <c r="FO187" s="723">
        <v>6.61e-10</v>
      </c>
      <c r="FP187" s="730">
        <v>1</v>
      </c>
      <c r="FQ187" s="730">
        <v>2</v>
      </c>
      <c r="FR187" s="730">
        <v>1</v>
      </c>
      <c r="FS187" s="730">
        <v>3</v>
      </c>
      <c r="FT187" s="730">
        <v>1</v>
      </c>
      <c r="FU187" s="730">
        <v>1</v>
      </c>
      <c r="FV187" s="681">
        <v>1</v>
      </c>
      <c r="FW187" s="730"/>
      <c r="FX187" s="730"/>
      <c r="FY187" s="730"/>
      <c r="FZ187" s="735">
        <v>575</v>
      </c>
      <c r="GA187" s="735">
        <v>624</v>
      </c>
      <c r="GB187" s="736">
        <v>525</v>
      </c>
      <c r="GC187" s="736">
        <v>559</v>
      </c>
      <c r="GD187" s="748">
        <v>0.91</v>
      </c>
      <c r="GE187" s="730"/>
      <c r="GF187" s="736">
        <v>70.1</v>
      </c>
      <c r="GG187" s="736">
        <v>87.3</v>
      </c>
      <c r="GH187" s="736">
        <v>65</v>
      </c>
      <c r="GI187" s="736">
        <v>65</v>
      </c>
      <c r="GJ187" s="736">
        <v>66</v>
      </c>
      <c r="GK187" s="736">
        <v>67</v>
      </c>
      <c r="GL187" s="736">
        <v>67</v>
      </c>
      <c r="GM187" s="736">
        <v>69</v>
      </c>
      <c r="GN187" s="736">
        <v>70</v>
      </c>
      <c r="GO187" s="736">
        <v>71</v>
      </c>
      <c r="GP187" s="736">
        <v>73</v>
      </c>
      <c r="GQ187" s="736">
        <v>73</v>
      </c>
      <c r="GR187" s="736">
        <v>74</v>
      </c>
      <c r="GS187" s="736">
        <v>74</v>
      </c>
      <c r="GT187" s="736">
        <v>75</v>
      </c>
      <c r="GU187" s="736">
        <v>77</v>
      </c>
      <c r="GV187" s="736">
        <v>78</v>
      </c>
      <c r="GW187" s="736">
        <v>78</v>
      </c>
      <c r="GX187" s="736">
        <v>79</v>
      </c>
      <c r="GY187" s="736">
        <v>80</v>
      </c>
      <c r="GZ187" s="736">
        <v>81</v>
      </c>
      <c r="HA187" s="736">
        <v>83</v>
      </c>
      <c r="HB187" s="736">
        <v>87</v>
      </c>
      <c r="HC187" s="736"/>
      <c r="HD187" s="750">
        <v>142</v>
      </c>
      <c r="HE187" s="736"/>
      <c r="HF187" s="736">
        <v>633</v>
      </c>
      <c r="HG187" s="736">
        <v>170</v>
      </c>
      <c r="HH187" s="714">
        <v>121.7</v>
      </c>
      <c r="HI187" s="714">
        <v>46.4</v>
      </c>
      <c r="HJ187" s="755">
        <v>0.312</v>
      </c>
      <c r="HK187" s="736">
        <v>125</v>
      </c>
      <c r="HL187" s="685">
        <v>1.36</v>
      </c>
      <c r="HM187" s="748">
        <v>4.84</v>
      </c>
      <c r="HN187" s="730" t="s">
        <v>652</v>
      </c>
      <c r="HO187" s="730" t="s">
        <v>1452</v>
      </c>
      <c r="HP187" s="716">
        <v>-1.6</v>
      </c>
      <c r="HQ187" s="755">
        <v>0.888</v>
      </c>
      <c r="HR187" s="755">
        <v>0.973</v>
      </c>
      <c r="HS187" s="755">
        <v>0.987</v>
      </c>
      <c r="HT187" s="755">
        <v>0.997</v>
      </c>
      <c r="HU187" s="755">
        <v>0.999</v>
      </c>
      <c r="HV187" s="755">
        <v>0.999</v>
      </c>
      <c r="HW187" s="755">
        <v>0.999</v>
      </c>
      <c r="HX187" s="755">
        <v>0.999</v>
      </c>
      <c r="HY187" s="755">
        <v>0.999</v>
      </c>
      <c r="HZ187" s="755">
        <v>0.999</v>
      </c>
      <c r="IA187" s="755">
        <v>0.999</v>
      </c>
      <c r="IB187" s="755">
        <v>0.999</v>
      </c>
      <c r="IC187" s="755">
        <v>0.999</v>
      </c>
      <c r="ID187" s="755">
        <v>0.999</v>
      </c>
      <c r="IE187" s="755">
        <v>0.998</v>
      </c>
      <c r="IF187" s="755">
        <v>0.998</v>
      </c>
      <c r="IG187" s="755">
        <v>0.998</v>
      </c>
      <c r="IH187" s="755">
        <v>0.998</v>
      </c>
      <c r="II187" s="755">
        <v>0.998</v>
      </c>
      <c r="IJ187" s="755">
        <v>0.997</v>
      </c>
      <c r="IK187" s="755">
        <v>0.997</v>
      </c>
      <c r="IL187" s="755">
        <v>0.995</v>
      </c>
      <c r="IM187" s="755">
        <v>0.994</v>
      </c>
      <c r="IN187" s="755">
        <v>0.99</v>
      </c>
      <c r="IO187" s="755">
        <v>0.985</v>
      </c>
      <c r="IP187" s="755">
        <v>0.978</v>
      </c>
      <c r="IQ187" s="755">
        <v>0.963</v>
      </c>
      <c r="IR187" s="755">
        <v>0.933</v>
      </c>
      <c r="IS187" s="755">
        <v>0.885</v>
      </c>
      <c r="IT187" s="755">
        <v>0.811</v>
      </c>
      <c r="IU187" s="755">
        <v>0.708</v>
      </c>
      <c r="IV187" s="755">
        <v>0.579</v>
      </c>
      <c r="IW187" s="755">
        <v>0.373</v>
      </c>
      <c r="IX187" s="755">
        <v>0.285</v>
      </c>
      <c r="IY187" s="755"/>
      <c r="IZ187" s="755"/>
      <c r="JA187" s="755">
        <v>0.788</v>
      </c>
      <c r="JB187" s="755">
        <v>0.947</v>
      </c>
      <c r="JC187" s="755">
        <v>0.975</v>
      </c>
      <c r="JD187" s="755">
        <v>0.995</v>
      </c>
      <c r="JE187" s="755">
        <v>0.998</v>
      </c>
      <c r="JF187" s="755">
        <v>0.998</v>
      </c>
      <c r="JG187" s="755">
        <v>0.998</v>
      </c>
      <c r="JH187" s="755">
        <v>0.998</v>
      </c>
      <c r="JI187" s="755">
        <v>0.998</v>
      </c>
      <c r="JJ187" s="755">
        <v>0.998</v>
      </c>
      <c r="JK187" s="755">
        <v>0.998</v>
      </c>
      <c r="JL187" s="755">
        <v>0.998</v>
      </c>
      <c r="JM187" s="755">
        <v>0.998</v>
      </c>
      <c r="JN187" s="755">
        <v>0.998</v>
      </c>
      <c r="JO187" s="755">
        <v>0.997</v>
      </c>
      <c r="JP187" s="755">
        <v>0.997</v>
      </c>
      <c r="JQ187" s="755">
        <v>0.997</v>
      </c>
      <c r="JR187" s="755">
        <v>0.997</v>
      </c>
      <c r="JS187" s="755">
        <v>0.996</v>
      </c>
      <c r="JT187" s="755">
        <v>0.995</v>
      </c>
      <c r="JU187" s="755">
        <v>0.994</v>
      </c>
      <c r="JV187" s="755">
        <v>0.991</v>
      </c>
      <c r="JW187" s="755">
        <v>0.988</v>
      </c>
      <c r="JX187" s="755">
        <v>0.98</v>
      </c>
      <c r="JY187" s="755">
        <v>0.971</v>
      </c>
      <c r="JZ187" s="755">
        <v>0.956</v>
      </c>
      <c r="KA187" s="755">
        <v>0.927</v>
      </c>
      <c r="KB187" s="755">
        <v>0.871</v>
      </c>
      <c r="KC187" s="755">
        <v>0.784</v>
      </c>
      <c r="KD187" s="755">
        <v>0.657</v>
      </c>
      <c r="KE187" s="755">
        <v>0.501</v>
      </c>
      <c r="KF187" s="755">
        <v>0.335</v>
      </c>
      <c r="KG187" s="755">
        <v>0.139</v>
      </c>
      <c r="KH187" s="755">
        <v>0.081</v>
      </c>
      <c r="KI187" s="755"/>
      <c r="KJ187" s="755"/>
      <c r="KK187" s="765" t="s">
        <v>1349</v>
      </c>
      <c r="KL187" s="738">
        <v>233</v>
      </c>
      <c r="KM187" s="738">
        <v>1128</v>
      </c>
      <c r="KN187" s="646" t="s">
        <v>339</v>
      </c>
      <c r="KO187" s="646" t="e">
        <v>#REF!</v>
      </c>
      <c r="KP187" s="687" t="e">
        <v>#REF!</v>
      </c>
      <c r="KQ187" s="789"/>
      <c r="KR187" s="750"/>
      <c r="KS187" s="789" t="s">
        <v>1449</v>
      </c>
      <c r="KT187" s="770" t="s">
        <v>1444</v>
      </c>
      <c r="KU187" s="789" t="s">
        <v>1450</v>
      </c>
      <c r="KV187" s="750">
        <v>773495</v>
      </c>
      <c r="KW187" s="771" t="s">
        <v>684</v>
      </c>
      <c r="KX187" s="750" t="s">
        <v>685</v>
      </c>
      <c r="KY187" s="769"/>
      <c r="KZ187" s="770"/>
    </row>
    <row r="188" s="628" customFormat="1" customHeight="1" spans="1:312">
      <c r="A188" s="682" t="s">
        <v>374</v>
      </c>
      <c r="B188" s="683">
        <v>184</v>
      </c>
      <c r="C188" s="781" t="s">
        <v>1453</v>
      </c>
      <c r="D188" s="679">
        <v>731405</v>
      </c>
      <c r="E188" s="685">
        <v>40.5</v>
      </c>
      <c r="F188" s="685">
        <v>40.25</v>
      </c>
      <c r="G188" s="688">
        <v>0.018043</v>
      </c>
      <c r="H188" s="686">
        <v>0.018263</v>
      </c>
      <c r="I188" s="696">
        <v>1.68874</v>
      </c>
      <c r="J188" s="696">
        <v>1.69525</v>
      </c>
      <c r="K188" s="696">
        <v>1.70254</v>
      </c>
      <c r="L188" s="696">
        <v>1.70947</v>
      </c>
      <c r="M188" s="696">
        <v>1.7108</v>
      </c>
      <c r="N188" s="696">
        <v>1.71191</v>
      </c>
      <c r="O188" s="696">
        <v>1.71635</v>
      </c>
      <c r="P188" s="696">
        <v>1.71949</v>
      </c>
      <c r="Q188" s="697">
        <v>1.72243</v>
      </c>
      <c r="R188" s="697">
        <v>1.72541</v>
      </c>
      <c r="S188" s="697">
        <v>1.72625</v>
      </c>
      <c r="T188" s="701">
        <v>1.72705</v>
      </c>
      <c r="U188" s="697">
        <v>1.73061</v>
      </c>
      <c r="V188" s="697">
        <v>1.73077</v>
      </c>
      <c r="W188" s="697">
        <v>1.73505</v>
      </c>
      <c r="X188" s="697">
        <v>1.74345</v>
      </c>
      <c r="Y188" s="697">
        <v>1.74452</v>
      </c>
      <c r="Z188" s="697">
        <v>1.75376</v>
      </c>
      <c r="AA188" s="697">
        <v>1.7626</v>
      </c>
      <c r="AB188" s="697">
        <v>1.77835</v>
      </c>
      <c r="AC188" s="704">
        <v>2.91839395</v>
      </c>
      <c r="AD188" s="705">
        <v>-0.0131881796</v>
      </c>
      <c r="AE188" s="705">
        <v>0.0256126448</v>
      </c>
      <c r="AF188" s="705">
        <v>0.000959611523</v>
      </c>
      <c r="AG188" s="705">
        <v>-3.53323234e-5</v>
      </c>
      <c r="AH188" s="705">
        <v>4.57862484e-6</v>
      </c>
      <c r="AI188" s="709">
        <v>0.2971</v>
      </c>
      <c r="AJ188" s="709">
        <v>0.2372</v>
      </c>
      <c r="AK188" s="709">
        <v>0.5714</v>
      </c>
      <c r="AL188" s="709">
        <v>0.2475</v>
      </c>
      <c r="AM188" s="709">
        <v>0.2344</v>
      </c>
      <c r="AN188" s="709">
        <v>0.5059</v>
      </c>
      <c r="AO188" s="709">
        <v>-0.0023</v>
      </c>
      <c r="AP188" s="709">
        <v>-0.0049</v>
      </c>
      <c r="AQ188" s="709">
        <v>0.0118</v>
      </c>
      <c r="AR188" s="709">
        <v>0.0045</v>
      </c>
      <c r="AS188" s="714">
        <v>1.1</v>
      </c>
      <c r="AT188" s="714">
        <v>1.3</v>
      </c>
      <c r="AU188" s="714">
        <v>1.5</v>
      </c>
      <c r="AV188" s="714">
        <v>1.6</v>
      </c>
      <c r="AW188" s="714">
        <v>1.8</v>
      </c>
      <c r="AX188" s="714">
        <v>1.9</v>
      </c>
      <c r="AY188" s="714">
        <v>2.2</v>
      </c>
      <c r="AZ188" s="714">
        <v>2.3</v>
      </c>
      <c r="BA188" s="714">
        <v>2.4</v>
      </c>
      <c r="BB188" s="714">
        <v>2.4</v>
      </c>
      <c r="BC188" s="714">
        <v>2.6</v>
      </c>
      <c r="BD188" s="714">
        <v>1.4</v>
      </c>
      <c r="BE188" s="714">
        <v>1.6</v>
      </c>
      <c r="BF188" s="714">
        <v>1.8</v>
      </c>
      <c r="BG188" s="714">
        <v>2</v>
      </c>
      <c r="BH188" s="714">
        <v>2.2</v>
      </c>
      <c r="BI188" s="714">
        <v>2.2</v>
      </c>
      <c r="BJ188" s="714">
        <v>2.3</v>
      </c>
      <c r="BK188" s="714">
        <v>2.5</v>
      </c>
      <c r="BL188" s="714">
        <v>2.7</v>
      </c>
      <c r="BM188" s="714">
        <v>2.7</v>
      </c>
      <c r="BN188" s="714">
        <v>2.8</v>
      </c>
      <c r="BO188" s="714">
        <v>1.7</v>
      </c>
      <c r="BP188" s="714">
        <v>1.9</v>
      </c>
      <c r="BQ188" s="714">
        <v>2.1</v>
      </c>
      <c r="BR188" s="714">
        <v>2.4</v>
      </c>
      <c r="BS188" s="714">
        <v>2.6</v>
      </c>
      <c r="BT188" s="714">
        <v>2.6</v>
      </c>
      <c r="BU188" s="714">
        <v>2.7</v>
      </c>
      <c r="BV188" s="714">
        <v>2.8</v>
      </c>
      <c r="BW188" s="714">
        <v>2.9</v>
      </c>
      <c r="BX188" s="714">
        <v>2.9</v>
      </c>
      <c r="BY188" s="714">
        <v>3</v>
      </c>
      <c r="BZ188" s="714">
        <v>1.8</v>
      </c>
      <c r="CA188" s="714">
        <v>2</v>
      </c>
      <c r="CB188" s="714">
        <v>2.2</v>
      </c>
      <c r="CC188" s="714">
        <v>2.5</v>
      </c>
      <c r="CD188" s="714">
        <v>2.7</v>
      </c>
      <c r="CE188" s="714">
        <v>2.8</v>
      </c>
      <c r="CF188" s="714">
        <v>2.9</v>
      </c>
      <c r="CG188" s="714">
        <v>2.9</v>
      </c>
      <c r="CH188" s="714">
        <v>3</v>
      </c>
      <c r="CI188" s="714">
        <v>3</v>
      </c>
      <c r="CJ188" s="714">
        <v>3.1</v>
      </c>
      <c r="CK188" s="714">
        <v>2.2</v>
      </c>
      <c r="CL188" s="714">
        <v>2.4</v>
      </c>
      <c r="CM188" s="714">
        <v>2.7</v>
      </c>
      <c r="CN188" s="714">
        <v>2.9</v>
      </c>
      <c r="CO188" s="714">
        <v>2.9</v>
      </c>
      <c r="CP188" s="714">
        <v>2.9</v>
      </c>
      <c r="CQ188" s="714">
        <v>3</v>
      </c>
      <c r="CR188" s="714">
        <v>3.1</v>
      </c>
      <c r="CS188" s="714">
        <v>3.2</v>
      </c>
      <c r="CT188" s="714">
        <v>3.3</v>
      </c>
      <c r="CU188" s="714">
        <v>3.4</v>
      </c>
      <c r="CV188" s="714">
        <v>2.3</v>
      </c>
      <c r="CW188" s="714">
        <v>2.7</v>
      </c>
      <c r="CX188" s="714">
        <v>2.9</v>
      </c>
      <c r="CY188" s="714">
        <v>3.1</v>
      </c>
      <c r="CZ188" s="714">
        <v>3.2</v>
      </c>
      <c r="DA188" s="714">
        <v>3.3</v>
      </c>
      <c r="DB188" s="714">
        <v>3.5</v>
      </c>
      <c r="DC188" s="714">
        <v>3.6</v>
      </c>
      <c r="DD188" s="714">
        <v>3.7</v>
      </c>
      <c r="DE188" s="714">
        <v>3.8</v>
      </c>
      <c r="DF188" s="714">
        <v>3.9</v>
      </c>
      <c r="DG188" s="714">
        <v>2.5</v>
      </c>
      <c r="DH188" s="714">
        <v>2.7</v>
      </c>
      <c r="DI188" s="714">
        <v>3</v>
      </c>
      <c r="DJ188" s="714">
        <v>3.3</v>
      </c>
      <c r="DK188" s="714">
        <v>3.5</v>
      </c>
      <c r="DL188" s="714">
        <v>3.7</v>
      </c>
      <c r="DM188" s="714">
        <v>3.8</v>
      </c>
      <c r="DN188" s="714">
        <v>4</v>
      </c>
      <c r="DO188" s="714">
        <v>4.1</v>
      </c>
      <c r="DP188" s="714">
        <v>4.3</v>
      </c>
      <c r="DQ188" s="714">
        <v>4.4</v>
      </c>
      <c r="DR188" s="714">
        <v>2.8</v>
      </c>
      <c r="DS188" s="714">
        <v>3.1</v>
      </c>
      <c r="DT188" s="714">
        <v>3.4</v>
      </c>
      <c r="DU188" s="714">
        <v>3.6</v>
      </c>
      <c r="DV188" s="714">
        <v>3.8</v>
      </c>
      <c r="DW188" s="714">
        <v>4</v>
      </c>
      <c r="DX188" s="714">
        <v>4.2</v>
      </c>
      <c r="DY188" s="714">
        <v>4.4</v>
      </c>
      <c r="DZ188" s="714">
        <v>4.5</v>
      </c>
      <c r="EA188" s="714">
        <v>4.6</v>
      </c>
      <c r="EB188" s="714">
        <v>4.8</v>
      </c>
      <c r="EC188" s="714">
        <v>2.9</v>
      </c>
      <c r="ED188" s="714">
        <v>3.3</v>
      </c>
      <c r="EE188" s="714">
        <v>3.5</v>
      </c>
      <c r="EF188" s="714">
        <v>3.8</v>
      </c>
      <c r="EG188" s="714">
        <v>4</v>
      </c>
      <c r="EH188" s="714">
        <v>4.1</v>
      </c>
      <c r="EI188" s="714">
        <v>4.3</v>
      </c>
      <c r="EJ188" s="714">
        <v>4.5</v>
      </c>
      <c r="EK188" s="714">
        <v>4.6</v>
      </c>
      <c r="EL188" s="714">
        <v>4.7</v>
      </c>
      <c r="EM188" s="714">
        <v>4.8</v>
      </c>
      <c r="EN188" s="714">
        <v>3.6</v>
      </c>
      <c r="EO188" s="714">
        <v>4.1</v>
      </c>
      <c r="EP188" s="714">
        <v>4.3</v>
      </c>
      <c r="EQ188" s="714">
        <v>4.5</v>
      </c>
      <c r="ER188" s="714">
        <v>4.8</v>
      </c>
      <c r="ES188" s="714">
        <v>5</v>
      </c>
      <c r="ET188" s="714">
        <v>5.2</v>
      </c>
      <c r="EU188" s="714">
        <v>5.4</v>
      </c>
      <c r="EV188" s="714">
        <v>5.7</v>
      </c>
      <c r="EW188" s="714">
        <v>6</v>
      </c>
      <c r="EX188" s="714">
        <v>6.3</v>
      </c>
      <c r="EY188" s="714">
        <v>-0.6</v>
      </c>
      <c r="EZ188" s="714">
        <v>0.1</v>
      </c>
      <c r="FA188" s="714">
        <v>0.7</v>
      </c>
      <c r="FB188" s="714">
        <v>1.2</v>
      </c>
      <c r="FC188" s="714">
        <v>1.4</v>
      </c>
      <c r="FD188" s="714">
        <v>1.6</v>
      </c>
      <c r="FE188" s="714">
        <v>1.8</v>
      </c>
      <c r="FF188" s="714">
        <v>2.1</v>
      </c>
      <c r="FG188" s="714">
        <v>2.3</v>
      </c>
      <c r="FH188" s="714">
        <v>2.5</v>
      </c>
      <c r="FI188" s="714">
        <v>2.6</v>
      </c>
      <c r="FJ188" s="725">
        <v>-4.06e-7</v>
      </c>
      <c r="FK188" s="725">
        <v>1.61e-8</v>
      </c>
      <c r="FL188" s="725">
        <v>-3.91e-11</v>
      </c>
      <c r="FM188" s="725">
        <v>7.84e-7</v>
      </c>
      <c r="FN188" s="725">
        <v>7.44e-10</v>
      </c>
      <c r="FO188" s="725">
        <v>0.213</v>
      </c>
      <c r="FP188" s="729">
        <v>1</v>
      </c>
      <c r="FQ188" s="729">
        <v>3</v>
      </c>
      <c r="FR188" s="729">
        <v>1</v>
      </c>
      <c r="FS188" s="729">
        <v>2</v>
      </c>
      <c r="FT188" s="729">
        <v>1</v>
      </c>
      <c r="FU188" s="729">
        <v>2</v>
      </c>
      <c r="FV188" s="681">
        <v>1</v>
      </c>
      <c r="FW188" s="729"/>
      <c r="FX188" s="729"/>
      <c r="FY188" s="729"/>
      <c r="FZ188" s="788">
        <v>498</v>
      </c>
      <c r="GA188" s="788">
        <v>533</v>
      </c>
      <c r="GB188" s="681">
        <v>460</v>
      </c>
      <c r="GC188" s="681">
        <v>492</v>
      </c>
      <c r="GD188" s="747">
        <v>1.29</v>
      </c>
      <c r="GE188" s="729"/>
      <c r="GF188" s="681">
        <v>95</v>
      </c>
      <c r="GG188" s="681">
        <v>112</v>
      </c>
      <c r="GH188" s="681">
        <v>87</v>
      </c>
      <c r="GI188" s="681">
        <v>90</v>
      </c>
      <c r="GJ188" s="681">
        <v>91</v>
      </c>
      <c r="GK188" s="681">
        <v>93</v>
      </c>
      <c r="GL188" s="681">
        <v>94</v>
      </c>
      <c r="GM188" s="681">
        <v>95</v>
      </c>
      <c r="GN188" s="681">
        <v>96</v>
      </c>
      <c r="GO188" s="681">
        <v>97</v>
      </c>
      <c r="GP188" s="681">
        <v>97</v>
      </c>
      <c r="GQ188" s="681">
        <v>98</v>
      </c>
      <c r="GR188" s="681">
        <v>98</v>
      </c>
      <c r="GS188" s="681">
        <v>99</v>
      </c>
      <c r="GT188" s="681">
        <v>100</v>
      </c>
      <c r="GU188" s="681">
        <v>101</v>
      </c>
      <c r="GV188" s="681">
        <v>102</v>
      </c>
      <c r="GW188" s="681">
        <v>103</v>
      </c>
      <c r="GX188" s="681">
        <v>104</v>
      </c>
      <c r="GY188" s="681">
        <v>105</v>
      </c>
      <c r="GZ188" s="681">
        <v>106</v>
      </c>
      <c r="HA188" s="681">
        <v>108</v>
      </c>
      <c r="HB188" s="681">
        <v>109</v>
      </c>
      <c r="HC188" s="681">
        <v>113</v>
      </c>
      <c r="HD188" s="738">
        <v>105</v>
      </c>
      <c r="HE188" s="681">
        <v>111</v>
      </c>
      <c r="HF188" s="681">
        <v>611</v>
      </c>
      <c r="HG188" s="681">
        <v>127</v>
      </c>
      <c r="HH188" s="715">
        <v>111.9</v>
      </c>
      <c r="HI188" s="715">
        <v>43.2</v>
      </c>
      <c r="HJ188" s="754">
        <v>0.296</v>
      </c>
      <c r="HK188" s="681">
        <v>64</v>
      </c>
      <c r="HL188" s="685">
        <v>1.96</v>
      </c>
      <c r="HM188" s="747">
        <v>3.21</v>
      </c>
      <c r="HN188" s="729" t="s">
        <v>1095</v>
      </c>
      <c r="HO188" s="729" t="s">
        <v>1454</v>
      </c>
      <c r="HP188" s="714">
        <v>0</v>
      </c>
      <c r="HQ188" s="753">
        <v>0.9</v>
      </c>
      <c r="HR188" s="753">
        <v>0.982</v>
      </c>
      <c r="HS188" s="753">
        <v>0.995</v>
      </c>
      <c r="HT188" s="753">
        <v>0.999</v>
      </c>
      <c r="HU188" s="753">
        <v>0.999</v>
      </c>
      <c r="HV188" s="753">
        <v>0.999</v>
      </c>
      <c r="HW188" s="753">
        <v>0.999</v>
      </c>
      <c r="HX188" s="753">
        <v>0.999</v>
      </c>
      <c r="HY188" s="753">
        <v>0.999</v>
      </c>
      <c r="HZ188" s="753">
        <v>0.999</v>
      </c>
      <c r="IA188" s="753">
        <v>0.999</v>
      </c>
      <c r="IB188" s="754">
        <v>0.999</v>
      </c>
      <c r="IC188" s="754">
        <v>0.999</v>
      </c>
      <c r="ID188" s="754">
        <v>0.999</v>
      </c>
      <c r="IE188" s="754">
        <v>0.999</v>
      </c>
      <c r="IF188" s="753">
        <v>0.999</v>
      </c>
      <c r="IG188" s="754">
        <v>0.999</v>
      </c>
      <c r="IH188" s="754">
        <v>0.997</v>
      </c>
      <c r="II188" s="754">
        <v>0.995</v>
      </c>
      <c r="IJ188" s="754">
        <v>0.992</v>
      </c>
      <c r="IK188" s="754">
        <v>0.989</v>
      </c>
      <c r="IL188" s="754">
        <v>0.985</v>
      </c>
      <c r="IM188" s="754">
        <v>0.975</v>
      </c>
      <c r="IN188" s="754">
        <v>0.967</v>
      </c>
      <c r="IO188" s="754">
        <v>0.951</v>
      </c>
      <c r="IP188" s="754">
        <v>0.923</v>
      </c>
      <c r="IQ188" s="754">
        <v>0.863</v>
      </c>
      <c r="IR188" s="754">
        <v>0.728</v>
      </c>
      <c r="IS188" s="754">
        <v>0.41</v>
      </c>
      <c r="IT188" s="754">
        <v>0.057</v>
      </c>
      <c r="IU188" s="754"/>
      <c r="IV188" s="753"/>
      <c r="IW188" s="753"/>
      <c r="IX188" s="754"/>
      <c r="IY188" s="753"/>
      <c r="IZ188" s="753"/>
      <c r="JA188" s="753">
        <v>0.81</v>
      </c>
      <c r="JB188" s="753">
        <v>0.964</v>
      </c>
      <c r="JC188" s="753">
        <v>0.99</v>
      </c>
      <c r="JD188" s="753">
        <v>0.998</v>
      </c>
      <c r="JE188" s="753">
        <v>0.998</v>
      </c>
      <c r="JF188" s="753">
        <v>0.998</v>
      </c>
      <c r="JG188" s="753">
        <v>0.998</v>
      </c>
      <c r="JH188" s="753">
        <v>0.998</v>
      </c>
      <c r="JI188" s="753">
        <v>0.998</v>
      </c>
      <c r="JJ188" s="753">
        <v>0.998</v>
      </c>
      <c r="JK188" s="753">
        <v>0.998</v>
      </c>
      <c r="JL188" s="754">
        <v>0.998</v>
      </c>
      <c r="JM188" s="754">
        <v>0.998</v>
      </c>
      <c r="JN188" s="754">
        <v>0.998</v>
      </c>
      <c r="JO188" s="754">
        <v>0.998</v>
      </c>
      <c r="JP188" s="754">
        <v>0.998</v>
      </c>
      <c r="JQ188" s="754">
        <v>0.998</v>
      </c>
      <c r="JR188" s="754">
        <v>0.995</v>
      </c>
      <c r="JS188" s="754">
        <v>0.992</v>
      </c>
      <c r="JT188" s="754">
        <v>0.988</v>
      </c>
      <c r="JU188" s="754">
        <v>0.982</v>
      </c>
      <c r="JV188" s="754">
        <v>0.974</v>
      </c>
      <c r="JW188" s="754">
        <v>0.953</v>
      </c>
      <c r="JX188" s="754">
        <v>0.937</v>
      </c>
      <c r="JY188" s="754">
        <v>0.908</v>
      </c>
      <c r="JZ188" s="754">
        <v>0.856</v>
      </c>
      <c r="KA188" s="754">
        <v>0.752</v>
      </c>
      <c r="KB188" s="754">
        <v>0.535</v>
      </c>
      <c r="KC188" s="754">
        <v>0.171</v>
      </c>
      <c r="KD188" s="754">
        <v>0.008</v>
      </c>
      <c r="KE188" s="753"/>
      <c r="KF188" s="753"/>
      <c r="KG188" s="753"/>
      <c r="KH188" s="754"/>
      <c r="KI188" s="753"/>
      <c r="KJ188" s="753"/>
      <c r="KK188" s="765" t="s">
        <v>1349</v>
      </c>
      <c r="KL188" s="738">
        <v>145</v>
      </c>
      <c r="KM188" s="738">
        <v>465</v>
      </c>
      <c r="KN188" s="646" t="s">
        <v>617</v>
      </c>
      <c r="KO188" s="646" t="s">
        <v>1453</v>
      </c>
      <c r="KP188" s="679">
        <v>731405</v>
      </c>
      <c r="KQ188" s="789" t="s">
        <v>1455</v>
      </c>
      <c r="KR188" s="750" t="s">
        <v>1456</v>
      </c>
      <c r="KS188" s="789" t="s">
        <v>1457</v>
      </c>
      <c r="KT188" s="770" t="s">
        <v>1458</v>
      </c>
      <c r="KU188" s="789" t="s">
        <v>1459</v>
      </c>
      <c r="KV188" s="750">
        <v>731405</v>
      </c>
      <c r="KW188" s="771"/>
      <c r="KX188" s="750"/>
      <c r="KY188" s="789"/>
      <c r="KZ188" s="770"/>
    </row>
    <row r="189" s="628" customFormat="1" customHeight="1" spans="1:312">
      <c r="A189" s="682" t="s">
        <v>277</v>
      </c>
      <c r="B189" s="683">
        <v>185</v>
      </c>
      <c r="C189" s="781" t="s">
        <v>1460</v>
      </c>
      <c r="D189" s="679">
        <v>743493</v>
      </c>
      <c r="E189" s="685">
        <v>49.33</v>
      </c>
      <c r="F189" s="685">
        <v>49.07</v>
      </c>
      <c r="G189" s="688">
        <v>0.015069</v>
      </c>
      <c r="H189" s="686">
        <v>0.015221</v>
      </c>
      <c r="I189" s="696">
        <v>1.70399</v>
      </c>
      <c r="J189" s="696">
        <v>1.71066</v>
      </c>
      <c r="K189" s="696">
        <v>1.718</v>
      </c>
      <c r="L189" s="696">
        <v>1.72467</v>
      </c>
      <c r="M189" s="696">
        <v>1.7259</v>
      </c>
      <c r="N189" s="696">
        <v>1.72692</v>
      </c>
      <c r="O189" s="696">
        <v>1.73091</v>
      </c>
      <c r="P189" s="696">
        <v>1.73366</v>
      </c>
      <c r="Q189" s="697">
        <v>1.73621</v>
      </c>
      <c r="R189" s="697">
        <v>1.73876</v>
      </c>
      <c r="S189" s="697">
        <v>1.73948</v>
      </c>
      <c r="T189" s="701">
        <v>1.74016</v>
      </c>
      <c r="U189" s="697">
        <v>1.74317</v>
      </c>
      <c r="V189" s="697">
        <v>1.7433</v>
      </c>
      <c r="W189" s="697">
        <v>1.74689</v>
      </c>
      <c r="X189" s="697">
        <v>1.75383</v>
      </c>
      <c r="Y189" s="697">
        <v>1.7547</v>
      </c>
      <c r="Z189" s="697">
        <v>1.76215</v>
      </c>
      <c r="AA189" s="697">
        <v>1.76911</v>
      </c>
      <c r="AB189" s="697">
        <v>1.7811</v>
      </c>
      <c r="AC189" s="704">
        <v>2.97441605</v>
      </c>
      <c r="AD189" s="705">
        <v>-0.0138572738</v>
      </c>
      <c r="AE189" s="705">
        <v>0.021964918</v>
      </c>
      <c r="AF189" s="705">
        <v>0.000810197466</v>
      </c>
      <c r="AG189" s="705">
        <v>-4.79702937e-5</v>
      </c>
      <c r="AH189" s="705">
        <v>3.00170973e-6</v>
      </c>
      <c r="AI189" s="709">
        <v>0.3013</v>
      </c>
      <c r="AJ189" s="709">
        <v>0.2382</v>
      </c>
      <c r="AK189" s="709">
        <v>0.5521</v>
      </c>
      <c r="AL189" s="709">
        <v>0.251</v>
      </c>
      <c r="AM189" s="709">
        <v>0.2359</v>
      </c>
      <c r="AN189" s="709">
        <v>0.4895</v>
      </c>
      <c r="AO189" s="709">
        <v>-0.0024</v>
      </c>
      <c r="AP189" s="709">
        <v>-0.0095</v>
      </c>
      <c r="AQ189" s="709">
        <v>0.0066</v>
      </c>
      <c r="AR189" s="709">
        <v>0.0021</v>
      </c>
      <c r="AS189" s="714">
        <v>7.3</v>
      </c>
      <c r="AT189" s="714">
        <v>7.3</v>
      </c>
      <c r="AU189" s="714">
        <v>7.4</v>
      </c>
      <c r="AV189" s="714">
        <v>7.5</v>
      </c>
      <c r="AW189" s="714">
        <v>7.6</v>
      </c>
      <c r="AX189" s="714">
        <v>7.6</v>
      </c>
      <c r="AY189" s="714">
        <v>7.7</v>
      </c>
      <c r="AZ189" s="714">
        <v>7.8</v>
      </c>
      <c r="BA189" s="714">
        <v>7.9</v>
      </c>
      <c r="BB189" s="714">
        <v>8</v>
      </c>
      <c r="BC189" s="714">
        <v>8.1</v>
      </c>
      <c r="BD189" s="714">
        <v>7.6</v>
      </c>
      <c r="BE189" s="714">
        <v>7.6</v>
      </c>
      <c r="BF189" s="714">
        <v>7.7</v>
      </c>
      <c r="BG189" s="714">
        <v>7.8</v>
      </c>
      <c r="BH189" s="714">
        <v>7.8</v>
      </c>
      <c r="BI189" s="714">
        <v>7.9</v>
      </c>
      <c r="BJ189" s="714">
        <v>7.9</v>
      </c>
      <c r="BK189" s="714">
        <v>8.1</v>
      </c>
      <c r="BL189" s="714">
        <v>8.2</v>
      </c>
      <c r="BM189" s="714">
        <v>8.4</v>
      </c>
      <c r="BN189" s="714">
        <v>8.5</v>
      </c>
      <c r="BO189" s="714">
        <v>8</v>
      </c>
      <c r="BP189" s="714">
        <v>8.1</v>
      </c>
      <c r="BQ189" s="714">
        <v>8.1</v>
      </c>
      <c r="BR189" s="714">
        <v>8.1</v>
      </c>
      <c r="BS189" s="714">
        <v>8.1</v>
      </c>
      <c r="BT189" s="714">
        <v>8.2</v>
      </c>
      <c r="BU189" s="714">
        <v>8.3</v>
      </c>
      <c r="BV189" s="714">
        <v>8.4</v>
      </c>
      <c r="BW189" s="714">
        <v>8.4</v>
      </c>
      <c r="BX189" s="714">
        <v>8.5</v>
      </c>
      <c r="BY189" s="714">
        <v>8.6</v>
      </c>
      <c r="BZ189" s="714">
        <v>8</v>
      </c>
      <c r="CA189" s="714">
        <v>8.1</v>
      </c>
      <c r="CB189" s="714">
        <v>8.1</v>
      </c>
      <c r="CC189" s="714">
        <v>8.1</v>
      </c>
      <c r="CD189" s="714">
        <v>8.2</v>
      </c>
      <c r="CE189" s="714">
        <v>8.2</v>
      </c>
      <c r="CF189" s="714">
        <v>8.4</v>
      </c>
      <c r="CG189" s="714">
        <v>8.5</v>
      </c>
      <c r="CH189" s="714">
        <v>8.5</v>
      </c>
      <c r="CI189" s="714">
        <v>8.6</v>
      </c>
      <c r="CJ189" s="714">
        <v>8.7</v>
      </c>
      <c r="CK189" s="714">
        <v>8.1</v>
      </c>
      <c r="CL189" s="714">
        <v>8.2</v>
      </c>
      <c r="CM189" s="714">
        <v>8.2</v>
      </c>
      <c r="CN189" s="714">
        <v>8.2</v>
      </c>
      <c r="CO189" s="714">
        <v>8.2</v>
      </c>
      <c r="CP189" s="714">
        <v>8.3</v>
      </c>
      <c r="CQ189" s="714">
        <v>8.4</v>
      </c>
      <c r="CR189" s="714">
        <v>8.5</v>
      </c>
      <c r="CS189" s="714">
        <v>8.6</v>
      </c>
      <c r="CT189" s="714">
        <v>8.7</v>
      </c>
      <c r="CU189" s="714">
        <v>8.8</v>
      </c>
      <c r="CV189" s="714">
        <v>8.1</v>
      </c>
      <c r="CW189" s="714">
        <v>8.2</v>
      </c>
      <c r="CX189" s="714">
        <v>8.3</v>
      </c>
      <c r="CY189" s="714">
        <v>8.4</v>
      </c>
      <c r="CZ189" s="714">
        <v>8.5</v>
      </c>
      <c r="DA189" s="714">
        <v>8.6</v>
      </c>
      <c r="DB189" s="714">
        <v>8.8</v>
      </c>
      <c r="DC189" s="714">
        <v>8.9</v>
      </c>
      <c r="DD189" s="714">
        <v>9.1</v>
      </c>
      <c r="DE189" s="714">
        <v>9.3</v>
      </c>
      <c r="DF189" s="714">
        <v>9.4</v>
      </c>
      <c r="DG189" s="714">
        <v>8.3</v>
      </c>
      <c r="DH189" s="714">
        <v>8.5</v>
      </c>
      <c r="DI189" s="714">
        <v>8.5</v>
      </c>
      <c r="DJ189" s="714">
        <v>8.5</v>
      </c>
      <c r="DK189" s="714">
        <v>8.7</v>
      </c>
      <c r="DL189" s="714">
        <v>8.7</v>
      </c>
      <c r="DM189" s="714">
        <v>8.9</v>
      </c>
      <c r="DN189" s="714">
        <v>9.1</v>
      </c>
      <c r="DO189" s="714">
        <v>9.3</v>
      </c>
      <c r="DP189" s="714">
        <v>9.5</v>
      </c>
      <c r="DQ189" s="714">
        <v>9.6</v>
      </c>
      <c r="DR189" s="714">
        <v>8.9</v>
      </c>
      <c r="DS189" s="714">
        <v>9.1</v>
      </c>
      <c r="DT189" s="714">
        <v>9.2</v>
      </c>
      <c r="DU189" s="714">
        <v>9.3</v>
      </c>
      <c r="DV189" s="714">
        <v>9.3</v>
      </c>
      <c r="DW189" s="714">
        <v>9.4</v>
      </c>
      <c r="DX189" s="714">
        <v>9.6</v>
      </c>
      <c r="DY189" s="714">
        <v>9.7</v>
      </c>
      <c r="DZ189" s="714">
        <v>9.9</v>
      </c>
      <c r="EA189" s="714">
        <v>10</v>
      </c>
      <c r="EB189" s="714">
        <v>10.2</v>
      </c>
      <c r="EC189" s="714">
        <v>9</v>
      </c>
      <c r="ED189" s="714">
        <v>9.2</v>
      </c>
      <c r="EE189" s="714">
        <v>9.3</v>
      </c>
      <c r="EF189" s="714">
        <v>9.4</v>
      </c>
      <c r="EG189" s="714">
        <v>9.5</v>
      </c>
      <c r="EH189" s="714">
        <v>9.6</v>
      </c>
      <c r="EI189" s="714">
        <v>9.7</v>
      </c>
      <c r="EJ189" s="714">
        <v>9.8</v>
      </c>
      <c r="EK189" s="714">
        <v>10</v>
      </c>
      <c r="EL189" s="714">
        <v>10.1</v>
      </c>
      <c r="EM189" s="714">
        <v>10.2</v>
      </c>
      <c r="EN189" s="714">
        <v>9.4</v>
      </c>
      <c r="EO189" s="714">
        <v>9.5</v>
      </c>
      <c r="EP189" s="714">
        <v>9.7</v>
      </c>
      <c r="EQ189" s="714">
        <v>9.8</v>
      </c>
      <c r="ER189" s="714">
        <v>9.9</v>
      </c>
      <c r="ES189" s="714">
        <v>10</v>
      </c>
      <c r="ET189" s="714">
        <v>10.2</v>
      </c>
      <c r="EU189" s="714">
        <v>10.4</v>
      </c>
      <c r="EV189" s="714">
        <v>10.6</v>
      </c>
      <c r="EW189" s="714">
        <v>10.8</v>
      </c>
      <c r="EX189" s="714">
        <v>10.9</v>
      </c>
      <c r="EY189" s="714">
        <v>5.3</v>
      </c>
      <c r="EZ189" s="714">
        <v>5.8</v>
      </c>
      <c r="FA189" s="714">
        <v>6.2</v>
      </c>
      <c r="FB189" s="714">
        <v>6.5</v>
      </c>
      <c r="FC189" s="714">
        <v>6.7</v>
      </c>
      <c r="FD189" s="714">
        <v>7</v>
      </c>
      <c r="FE189" s="714">
        <v>7.2</v>
      </c>
      <c r="FF189" s="714">
        <v>7.4</v>
      </c>
      <c r="FG189" s="714">
        <v>7.7</v>
      </c>
      <c r="FH189" s="714">
        <v>7.8</v>
      </c>
      <c r="FI189" s="714">
        <v>8</v>
      </c>
      <c r="FJ189" s="725">
        <v>9.72e-6</v>
      </c>
      <c r="FK189" s="725">
        <v>1.25e-8</v>
      </c>
      <c r="FL189" s="725">
        <v>-2.05e-11</v>
      </c>
      <c r="FM189" s="725">
        <v>5.62e-7</v>
      </c>
      <c r="FN189" s="725">
        <v>5.06e-10</v>
      </c>
      <c r="FO189" s="725">
        <v>0.224</v>
      </c>
      <c r="FP189" s="729">
        <v>1</v>
      </c>
      <c r="FQ189" s="729">
        <v>3</v>
      </c>
      <c r="FR189" s="729">
        <v>1</v>
      </c>
      <c r="FS189" s="729">
        <v>3</v>
      </c>
      <c r="FT189" s="729">
        <v>1</v>
      </c>
      <c r="FU189" s="729">
        <v>1</v>
      </c>
      <c r="FV189" s="681">
        <v>1</v>
      </c>
      <c r="FW189" s="729"/>
      <c r="FX189" s="729"/>
      <c r="FY189" s="729"/>
      <c r="FZ189" s="788">
        <v>571</v>
      </c>
      <c r="GA189" s="788">
        <v>603</v>
      </c>
      <c r="GB189" s="681">
        <v>531</v>
      </c>
      <c r="GC189" s="681">
        <v>555</v>
      </c>
      <c r="GD189" s="747">
        <v>0.88</v>
      </c>
      <c r="GE189" s="729"/>
      <c r="GF189" s="681">
        <v>57</v>
      </c>
      <c r="GG189" s="681">
        <v>74</v>
      </c>
      <c r="GH189" s="681">
        <v>50</v>
      </c>
      <c r="GI189" s="681">
        <v>53</v>
      </c>
      <c r="GJ189" s="681">
        <v>54</v>
      </c>
      <c r="GK189" s="681">
        <v>55</v>
      </c>
      <c r="GL189" s="681">
        <v>56</v>
      </c>
      <c r="GM189" s="681">
        <v>57</v>
      </c>
      <c r="GN189" s="681">
        <v>58</v>
      </c>
      <c r="GO189" s="681">
        <v>58</v>
      </c>
      <c r="GP189" s="681">
        <v>59</v>
      </c>
      <c r="GQ189" s="681">
        <v>59</v>
      </c>
      <c r="GR189" s="681">
        <v>60</v>
      </c>
      <c r="GS189" s="681">
        <v>60</v>
      </c>
      <c r="GT189" s="681">
        <v>61</v>
      </c>
      <c r="GU189" s="681">
        <v>61</v>
      </c>
      <c r="GV189" s="681">
        <v>62</v>
      </c>
      <c r="GW189" s="681">
        <v>63</v>
      </c>
      <c r="GX189" s="681">
        <v>64</v>
      </c>
      <c r="GY189" s="681">
        <v>65</v>
      </c>
      <c r="GZ189" s="681">
        <v>66</v>
      </c>
      <c r="HA189" s="681">
        <v>68</v>
      </c>
      <c r="HB189" s="681">
        <v>68</v>
      </c>
      <c r="HC189" s="681">
        <v>135</v>
      </c>
      <c r="HD189" s="750">
        <v>135</v>
      </c>
      <c r="HE189" s="681">
        <v>111</v>
      </c>
      <c r="HF189" s="681">
        <v>679</v>
      </c>
      <c r="HG189" s="681">
        <v>113</v>
      </c>
      <c r="HH189" s="714">
        <v>111.3</v>
      </c>
      <c r="HI189" s="714">
        <v>42.6</v>
      </c>
      <c r="HJ189" s="753">
        <v>0.308</v>
      </c>
      <c r="HK189" s="681">
        <v>87</v>
      </c>
      <c r="HL189" s="685">
        <v>2.17</v>
      </c>
      <c r="HM189" s="747">
        <v>4.23</v>
      </c>
      <c r="HN189" s="729" t="s">
        <v>679</v>
      </c>
      <c r="HO189" s="729" t="s">
        <v>1461</v>
      </c>
      <c r="HP189" s="714">
        <v>-3.5</v>
      </c>
      <c r="HQ189" s="753">
        <v>0.83</v>
      </c>
      <c r="HR189" s="753">
        <v>0.955</v>
      </c>
      <c r="HS189" s="753">
        <v>0.982</v>
      </c>
      <c r="HT189" s="753">
        <v>0.994</v>
      </c>
      <c r="HU189" s="753">
        <v>0.998</v>
      </c>
      <c r="HV189" s="753">
        <v>0.998</v>
      </c>
      <c r="HW189" s="753">
        <v>0.999</v>
      </c>
      <c r="HX189" s="753">
        <v>0.999</v>
      </c>
      <c r="HY189" s="753">
        <v>0.999</v>
      </c>
      <c r="HZ189" s="753">
        <v>0.999</v>
      </c>
      <c r="IA189" s="753">
        <v>0.999</v>
      </c>
      <c r="IB189" s="754">
        <v>0.999</v>
      </c>
      <c r="IC189" s="754">
        <v>0.999</v>
      </c>
      <c r="ID189" s="754">
        <v>0.999</v>
      </c>
      <c r="IE189" s="754">
        <v>0.999</v>
      </c>
      <c r="IF189" s="753">
        <v>0.999</v>
      </c>
      <c r="IG189" s="754">
        <v>0.999</v>
      </c>
      <c r="IH189" s="754">
        <v>0.999</v>
      </c>
      <c r="II189" s="754">
        <v>0.999</v>
      </c>
      <c r="IJ189" s="754">
        <v>0.998</v>
      </c>
      <c r="IK189" s="754">
        <v>0.997</v>
      </c>
      <c r="IL189" s="754">
        <v>0.997</v>
      </c>
      <c r="IM189" s="754">
        <v>0.996</v>
      </c>
      <c r="IN189" s="754">
        <v>0.994</v>
      </c>
      <c r="IO189" s="754">
        <v>0.992</v>
      </c>
      <c r="IP189" s="754">
        <v>0.988</v>
      </c>
      <c r="IQ189" s="754">
        <v>0.982</v>
      </c>
      <c r="IR189" s="754">
        <v>0.973</v>
      </c>
      <c r="IS189" s="754">
        <v>0.954</v>
      </c>
      <c r="IT189" s="754">
        <v>0.93</v>
      </c>
      <c r="IU189" s="754">
        <v>0.892</v>
      </c>
      <c r="IV189" s="754">
        <v>0.843</v>
      </c>
      <c r="IW189" s="754">
        <v>0.723</v>
      </c>
      <c r="IX189" s="754">
        <v>0.701</v>
      </c>
      <c r="IY189" s="754">
        <v>0.628</v>
      </c>
      <c r="IZ189" s="754">
        <v>0.49</v>
      </c>
      <c r="JA189" s="753">
        <v>0.689</v>
      </c>
      <c r="JB189" s="753">
        <v>0.912</v>
      </c>
      <c r="JC189" s="753">
        <v>0.965</v>
      </c>
      <c r="JD189" s="753">
        <v>0.989</v>
      </c>
      <c r="JE189" s="753">
        <v>0.996</v>
      </c>
      <c r="JF189" s="753">
        <v>0.996</v>
      </c>
      <c r="JG189" s="753">
        <v>0.998</v>
      </c>
      <c r="JH189" s="753">
        <v>0.998</v>
      </c>
      <c r="JI189" s="753">
        <v>0.998</v>
      </c>
      <c r="JJ189" s="753">
        <v>0.998</v>
      </c>
      <c r="JK189" s="753">
        <v>0.998</v>
      </c>
      <c r="JL189" s="754">
        <v>0.998</v>
      </c>
      <c r="JM189" s="754">
        <v>0.998</v>
      </c>
      <c r="JN189" s="754">
        <v>0.998</v>
      </c>
      <c r="JO189" s="754">
        <v>0.998</v>
      </c>
      <c r="JP189" s="754">
        <v>0.998</v>
      </c>
      <c r="JQ189" s="754">
        <v>0.998</v>
      </c>
      <c r="JR189" s="754">
        <v>0.998</v>
      </c>
      <c r="JS189" s="754">
        <v>0.998</v>
      </c>
      <c r="JT189" s="754">
        <v>0.997</v>
      </c>
      <c r="JU189" s="754">
        <v>0.995</v>
      </c>
      <c r="JV189" s="754">
        <v>0.994</v>
      </c>
      <c r="JW189" s="754">
        <v>0.992</v>
      </c>
      <c r="JX189" s="754">
        <v>0.988</v>
      </c>
      <c r="JY189" s="754">
        <v>0.984</v>
      </c>
      <c r="JZ189" s="754">
        <v>0.977</v>
      </c>
      <c r="KA189" s="754">
        <v>0.965</v>
      </c>
      <c r="KB189" s="754">
        <v>0.946</v>
      </c>
      <c r="KC189" s="754">
        <v>0.911</v>
      </c>
      <c r="KD189" s="754">
        <v>0.865</v>
      </c>
      <c r="KE189" s="754">
        <v>0.795</v>
      </c>
      <c r="KF189" s="754">
        <v>0.71</v>
      </c>
      <c r="KG189" s="754">
        <v>0.523</v>
      </c>
      <c r="KH189" s="754">
        <v>0.492</v>
      </c>
      <c r="KI189" s="754">
        <v>0.394</v>
      </c>
      <c r="KJ189" s="754">
        <v>0.24</v>
      </c>
      <c r="KK189" s="765" t="s">
        <v>1349</v>
      </c>
      <c r="KL189" s="738">
        <v>109</v>
      </c>
      <c r="KM189" s="738">
        <v>461</v>
      </c>
      <c r="KN189" s="646" t="s">
        <v>303</v>
      </c>
      <c r="KO189" s="646" t="s">
        <v>1460</v>
      </c>
      <c r="KP189" s="679">
        <v>743493</v>
      </c>
      <c r="KQ189" s="789" t="s">
        <v>1462</v>
      </c>
      <c r="KR189" s="750" t="s">
        <v>550</v>
      </c>
      <c r="KS189" s="766" t="s">
        <v>1463</v>
      </c>
      <c r="KT189" s="770" t="s">
        <v>1464</v>
      </c>
      <c r="KU189" s="789" t="s">
        <v>1465</v>
      </c>
      <c r="KV189" s="750">
        <v>743493</v>
      </c>
      <c r="KW189" s="771" t="s">
        <v>1058</v>
      </c>
      <c r="KX189" s="750" t="s">
        <v>1056</v>
      </c>
      <c r="KY189" s="766"/>
      <c r="KZ189" s="770"/>
    </row>
    <row r="190" s="628" customFormat="1" customHeight="1" spans="1:312">
      <c r="A190" s="682" t="s">
        <v>374</v>
      </c>
      <c r="B190" s="683">
        <v>186</v>
      </c>
      <c r="C190" s="780" t="s">
        <v>1466</v>
      </c>
      <c r="D190" s="679">
        <v>801455</v>
      </c>
      <c r="E190" s="685">
        <v>45.45</v>
      </c>
      <c r="F190" s="685">
        <v>45.21</v>
      </c>
      <c r="G190" s="688">
        <v>0.017632</v>
      </c>
      <c r="H190" s="686">
        <v>0.01782</v>
      </c>
      <c r="I190" s="696">
        <v>1.75922</v>
      </c>
      <c r="J190" s="696">
        <v>1.76581</v>
      </c>
      <c r="K190" s="696">
        <v>1.7732</v>
      </c>
      <c r="L190" s="696">
        <v>1.78019</v>
      </c>
      <c r="M190" s="696">
        <v>1.78152</v>
      </c>
      <c r="N190" s="696">
        <v>1.78264</v>
      </c>
      <c r="O190" s="696">
        <v>1.78708</v>
      </c>
      <c r="P190" s="696">
        <v>1.79022</v>
      </c>
      <c r="Q190" s="697">
        <v>1.79314</v>
      </c>
      <c r="R190" s="697">
        <v>1.7961</v>
      </c>
      <c r="S190" s="697">
        <v>1.79694</v>
      </c>
      <c r="T190" s="701">
        <v>1.79771</v>
      </c>
      <c r="U190" s="697">
        <v>1.80122</v>
      </c>
      <c r="V190" s="697">
        <v>1.80139</v>
      </c>
      <c r="W190" s="697">
        <v>1.80558</v>
      </c>
      <c r="X190" s="697">
        <v>1.81373</v>
      </c>
      <c r="Y190" s="697">
        <v>1.81476</v>
      </c>
      <c r="Z190" s="697">
        <v>1.82361</v>
      </c>
      <c r="AA190" s="697">
        <v>1.83193</v>
      </c>
      <c r="AB190" s="697">
        <v>1.8464</v>
      </c>
      <c r="AC190" s="704">
        <v>3.16516554</v>
      </c>
      <c r="AD190" s="705">
        <v>-0.0139269813</v>
      </c>
      <c r="AE190" s="705">
        <v>0.026893225</v>
      </c>
      <c r="AF190" s="705">
        <v>0.000875538542</v>
      </c>
      <c r="AG190" s="705">
        <v>-3.52600431e-5</v>
      </c>
      <c r="AH190" s="705">
        <v>3.03103679e-6</v>
      </c>
      <c r="AI190" s="709">
        <v>0.3</v>
      </c>
      <c r="AJ190" s="709">
        <v>0.2376</v>
      </c>
      <c r="AK190" s="709">
        <v>0.5603</v>
      </c>
      <c r="AL190" s="709">
        <v>0.2497</v>
      </c>
      <c r="AM190" s="709">
        <v>0.2351</v>
      </c>
      <c r="AN190" s="709">
        <v>0.4966</v>
      </c>
      <c r="AO190" s="709">
        <v>-0.0029</v>
      </c>
      <c r="AP190" s="709">
        <v>-0.0078</v>
      </c>
      <c r="AQ190" s="709">
        <v>0.003</v>
      </c>
      <c r="AR190" s="709">
        <v>0.0021</v>
      </c>
      <c r="AS190" s="714">
        <v>4</v>
      </c>
      <c r="AT190" s="714">
        <v>4.2</v>
      </c>
      <c r="AU190" s="714">
        <v>4.4</v>
      </c>
      <c r="AV190" s="714">
        <v>4.4</v>
      </c>
      <c r="AW190" s="714">
        <v>4.5</v>
      </c>
      <c r="AX190" s="714">
        <v>4.5</v>
      </c>
      <c r="AY190" s="714">
        <v>4.6</v>
      </c>
      <c r="AZ190" s="714">
        <v>4.6</v>
      </c>
      <c r="BA190" s="714">
        <v>4.8</v>
      </c>
      <c r="BB190" s="714">
        <v>5</v>
      </c>
      <c r="BC190" s="714">
        <v>5.2</v>
      </c>
      <c r="BD190" s="714">
        <v>4.4</v>
      </c>
      <c r="BE190" s="714">
        <v>4.6</v>
      </c>
      <c r="BF190" s="714">
        <v>4.7</v>
      </c>
      <c r="BG190" s="714">
        <v>4.8</v>
      </c>
      <c r="BH190" s="714">
        <v>5</v>
      </c>
      <c r="BI190" s="714">
        <v>5.1</v>
      </c>
      <c r="BJ190" s="714">
        <v>5.3</v>
      </c>
      <c r="BK190" s="714">
        <v>5.4</v>
      </c>
      <c r="BL190" s="714">
        <v>5.7</v>
      </c>
      <c r="BM190" s="714">
        <v>5.8</v>
      </c>
      <c r="BN190" s="714">
        <v>5.8</v>
      </c>
      <c r="BO190" s="714">
        <v>4.7</v>
      </c>
      <c r="BP190" s="714">
        <v>4.8</v>
      </c>
      <c r="BQ190" s="714">
        <v>4.9</v>
      </c>
      <c r="BR190" s="714">
        <v>5.2</v>
      </c>
      <c r="BS190" s="714">
        <v>5.4</v>
      </c>
      <c r="BT190" s="714">
        <v>5.5</v>
      </c>
      <c r="BU190" s="714">
        <v>5.6</v>
      </c>
      <c r="BV190" s="714">
        <v>5.8</v>
      </c>
      <c r="BW190" s="714">
        <v>6</v>
      </c>
      <c r="BX190" s="714">
        <v>6.2</v>
      </c>
      <c r="BY190" s="714">
        <v>6.2</v>
      </c>
      <c r="BZ190" s="714">
        <v>4.8</v>
      </c>
      <c r="CA190" s="714">
        <v>4.9</v>
      </c>
      <c r="CB190" s="714">
        <v>5</v>
      </c>
      <c r="CC190" s="714">
        <v>5.3</v>
      </c>
      <c r="CD190" s="714">
        <v>5.5</v>
      </c>
      <c r="CE190" s="714">
        <v>5.6</v>
      </c>
      <c r="CF190" s="714">
        <v>5.7</v>
      </c>
      <c r="CG190" s="714">
        <v>5.9</v>
      </c>
      <c r="CH190" s="714">
        <v>6.1</v>
      </c>
      <c r="CI190" s="714">
        <v>6.2</v>
      </c>
      <c r="CJ190" s="714">
        <v>6.3</v>
      </c>
      <c r="CK190" s="714">
        <v>4.9</v>
      </c>
      <c r="CL190" s="714">
        <v>5</v>
      </c>
      <c r="CM190" s="714">
        <v>5.1</v>
      </c>
      <c r="CN190" s="714">
        <v>5.4</v>
      </c>
      <c r="CO190" s="714">
        <v>5.6</v>
      </c>
      <c r="CP190" s="714">
        <v>5.6</v>
      </c>
      <c r="CQ190" s="714">
        <v>5.8</v>
      </c>
      <c r="CR190" s="714">
        <v>6</v>
      </c>
      <c r="CS190" s="714">
        <v>6.2</v>
      </c>
      <c r="CT190" s="714">
        <v>6.3</v>
      </c>
      <c r="CU190" s="714">
        <v>6.4</v>
      </c>
      <c r="CV190" s="714">
        <v>5</v>
      </c>
      <c r="CW190" s="714">
        <v>5.2</v>
      </c>
      <c r="CX190" s="714">
        <v>5.3</v>
      </c>
      <c r="CY190" s="714">
        <v>5.5</v>
      </c>
      <c r="CZ190" s="714">
        <v>5.7</v>
      </c>
      <c r="DA190" s="714">
        <v>5.7</v>
      </c>
      <c r="DB190" s="714">
        <v>6</v>
      </c>
      <c r="DC190" s="714">
        <v>6.2</v>
      </c>
      <c r="DD190" s="714">
        <v>6.3</v>
      </c>
      <c r="DE190" s="714">
        <v>6.4</v>
      </c>
      <c r="DF190" s="714">
        <v>6.5</v>
      </c>
      <c r="DG190" s="714">
        <v>5.2</v>
      </c>
      <c r="DH190" s="714">
        <v>5.4</v>
      </c>
      <c r="DI190" s="714">
        <v>5.6</v>
      </c>
      <c r="DJ190" s="714">
        <v>5.9</v>
      </c>
      <c r="DK190" s="714">
        <v>6.1</v>
      </c>
      <c r="DL190" s="714">
        <v>6.1</v>
      </c>
      <c r="DM190" s="714">
        <v>6.3</v>
      </c>
      <c r="DN190" s="714">
        <v>6.4</v>
      </c>
      <c r="DO190" s="714">
        <v>6.5</v>
      </c>
      <c r="DP190" s="714">
        <v>6.7</v>
      </c>
      <c r="DQ190" s="714">
        <v>6.9</v>
      </c>
      <c r="DR190" s="714">
        <v>5.3</v>
      </c>
      <c r="DS190" s="714">
        <v>5.5</v>
      </c>
      <c r="DT190" s="714">
        <v>5.7</v>
      </c>
      <c r="DU190" s="714">
        <v>5.9</v>
      </c>
      <c r="DV190" s="714">
        <v>6.1</v>
      </c>
      <c r="DW190" s="714">
        <v>6.3</v>
      </c>
      <c r="DX190" s="714">
        <v>6.5</v>
      </c>
      <c r="DY190" s="714">
        <v>6.7</v>
      </c>
      <c r="DZ190" s="714">
        <v>6.9</v>
      </c>
      <c r="EA190" s="714">
        <v>7.1</v>
      </c>
      <c r="EB190" s="714">
        <v>7.3</v>
      </c>
      <c r="EC190" s="714">
        <v>5.5</v>
      </c>
      <c r="ED190" s="714">
        <v>5.6</v>
      </c>
      <c r="EE190" s="714">
        <v>5.8</v>
      </c>
      <c r="EF190" s="714">
        <v>6</v>
      </c>
      <c r="EG190" s="714">
        <v>6.1</v>
      </c>
      <c r="EH190" s="714">
        <v>6.4</v>
      </c>
      <c r="EI190" s="714">
        <v>6.6</v>
      </c>
      <c r="EJ190" s="714">
        <v>6.8</v>
      </c>
      <c r="EK190" s="714">
        <v>7</v>
      </c>
      <c r="EL190" s="714">
        <v>7.2</v>
      </c>
      <c r="EM190" s="714">
        <v>7.4</v>
      </c>
      <c r="EN190" s="714">
        <v>5.8</v>
      </c>
      <c r="EO190" s="714">
        <v>6</v>
      </c>
      <c r="EP190" s="714">
        <v>6.4</v>
      </c>
      <c r="EQ190" s="714">
        <v>6.5</v>
      </c>
      <c r="ER190" s="714">
        <v>6.9</v>
      </c>
      <c r="ES190" s="714">
        <v>7.2</v>
      </c>
      <c r="ET190" s="714">
        <v>7.3</v>
      </c>
      <c r="EU190" s="714">
        <v>7.4</v>
      </c>
      <c r="EV190" s="714">
        <v>7.6</v>
      </c>
      <c r="EW190" s="714">
        <v>7.9</v>
      </c>
      <c r="EX190" s="714">
        <v>8</v>
      </c>
      <c r="EY190" s="714">
        <v>2</v>
      </c>
      <c r="EZ190" s="714">
        <v>2.6</v>
      </c>
      <c r="FA190" s="714">
        <v>3</v>
      </c>
      <c r="FB190" s="714">
        <v>3.6</v>
      </c>
      <c r="FC190" s="714">
        <v>4</v>
      </c>
      <c r="FD190" s="714">
        <v>4.2</v>
      </c>
      <c r="FE190" s="714">
        <v>4.6</v>
      </c>
      <c r="FF190" s="714">
        <v>4.9</v>
      </c>
      <c r="FG190" s="714">
        <v>5.2</v>
      </c>
      <c r="FH190" s="714">
        <v>5.4</v>
      </c>
      <c r="FI190" s="714">
        <v>5.6</v>
      </c>
      <c r="FJ190" s="725">
        <v>4.18e-6</v>
      </c>
      <c r="FK190" s="725">
        <v>1.42e-8</v>
      </c>
      <c r="FL190" s="725">
        <v>-2.67e-11</v>
      </c>
      <c r="FM190" s="725">
        <v>6.65e-7</v>
      </c>
      <c r="FN190" s="725">
        <v>9.25e-10</v>
      </c>
      <c r="FO190" s="725">
        <v>1.82e-8</v>
      </c>
      <c r="FP190" s="729">
        <v>1</v>
      </c>
      <c r="FQ190" s="729">
        <v>3</v>
      </c>
      <c r="FR190" s="729">
        <v>1</v>
      </c>
      <c r="FS190" s="729">
        <v>3</v>
      </c>
      <c r="FT190" s="729">
        <v>1</v>
      </c>
      <c r="FU190" s="729">
        <v>1</v>
      </c>
      <c r="FV190" s="681">
        <v>1</v>
      </c>
      <c r="FW190" s="729"/>
      <c r="FX190" s="729"/>
      <c r="FY190" s="729"/>
      <c r="FZ190" s="788">
        <v>599</v>
      </c>
      <c r="GA190" s="788">
        <v>642</v>
      </c>
      <c r="GB190" s="681">
        <v>579</v>
      </c>
      <c r="GC190" s="681">
        <v>595</v>
      </c>
      <c r="GD190" s="747">
        <v>0.79</v>
      </c>
      <c r="GE190" s="729"/>
      <c r="GF190" s="681">
        <v>62</v>
      </c>
      <c r="GG190" s="681">
        <v>77</v>
      </c>
      <c r="GH190" s="681">
        <v>53</v>
      </c>
      <c r="GI190" s="681">
        <v>56</v>
      </c>
      <c r="GJ190" s="681">
        <v>56</v>
      </c>
      <c r="GK190" s="681">
        <v>58</v>
      </c>
      <c r="GL190" s="681">
        <v>61</v>
      </c>
      <c r="GM190" s="681">
        <v>61</v>
      </c>
      <c r="GN190" s="681">
        <v>62</v>
      </c>
      <c r="GO190" s="681">
        <v>63</v>
      </c>
      <c r="GP190" s="681">
        <v>65</v>
      </c>
      <c r="GQ190" s="681">
        <v>66</v>
      </c>
      <c r="GR190" s="681">
        <v>66</v>
      </c>
      <c r="GS190" s="681">
        <v>67</v>
      </c>
      <c r="GT190" s="681">
        <v>69</v>
      </c>
      <c r="GU190" s="681">
        <v>69</v>
      </c>
      <c r="GV190" s="681">
        <v>69</v>
      </c>
      <c r="GW190" s="681">
        <v>69</v>
      </c>
      <c r="GX190" s="681">
        <v>70</v>
      </c>
      <c r="GY190" s="681">
        <v>70</v>
      </c>
      <c r="GZ190" s="681">
        <v>72</v>
      </c>
      <c r="HA190" s="681">
        <v>73</v>
      </c>
      <c r="HB190" s="681">
        <v>75</v>
      </c>
      <c r="HC190" s="681">
        <v>140</v>
      </c>
      <c r="HD190" s="750">
        <v>140</v>
      </c>
      <c r="HE190" s="681">
        <v>136</v>
      </c>
      <c r="HF190" s="681">
        <v>651</v>
      </c>
      <c r="HG190" s="681">
        <v>71</v>
      </c>
      <c r="HH190" s="714">
        <v>121.1</v>
      </c>
      <c r="HI190" s="714">
        <v>46.1</v>
      </c>
      <c r="HJ190" s="753">
        <v>0.314</v>
      </c>
      <c r="HK190" s="681">
        <v>106</v>
      </c>
      <c r="HL190" s="685">
        <v>1.74</v>
      </c>
      <c r="HM190" s="747">
        <v>4.81</v>
      </c>
      <c r="HN190" s="729" t="s">
        <v>1467</v>
      </c>
      <c r="HO190" s="729" t="s">
        <v>1468</v>
      </c>
      <c r="HP190" s="714">
        <v>-0.5</v>
      </c>
      <c r="HQ190" s="753">
        <v>0.51</v>
      </c>
      <c r="HR190" s="753">
        <v>0.866</v>
      </c>
      <c r="HS190" s="753">
        <v>0.94</v>
      </c>
      <c r="HT190" s="753">
        <v>0.983</v>
      </c>
      <c r="HU190" s="753">
        <v>0.996</v>
      </c>
      <c r="HV190" s="753">
        <v>0.999</v>
      </c>
      <c r="HW190" s="753">
        <v>0.999</v>
      </c>
      <c r="HX190" s="753">
        <v>0.999</v>
      </c>
      <c r="HY190" s="753">
        <v>0.999</v>
      </c>
      <c r="HZ190" s="753">
        <v>0.999</v>
      </c>
      <c r="IA190" s="753">
        <v>0.999</v>
      </c>
      <c r="IB190" s="754">
        <v>0.999</v>
      </c>
      <c r="IC190" s="754">
        <v>0.999</v>
      </c>
      <c r="ID190" s="754">
        <v>0.999</v>
      </c>
      <c r="IE190" s="754">
        <v>0.999</v>
      </c>
      <c r="IF190" s="753">
        <v>0.999</v>
      </c>
      <c r="IG190" s="754">
        <v>0.999</v>
      </c>
      <c r="IH190" s="754">
        <v>0.999</v>
      </c>
      <c r="II190" s="754">
        <v>0.998</v>
      </c>
      <c r="IJ190" s="754">
        <v>0.997</v>
      </c>
      <c r="IK190" s="754">
        <v>0.996</v>
      </c>
      <c r="IL190" s="754">
        <v>0.995</v>
      </c>
      <c r="IM190" s="754">
        <v>0.993</v>
      </c>
      <c r="IN190" s="754">
        <v>0.989</v>
      </c>
      <c r="IO190" s="754">
        <v>0.985</v>
      </c>
      <c r="IP190" s="754">
        <v>0.978</v>
      </c>
      <c r="IQ190" s="754">
        <v>0.967</v>
      </c>
      <c r="IR190" s="754">
        <v>0.945</v>
      </c>
      <c r="IS190" s="754">
        <v>0.904</v>
      </c>
      <c r="IT190" s="754">
        <v>0.816</v>
      </c>
      <c r="IU190" s="754">
        <v>0.63</v>
      </c>
      <c r="IV190" s="754">
        <v>0.318</v>
      </c>
      <c r="IW190" s="754">
        <v>0.095</v>
      </c>
      <c r="IX190" s="754"/>
      <c r="IY190" s="754"/>
      <c r="IZ190" s="754"/>
      <c r="JA190" s="753">
        <v>0.26</v>
      </c>
      <c r="JB190" s="753">
        <v>0.75</v>
      </c>
      <c r="JC190" s="753">
        <v>0.884</v>
      </c>
      <c r="JD190" s="753">
        <v>0.966</v>
      </c>
      <c r="JE190" s="753">
        <v>0.992</v>
      </c>
      <c r="JF190" s="753">
        <v>0.998</v>
      </c>
      <c r="JG190" s="753">
        <v>0.998</v>
      </c>
      <c r="JH190" s="753">
        <v>0.998</v>
      </c>
      <c r="JI190" s="753">
        <v>0.998</v>
      </c>
      <c r="JJ190" s="753">
        <v>0.998</v>
      </c>
      <c r="JK190" s="753">
        <v>0.998</v>
      </c>
      <c r="JL190" s="754">
        <v>0.998</v>
      </c>
      <c r="JM190" s="754">
        <v>0.998</v>
      </c>
      <c r="JN190" s="754">
        <v>0.998</v>
      </c>
      <c r="JO190" s="754">
        <v>0.998</v>
      </c>
      <c r="JP190" s="754">
        <v>0.998</v>
      </c>
      <c r="JQ190" s="754">
        <v>0.998</v>
      </c>
      <c r="JR190" s="754">
        <v>0.998</v>
      </c>
      <c r="JS190" s="754">
        <v>0.997</v>
      </c>
      <c r="JT190" s="754">
        <v>0.995</v>
      </c>
      <c r="JU190" s="754">
        <v>0.992</v>
      </c>
      <c r="JV190" s="754">
        <v>0.99</v>
      </c>
      <c r="JW190" s="754">
        <v>0.986</v>
      </c>
      <c r="JX190" s="754">
        <v>0.978</v>
      </c>
      <c r="JY190" s="754">
        <v>0.971</v>
      </c>
      <c r="JZ190" s="754">
        <v>0.957</v>
      </c>
      <c r="KA190" s="754">
        <v>0.935</v>
      </c>
      <c r="KB190" s="754">
        <v>0.893</v>
      </c>
      <c r="KC190" s="754">
        <v>0.817</v>
      </c>
      <c r="KD190" s="754">
        <v>0.666</v>
      </c>
      <c r="KE190" s="754">
        <v>0.397</v>
      </c>
      <c r="KF190" s="754">
        <v>0.101</v>
      </c>
      <c r="KG190" s="754">
        <v>0.009</v>
      </c>
      <c r="KH190" s="754"/>
      <c r="KI190" s="754"/>
      <c r="KJ190" s="754"/>
      <c r="KK190" s="765" t="s">
        <v>1349</v>
      </c>
      <c r="KL190" s="738">
        <v>337</v>
      </c>
      <c r="KM190" s="738">
        <v>1621</v>
      </c>
      <c r="KN190" s="646" t="s">
        <v>303</v>
      </c>
      <c r="KO190" s="646" t="s">
        <v>1466</v>
      </c>
      <c r="KP190" s="679">
        <v>801455</v>
      </c>
      <c r="KQ190" s="789"/>
      <c r="KR190" s="750"/>
      <c r="KS190" s="789" t="s">
        <v>1469</v>
      </c>
      <c r="KT190" s="770" t="s">
        <v>1470</v>
      </c>
      <c r="KU190" s="789" t="s">
        <v>1471</v>
      </c>
      <c r="KV190" s="750">
        <v>801455</v>
      </c>
      <c r="KW190" s="771"/>
      <c r="KX190" s="750"/>
      <c r="KY190" s="789"/>
      <c r="KZ190" s="770"/>
    </row>
    <row r="191" s="628" customFormat="1" customHeight="1" spans="1:312">
      <c r="A191" s="682" t="s">
        <v>300</v>
      </c>
      <c r="B191" s="683">
        <v>187</v>
      </c>
      <c r="C191" s="781" t="s">
        <v>1472</v>
      </c>
      <c r="D191" s="679">
        <v>806407</v>
      </c>
      <c r="E191" s="685">
        <v>40.73</v>
      </c>
      <c r="F191" s="685">
        <v>40.48</v>
      </c>
      <c r="G191" s="688">
        <v>0.019791</v>
      </c>
      <c r="H191" s="686">
        <v>0.020031</v>
      </c>
      <c r="I191" s="696">
        <v>1.76065</v>
      </c>
      <c r="J191" s="696">
        <v>1.76756</v>
      </c>
      <c r="K191" s="696">
        <v>1.77534</v>
      </c>
      <c r="L191" s="696">
        <v>1.78278</v>
      </c>
      <c r="M191" s="696">
        <v>1.78422</v>
      </c>
      <c r="N191" s="696">
        <v>1.78543</v>
      </c>
      <c r="O191" s="696">
        <v>1.79027</v>
      </c>
      <c r="P191" s="696">
        <v>1.79371</v>
      </c>
      <c r="Q191" s="697">
        <v>1.79694</v>
      </c>
      <c r="R191" s="697">
        <v>1.80022</v>
      </c>
      <c r="S191" s="697">
        <v>1.80114</v>
      </c>
      <c r="T191" s="701">
        <v>1.80201</v>
      </c>
      <c r="U191" s="697">
        <v>1.80592</v>
      </c>
      <c r="V191" s="697">
        <v>1.8061</v>
      </c>
      <c r="W191" s="697">
        <v>1.8108</v>
      </c>
      <c r="X191" s="697">
        <v>1.82002</v>
      </c>
      <c r="Y191" s="697">
        <v>1.82117</v>
      </c>
      <c r="Z191" s="697">
        <v>1.83126</v>
      </c>
      <c r="AA191" s="697">
        <v>1.84085</v>
      </c>
      <c r="AB191" s="697">
        <v>1.85784</v>
      </c>
      <c r="AC191" s="704">
        <v>3.17316178</v>
      </c>
      <c r="AD191" s="704">
        <v>-0.0145588429</v>
      </c>
      <c r="AE191" s="704">
        <v>0.0292758988</v>
      </c>
      <c r="AF191" s="704">
        <v>0.00120865059</v>
      </c>
      <c r="AG191" s="704">
        <v>-6.18358136e-5</v>
      </c>
      <c r="AH191" s="704">
        <v>5.88185791e-6</v>
      </c>
      <c r="AI191" s="709">
        <v>0.2971</v>
      </c>
      <c r="AJ191" s="709">
        <v>0.2375</v>
      </c>
      <c r="AK191" s="709">
        <v>0.5679</v>
      </c>
      <c r="AL191" s="709">
        <v>0.2476</v>
      </c>
      <c r="AM191" s="709">
        <v>0.2346</v>
      </c>
      <c r="AN191" s="709">
        <v>0.5037</v>
      </c>
      <c r="AO191" s="709">
        <v>-0.0018</v>
      </c>
      <c r="AP191" s="709">
        <v>-0.008</v>
      </c>
      <c r="AQ191" s="709">
        <v>0.0098</v>
      </c>
      <c r="AR191" s="709">
        <v>0.0046</v>
      </c>
      <c r="AS191" s="714">
        <v>5.4</v>
      </c>
      <c r="AT191" s="714">
        <v>5.6</v>
      </c>
      <c r="AU191" s="714">
        <v>5.8</v>
      </c>
      <c r="AV191" s="714">
        <v>6</v>
      </c>
      <c r="AW191" s="714">
        <v>6.2</v>
      </c>
      <c r="AX191" s="714">
        <v>6.4</v>
      </c>
      <c r="AY191" s="714">
        <v>6.5</v>
      </c>
      <c r="AZ191" s="714">
        <v>6.6</v>
      </c>
      <c r="BA191" s="714">
        <v>6.7</v>
      </c>
      <c r="BB191" s="714">
        <v>6.8</v>
      </c>
      <c r="BC191" s="714">
        <v>6.9</v>
      </c>
      <c r="BD191" s="714">
        <v>6.3</v>
      </c>
      <c r="BE191" s="714">
        <v>6.3</v>
      </c>
      <c r="BF191" s="714">
        <v>6.3</v>
      </c>
      <c r="BG191" s="714">
        <v>6.4</v>
      </c>
      <c r="BH191" s="714">
        <v>6.5</v>
      </c>
      <c r="BI191" s="714">
        <v>6.6</v>
      </c>
      <c r="BJ191" s="714">
        <v>6.7</v>
      </c>
      <c r="BK191" s="714">
        <v>6.8</v>
      </c>
      <c r="BL191" s="714">
        <v>7</v>
      </c>
      <c r="BM191" s="714">
        <v>7.1</v>
      </c>
      <c r="BN191" s="714">
        <v>7.1</v>
      </c>
      <c r="BO191" s="714">
        <v>6.5</v>
      </c>
      <c r="BP191" s="714">
        <v>6.6</v>
      </c>
      <c r="BQ191" s="714">
        <v>6.8</v>
      </c>
      <c r="BR191" s="714">
        <v>6.8</v>
      </c>
      <c r="BS191" s="714">
        <v>6.9</v>
      </c>
      <c r="BT191" s="714">
        <v>6.9</v>
      </c>
      <c r="BU191" s="714">
        <v>7</v>
      </c>
      <c r="BV191" s="714">
        <v>7.1</v>
      </c>
      <c r="BW191" s="714">
        <v>7.3</v>
      </c>
      <c r="BX191" s="714">
        <v>7.4</v>
      </c>
      <c r="BY191" s="714">
        <v>7.6</v>
      </c>
      <c r="BZ191" s="714">
        <v>6.6</v>
      </c>
      <c r="CA191" s="714">
        <v>6.7</v>
      </c>
      <c r="CB191" s="714">
        <v>6.8</v>
      </c>
      <c r="CC191" s="714">
        <v>6.9</v>
      </c>
      <c r="CD191" s="714">
        <v>6.9</v>
      </c>
      <c r="CE191" s="714">
        <v>7</v>
      </c>
      <c r="CF191" s="714">
        <v>7.1</v>
      </c>
      <c r="CG191" s="714">
        <v>7.3</v>
      </c>
      <c r="CH191" s="714">
        <v>7.4</v>
      </c>
      <c r="CI191" s="714">
        <v>7.5</v>
      </c>
      <c r="CJ191" s="714">
        <v>7.7</v>
      </c>
      <c r="CK191" s="714">
        <v>6.7</v>
      </c>
      <c r="CL191" s="714">
        <v>6.9</v>
      </c>
      <c r="CM191" s="714">
        <v>6.9</v>
      </c>
      <c r="CN191" s="714">
        <v>6.9</v>
      </c>
      <c r="CO191" s="714">
        <v>7</v>
      </c>
      <c r="CP191" s="714">
        <v>7.1</v>
      </c>
      <c r="CQ191" s="714">
        <v>7.3</v>
      </c>
      <c r="CR191" s="714">
        <v>7.4</v>
      </c>
      <c r="CS191" s="714">
        <v>7.5</v>
      </c>
      <c r="CT191" s="714">
        <v>7.7</v>
      </c>
      <c r="CU191" s="714">
        <v>7.9</v>
      </c>
      <c r="CV191" s="714">
        <v>7.3</v>
      </c>
      <c r="CW191" s="714">
        <v>7.4</v>
      </c>
      <c r="CX191" s="714">
        <v>7.5</v>
      </c>
      <c r="CY191" s="714">
        <v>7.5</v>
      </c>
      <c r="CZ191" s="714">
        <v>7.7</v>
      </c>
      <c r="DA191" s="714">
        <v>7.9</v>
      </c>
      <c r="DB191" s="714">
        <v>7.9</v>
      </c>
      <c r="DC191" s="714">
        <v>8.1</v>
      </c>
      <c r="DD191" s="714">
        <v>8.2</v>
      </c>
      <c r="DE191" s="714">
        <v>8.4</v>
      </c>
      <c r="DF191" s="714">
        <v>8.5</v>
      </c>
      <c r="DG191" s="714">
        <v>7.6</v>
      </c>
      <c r="DH191" s="714">
        <v>7.8</v>
      </c>
      <c r="DI191" s="714">
        <v>7.9</v>
      </c>
      <c r="DJ191" s="714">
        <v>8</v>
      </c>
      <c r="DK191" s="714">
        <v>8.1</v>
      </c>
      <c r="DL191" s="714">
        <v>8.1</v>
      </c>
      <c r="DM191" s="714">
        <v>8.1</v>
      </c>
      <c r="DN191" s="714">
        <v>8.4</v>
      </c>
      <c r="DO191" s="714">
        <v>8.6</v>
      </c>
      <c r="DP191" s="714">
        <v>8.7</v>
      </c>
      <c r="DQ191" s="714">
        <v>8.8</v>
      </c>
      <c r="DR191" s="714">
        <v>8</v>
      </c>
      <c r="DS191" s="714">
        <v>8.3</v>
      </c>
      <c r="DT191" s="714">
        <v>8.4</v>
      </c>
      <c r="DU191" s="714">
        <v>8.5</v>
      </c>
      <c r="DV191" s="714">
        <v>8.5</v>
      </c>
      <c r="DW191" s="714">
        <v>8.7</v>
      </c>
      <c r="DX191" s="714">
        <v>8.6</v>
      </c>
      <c r="DY191" s="714">
        <v>9</v>
      </c>
      <c r="DZ191" s="714">
        <v>9</v>
      </c>
      <c r="EA191" s="714">
        <v>9.1</v>
      </c>
      <c r="EB191" s="714">
        <v>9.3</v>
      </c>
      <c r="EC191" s="714">
        <v>8.2</v>
      </c>
      <c r="ED191" s="714">
        <v>8.4</v>
      </c>
      <c r="EE191" s="714">
        <v>8.5</v>
      </c>
      <c r="EF191" s="714">
        <v>8.6</v>
      </c>
      <c r="EG191" s="714">
        <v>8.6</v>
      </c>
      <c r="EH191" s="714">
        <v>8.8</v>
      </c>
      <c r="EI191" s="714">
        <v>8.8</v>
      </c>
      <c r="EJ191" s="714">
        <v>9.1</v>
      </c>
      <c r="EK191" s="714">
        <v>9.2</v>
      </c>
      <c r="EL191" s="714">
        <v>9.3</v>
      </c>
      <c r="EM191" s="714">
        <v>9.5</v>
      </c>
      <c r="EN191" s="714">
        <v>9.6</v>
      </c>
      <c r="EO191" s="714">
        <v>9.8</v>
      </c>
      <c r="EP191" s="714">
        <v>9.9</v>
      </c>
      <c r="EQ191" s="714">
        <v>9.9</v>
      </c>
      <c r="ER191" s="714">
        <v>9.9</v>
      </c>
      <c r="ES191" s="714">
        <v>10</v>
      </c>
      <c r="ET191" s="714">
        <v>10.2</v>
      </c>
      <c r="EU191" s="714">
        <v>10.4</v>
      </c>
      <c r="EV191" s="714">
        <v>10.5</v>
      </c>
      <c r="EW191" s="714">
        <v>10.7</v>
      </c>
      <c r="EX191" s="714">
        <v>10.9</v>
      </c>
      <c r="EY191" s="714">
        <v>3.8</v>
      </c>
      <c r="EZ191" s="714">
        <v>4.5</v>
      </c>
      <c r="FA191" s="714">
        <v>4.8</v>
      </c>
      <c r="FB191" s="714">
        <v>5.1</v>
      </c>
      <c r="FC191" s="714">
        <v>5.4</v>
      </c>
      <c r="FD191" s="714">
        <v>5.7</v>
      </c>
      <c r="FE191" s="714">
        <v>6.1</v>
      </c>
      <c r="FF191" s="714">
        <v>6.3</v>
      </c>
      <c r="FG191" s="714">
        <v>6.5</v>
      </c>
      <c r="FH191" s="714">
        <v>6.8</v>
      </c>
      <c r="FI191" s="714">
        <v>7.1</v>
      </c>
      <c r="FJ191" s="725">
        <v>6.51e-6</v>
      </c>
      <c r="FK191" s="725">
        <v>1.42e-8</v>
      </c>
      <c r="FL191" s="725">
        <v>-2.06e-11</v>
      </c>
      <c r="FM191" s="725">
        <v>6.7e-7</v>
      </c>
      <c r="FN191" s="725">
        <v>3.07e-11</v>
      </c>
      <c r="FO191" s="725">
        <v>0.284</v>
      </c>
      <c r="FP191" s="729">
        <v>1</v>
      </c>
      <c r="FQ191" s="729">
        <v>3</v>
      </c>
      <c r="FR191" s="729">
        <v>1</v>
      </c>
      <c r="FS191" s="729">
        <v>3</v>
      </c>
      <c r="FT191" s="729">
        <v>1</v>
      </c>
      <c r="FU191" s="729">
        <v>3</v>
      </c>
      <c r="FV191" s="681">
        <v>1</v>
      </c>
      <c r="FW191" s="729"/>
      <c r="FX191" s="729"/>
      <c r="FY191" s="729"/>
      <c r="FZ191" s="788">
        <v>546</v>
      </c>
      <c r="GA191" s="788">
        <v>580</v>
      </c>
      <c r="GB191" s="681">
        <v>519</v>
      </c>
      <c r="GC191" s="681">
        <v>538</v>
      </c>
      <c r="GD191" s="747">
        <v>0.87</v>
      </c>
      <c r="GE191" s="729"/>
      <c r="GF191" s="681">
        <v>59</v>
      </c>
      <c r="GG191" s="681">
        <v>75</v>
      </c>
      <c r="GH191" s="738">
        <v>52</v>
      </c>
      <c r="GI191" s="738">
        <v>55</v>
      </c>
      <c r="GJ191" s="738">
        <v>56</v>
      </c>
      <c r="GK191" s="738">
        <v>57</v>
      </c>
      <c r="GL191" s="738">
        <v>58</v>
      </c>
      <c r="GM191" s="738">
        <v>59</v>
      </c>
      <c r="GN191" s="738">
        <v>59</v>
      </c>
      <c r="GO191" s="738">
        <v>60</v>
      </c>
      <c r="GP191" s="738">
        <v>61</v>
      </c>
      <c r="GQ191" s="738">
        <v>61</v>
      </c>
      <c r="GR191" s="738">
        <v>62</v>
      </c>
      <c r="GS191" s="738">
        <v>63</v>
      </c>
      <c r="GT191" s="738">
        <v>64</v>
      </c>
      <c r="GU191" s="738">
        <v>66</v>
      </c>
      <c r="GV191" s="738">
        <v>67</v>
      </c>
      <c r="GW191" s="738">
        <v>68</v>
      </c>
      <c r="GX191" s="738">
        <v>68</v>
      </c>
      <c r="GY191" s="738">
        <v>69</v>
      </c>
      <c r="GZ191" s="738">
        <v>71</v>
      </c>
      <c r="HA191" s="738">
        <v>72</v>
      </c>
      <c r="HB191" s="738">
        <v>72</v>
      </c>
      <c r="HC191" s="681">
        <v>140</v>
      </c>
      <c r="HD191" s="681">
        <v>140</v>
      </c>
      <c r="HE191" s="681">
        <v>140</v>
      </c>
      <c r="HF191" s="681">
        <v>645</v>
      </c>
      <c r="HG191" s="681">
        <v>106</v>
      </c>
      <c r="HH191" s="714">
        <v>112.8</v>
      </c>
      <c r="HI191" s="714">
        <v>42</v>
      </c>
      <c r="HJ191" s="753">
        <v>0.342</v>
      </c>
      <c r="HK191" s="681">
        <v>73</v>
      </c>
      <c r="HL191" s="685">
        <v>2.23</v>
      </c>
      <c r="HM191" s="747">
        <v>4.43</v>
      </c>
      <c r="HN191" s="729" t="s">
        <v>1473</v>
      </c>
      <c r="HO191" s="729" t="s">
        <v>1474</v>
      </c>
      <c r="HP191" s="714">
        <v>0</v>
      </c>
      <c r="HQ191" s="753">
        <v>0.848</v>
      </c>
      <c r="HR191" s="753">
        <v>0.962</v>
      </c>
      <c r="HS191" s="753">
        <v>0.995</v>
      </c>
      <c r="HT191" s="753">
        <v>0.999</v>
      </c>
      <c r="HU191" s="753">
        <v>0.999</v>
      </c>
      <c r="HV191" s="753">
        <v>0.999</v>
      </c>
      <c r="HW191" s="753">
        <v>0.999</v>
      </c>
      <c r="HX191" s="753">
        <v>0.999</v>
      </c>
      <c r="HY191" s="753">
        <v>0.999</v>
      </c>
      <c r="HZ191" s="753">
        <v>0.999</v>
      </c>
      <c r="IA191" s="753">
        <v>0.999</v>
      </c>
      <c r="IB191" s="754">
        <v>0.999</v>
      </c>
      <c r="IC191" s="754">
        <v>0.999</v>
      </c>
      <c r="ID191" s="754">
        <v>0.999</v>
      </c>
      <c r="IE191" s="754">
        <v>0.999</v>
      </c>
      <c r="IF191" s="753">
        <v>0.999</v>
      </c>
      <c r="IG191" s="754">
        <v>0.999</v>
      </c>
      <c r="IH191" s="754">
        <v>0.999</v>
      </c>
      <c r="II191" s="754">
        <v>0.998</v>
      </c>
      <c r="IJ191" s="754">
        <v>0.996</v>
      </c>
      <c r="IK191" s="754">
        <v>0.994</v>
      </c>
      <c r="IL191" s="754">
        <v>0.992</v>
      </c>
      <c r="IM191" s="754">
        <v>0.988</v>
      </c>
      <c r="IN191" s="754">
        <v>0.982</v>
      </c>
      <c r="IO191" s="754">
        <v>0.975</v>
      </c>
      <c r="IP191" s="754">
        <v>0.963</v>
      </c>
      <c r="IQ191" s="754">
        <v>0.942</v>
      </c>
      <c r="IR191" s="754">
        <v>0.902</v>
      </c>
      <c r="IS191" s="754">
        <v>0.822</v>
      </c>
      <c r="IT191" s="754">
        <v>0.658</v>
      </c>
      <c r="IU191" s="754">
        <v>0.342</v>
      </c>
      <c r="IV191" s="754"/>
      <c r="IW191" s="754"/>
      <c r="IX191" s="753"/>
      <c r="IY191" s="753"/>
      <c r="IZ191" s="753"/>
      <c r="JA191" s="753">
        <v>0.719</v>
      </c>
      <c r="JB191" s="753">
        <v>0.925</v>
      </c>
      <c r="JC191" s="753">
        <v>0.99</v>
      </c>
      <c r="JD191" s="753">
        <v>0.998</v>
      </c>
      <c r="JE191" s="753">
        <v>0.998</v>
      </c>
      <c r="JF191" s="753">
        <v>0.998</v>
      </c>
      <c r="JG191" s="753">
        <v>0.998</v>
      </c>
      <c r="JH191" s="753">
        <v>0.998</v>
      </c>
      <c r="JI191" s="753">
        <v>0.998</v>
      </c>
      <c r="JJ191" s="753">
        <v>0.998</v>
      </c>
      <c r="JK191" s="753">
        <v>0.998</v>
      </c>
      <c r="JL191" s="754">
        <v>0.998</v>
      </c>
      <c r="JM191" s="754">
        <v>0.998</v>
      </c>
      <c r="JN191" s="754">
        <v>0.998</v>
      </c>
      <c r="JO191" s="754">
        <v>0.998</v>
      </c>
      <c r="JP191" s="754">
        <v>0.998</v>
      </c>
      <c r="JQ191" s="754">
        <v>0.998</v>
      </c>
      <c r="JR191" s="754">
        <v>0.998</v>
      </c>
      <c r="JS191" s="754">
        <v>0.995</v>
      </c>
      <c r="JT191" s="754">
        <v>0.992</v>
      </c>
      <c r="JU191" s="754">
        <v>0.988</v>
      </c>
      <c r="JV191" s="754">
        <v>0.983</v>
      </c>
      <c r="JW191" s="754">
        <v>0.976</v>
      </c>
      <c r="JX191" s="754">
        <v>0.963</v>
      </c>
      <c r="JY191" s="754">
        <v>0.949</v>
      </c>
      <c r="JZ191" s="754">
        <v>0.928</v>
      </c>
      <c r="KA191" s="754">
        <v>0.888</v>
      </c>
      <c r="KB191" s="754">
        <v>0.818</v>
      </c>
      <c r="KC191" s="754">
        <v>0.683</v>
      </c>
      <c r="KD191" s="754">
        <v>0.433</v>
      </c>
      <c r="KE191" s="754">
        <v>0.118</v>
      </c>
      <c r="KF191" s="754"/>
      <c r="KG191" s="754"/>
      <c r="KH191" s="753"/>
      <c r="KI191" s="753"/>
      <c r="KJ191" s="753"/>
      <c r="KK191" s="765" t="s">
        <v>1349</v>
      </c>
      <c r="KL191" s="738">
        <v>148</v>
      </c>
      <c r="KM191" s="738">
        <v>656</v>
      </c>
      <c r="KN191" s="646" t="s">
        <v>282</v>
      </c>
      <c r="KO191" s="646" t="s">
        <v>1472</v>
      </c>
      <c r="KP191" s="679">
        <v>806407</v>
      </c>
      <c r="KQ191" s="789" t="s">
        <v>1475</v>
      </c>
      <c r="KR191" s="750" t="s">
        <v>1138</v>
      </c>
      <c r="KS191" s="789" t="s">
        <v>1476</v>
      </c>
      <c r="KT191" s="770" t="s">
        <v>1477</v>
      </c>
      <c r="KU191" s="789" t="s">
        <v>1478</v>
      </c>
      <c r="KV191" s="750">
        <v>806407</v>
      </c>
      <c r="KW191" s="771"/>
      <c r="KX191" s="750"/>
      <c r="KY191" s="789"/>
      <c r="KZ191" s="770"/>
    </row>
    <row r="192" s="628" customFormat="1" customHeight="1" spans="1:312">
      <c r="A192" s="682" t="s">
        <v>300</v>
      </c>
      <c r="B192" s="683">
        <v>188</v>
      </c>
      <c r="C192" s="781" t="s">
        <v>1479</v>
      </c>
      <c r="D192" s="679">
        <v>810410</v>
      </c>
      <c r="E192" s="685">
        <v>41</v>
      </c>
      <c r="F192" s="685">
        <v>40.8</v>
      </c>
      <c r="G192" s="688">
        <v>0.019758</v>
      </c>
      <c r="H192" s="686">
        <v>0.01997</v>
      </c>
      <c r="I192" s="696">
        <v>1.76475</v>
      </c>
      <c r="J192" s="696">
        <v>1.77159</v>
      </c>
      <c r="K192" s="696">
        <v>1.7793</v>
      </c>
      <c r="L192" s="696">
        <v>1.78671</v>
      </c>
      <c r="M192" s="696">
        <v>1.78814</v>
      </c>
      <c r="N192" s="696">
        <v>1.78935</v>
      </c>
      <c r="O192" s="696">
        <v>1.79418</v>
      </c>
      <c r="P192" s="696">
        <v>1.79762</v>
      </c>
      <c r="Q192" s="697">
        <v>1.80084</v>
      </c>
      <c r="R192" s="697">
        <v>1.80411</v>
      </c>
      <c r="S192" s="697">
        <v>1.80505</v>
      </c>
      <c r="T192" s="701">
        <v>1.80591</v>
      </c>
      <c r="U192" s="697">
        <v>1.80982</v>
      </c>
      <c r="V192" s="697">
        <v>1.81</v>
      </c>
      <c r="W192" s="697">
        <v>1.81469</v>
      </c>
      <c r="X192" s="697">
        <v>1.82387</v>
      </c>
      <c r="Y192" s="697">
        <v>1.82502</v>
      </c>
      <c r="Z192" s="697">
        <v>1.83508</v>
      </c>
      <c r="AA192" s="697">
        <v>1.84465</v>
      </c>
      <c r="AB192" s="697">
        <v>1.8616</v>
      </c>
      <c r="AC192" s="704">
        <v>3.18681101</v>
      </c>
      <c r="AD192" s="705">
        <v>-0.014419192</v>
      </c>
      <c r="AE192" s="705">
        <v>0.0295460135</v>
      </c>
      <c r="AF192" s="705">
        <v>0.00115252022</v>
      </c>
      <c r="AG192" s="705">
        <v>-5.90862778e-5</v>
      </c>
      <c r="AH192" s="705">
        <v>5.97442323e-6</v>
      </c>
      <c r="AI192" s="709">
        <v>0.2981</v>
      </c>
      <c r="AJ192" s="709">
        <v>0.2374</v>
      </c>
      <c r="AK192" s="709">
        <v>0.5674</v>
      </c>
      <c r="AL192" s="709">
        <v>0.2479</v>
      </c>
      <c r="AM192" s="709">
        <v>0.2349</v>
      </c>
      <c r="AN192" s="709">
        <v>0.5038</v>
      </c>
      <c r="AO192" s="709">
        <v>-0.0029</v>
      </c>
      <c r="AP192" s="709">
        <v>-0.0081</v>
      </c>
      <c r="AQ192" s="709">
        <v>0.0083</v>
      </c>
      <c r="AR192" s="709">
        <v>0.0038</v>
      </c>
      <c r="AS192" s="714">
        <v>5.1</v>
      </c>
      <c r="AT192" s="714">
        <v>5.6</v>
      </c>
      <c r="AU192" s="714">
        <v>6</v>
      </c>
      <c r="AV192" s="714">
        <v>6.5</v>
      </c>
      <c r="AW192" s="714">
        <v>6.7</v>
      </c>
      <c r="AX192" s="714">
        <v>7</v>
      </c>
      <c r="AY192" s="714">
        <v>7.2</v>
      </c>
      <c r="AZ192" s="714">
        <v>7.4</v>
      </c>
      <c r="BA192" s="714">
        <v>7.7</v>
      </c>
      <c r="BB192" s="714">
        <v>8</v>
      </c>
      <c r="BC192" s="714">
        <v>8.3</v>
      </c>
      <c r="BD192" s="714">
        <v>5.6</v>
      </c>
      <c r="BE192" s="714">
        <v>6.2</v>
      </c>
      <c r="BF192" s="714">
        <v>6.7</v>
      </c>
      <c r="BG192" s="714">
        <v>7.2</v>
      </c>
      <c r="BH192" s="714">
        <v>7.5</v>
      </c>
      <c r="BI192" s="714">
        <v>7.8</v>
      </c>
      <c r="BJ192" s="714">
        <v>8</v>
      </c>
      <c r="BK192" s="714">
        <v>8.2</v>
      </c>
      <c r="BL192" s="714">
        <v>8.3</v>
      </c>
      <c r="BM192" s="714">
        <v>8.4</v>
      </c>
      <c r="BN192" s="714">
        <v>8.6</v>
      </c>
      <c r="BO192" s="714">
        <v>6.7</v>
      </c>
      <c r="BP192" s="714">
        <v>7.1</v>
      </c>
      <c r="BQ192" s="714">
        <v>7.4</v>
      </c>
      <c r="BR192" s="714">
        <v>7.6</v>
      </c>
      <c r="BS192" s="714">
        <v>7.8</v>
      </c>
      <c r="BT192" s="714">
        <v>8</v>
      </c>
      <c r="BU192" s="714">
        <v>8.2</v>
      </c>
      <c r="BV192" s="714">
        <v>8.4</v>
      </c>
      <c r="BW192" s="714">
        <v>8.5</v>
      </c>
      <c r="BX192" s="714">
        <v>8.6</v>
      </c>
      <c r="BY192" s="714">
        <v>8.6</v>
      </c>
      <c r="BZ192" s="714">
        <v>6.9</v>
      </c>
      <c r="CA192" s="714">
        <v>7.2</v>
      </c>
      <c r="CB192" s="714">
        <v>7.6</v>
      </c>
      <c r="CC192" s="714">
        <v>7.9</v>
      </c>
      <c r="CD192" s="714">
        <v>8.1</v>
      </c>
      <c r="CE192" s="714">
        <v>8.2</v>
      </c>
      <c r="CF192" s="714">
        <v>8.3</v>
      </c>
      <c r="CG192" s="714">
        <v>8.4</v>
      </c>
      <c r="CH192" s="714">
        <v>8.5</v>
      </c>
      <c r="CI192" s="714">
        <v>8.6</v>
      </c>
      <c r="CJ192" s="714">
        <v>8.6</v>
      </c>
      <c r="CK192" s="714">
        <v>7</v>
      </c>
      <c r="CL192" s="714">
        <v>7.3</v>
      </c>
      <c r="CM192" s="714">
        <v>7.8</v>
      </c>
      <c r="CN192" s="714">
        <v>8.2</v>
      </c>
      <c r="CO192" s="714">
        <v>8.2</v>
      </c>
      <c r="CP192" s="714">
        <v>8.4</v>
      </c>
      <c r="CQ192" s="714">
        <v>8.4</v>
      </c>
      <c r="CR192" s="714">
        <v>8.6</v>
      </c>
      <c r="CS192" s="714">
        <v>8.7</v>
      </c>
      <c r="CT192" s="714">
        <v>8.9</v>
      </c>
      <c r="CU192" s="714">
        <v>9.2</v>
      </c>
      <c r="CV192" s="714">
        <v>7.2</v>
      </c>
      <c r="CW192" s="714">
        <v>7.6</v>
      </c>
      <c r="CX192" s="714">
        <v>8</v>
      </c>
      <c r="CY192" s="714">
        <v>8.3</v>
      </c>
      <c r="CZ192" s="714">
        <v>8.6</v>
      </c>
      <c r="DA192" s="714">
        <v>8.8</v>
      </c>
      <c r="DB192" s="714">
        <v>9</v>
      </c>
      <c r="DC192" s="714">
        <v>9.2</v>
      </c>
      <c r="DD192" s="714">
        <v>9.3</v>
      </c>
      <c r="DE192" s="714">
        <v>9.3</v>
      </c>
      <c r="DF192" s="714">
        <v>9.4</v>
      </c>
      <c r="DG192" s="714">
        <v>7.9</v>
      </c>
      <c r="DH192" s="714">
        <v>8.3</v>
      </c>
      <c r="DI192" s="714">
        <v>8.6</v>
      </c>
      <c r="DJ192" s="714">
        <v>8.8</v>
      </c>
      <c r="DK192" s="714">
        <v>8.9</v>
      </c>
      <c r="DL192" s="714">
        <v>9</v>
      </c>
      <c r="DM192" s="714">
        <v>9.2</v>
      </c>
      <c r="DN192" s="714">
        <v>9.4</v>
      </c>
      <c r="DO192" s="714">
        <v>9.6</v>
      </c>
      <c r="DP192" s="714">
        <v>9.7</v>
      </c>
      <c r="DQ192" s="714">
        <v>9.8</v>
      </c>
      <c r="DR192" s="714">
        <v>9.7</v>
      </c>
      <c r="DS192" s="714">
        <v>10.1</v>
      </c>
      <c r="DT192" s="714">
        <v>10.4</v>
      </c>
      <c r="DU192" s="714">
        <v>10.6</v>
      </c>
      <c r="DV192" s="714">
        <v>10.8</v>
      </c>
      <c r="DW192" s="714">
        <v>11</v>
      </c>
      <c r="DX192" s="714">
        <v>11.2</v>
      </c>
      <c r="DY192" s="714">
        <v>11.4</v>
      </c>
      <c r="DZ192" s="714">
        <v>11.5</v>
      </c>
      <c r="EA192" s="714">
        <v>11.6</v>
      </c>
      <c r="EB192" s="714">
        <v>11.7</v>
      </c>
      <c r="EC192" s="714">
        <v>9.8</v>
      </c>
      <c r="ED192" s="714">
        <v>10.1</v>
      </c>
      <c r="EE192" s="714">
        <v>10.6</v>
      </c>
      <c r="EF192" s="714">
        <v>10.8</v>
      </c>
      <c r="EG192" s="714">
        <v>11</v>
      </c>
      <c r="EH192" s="714">
        <v>11.2</v>
      </c>
      <c r="EI192" s="714">
        <v>11.4</v>
      </c>
      <c r="EJ192" s="714">
        <v>11.5</v>
      </c>
      <c r="EK192" s="714">
        <v>11.6</v>
      </c>
      <c r="EL192" s="714">
        <v>11.7</v>
      </c>
      <c r="EM192" s="714">
        <v>11.9</v>
      </c>
      <c r="EN192" s="714">
        <v>11.2</v>
      </c>
      <c r="EO192" s="714">
        <v>11.6</v>
      </c>
      <c r="EP192" s="714">
        <v>12</v>
      </c>
      <c r="EQ192" s="714">
        <v>12.3</v>
      </c>
      <c r="ER192" s="714">
        <v>12.5</v>
      </c>
      <c r="ES192" s="714">
        <v>12.7</v>
      </c>
      <c r="ET192" s="714">
        <v>12.9</v>
      </c>
      <c r="EU192" s="714">
        <v>12.9</v>
      </c>
      <c r="EV192" s="714">
        <v>13</v>
      </c>
      <c r="EW192" s="714">
        <v>13.1</v>
      </c>
      <c r="EX192" s="714">
        <v>13.2</v>
      </c>
      <c r="EY192" s="714">
        <v>4.1</v>
      </c>
      <c r="EZ192" s="714">
        <v>4.9</v>
      </c>
      <c r="FA192" s="714">
        <v>5.7</v>
      </c>
      <c r="FB192" s="714">
        <v>6.4</v>
      </c>
      <c r="FC192" s="714">
        <v>6.6</v>
      </c>
      <c r="FD192" s="714">
        <v>7</v>
      </c>
      <c r="FE192" s="714">
        <v>7.2</v>
      </c>
      <c r="FF192" s="714">
        <v>7.5</v>
      </c>
      <c r="FG192" s="714">
        <v>7.7</v>
      </c>
      <c r="FH192" s="714">
        <v>8</v>
      </c>
      <c r="FI192" s="714">
        <v>8.4</v>
      </c>
      <c r="FJ192" s="725">
        <v>6.96e-6</v>
      </c>
      <c r="FK192" s="725">
        <v>2.21e-8</v>
      </c>
      <c r="FL192" s="725">
        <v>-4.66e-11</v>
      </c>
      <c r="FM192" s="725">
        <v>9.87e-7</v>
      </c>
      <c r="FN192" s="725">
        <v>-3.77e-10</v>
      </c>
      <c r="FO192" s="725">
        <v>0.298</v>
      </c>
      <c r="FP192" s="729">
        <v>1</v>
      </c>
      <c r="FQ192" s="729">
        <v>3</v>
      </c>
      <c r="FR192" s="729">
        <v>1</v>
      </c>
      <c r="FS192" s="729">
        <v>3</v>
      </c>
      <c r="FT192" s="729">
        <v>1</v>
      </c>
      <c r="FU192" s="729">
        <v>2</v>
      </c>
      <c r="FV192" s="681">
        <v>1</v>
      </c>
      <c r="FW192" s="729"/>
      <c r="FX192" s="729"/>
      <c r="FY192" s="729"/>
      <c r="FZ192" s="788">
        <v>548</v>
      </c>
      <c r="GA192" s="788">
        <v>578</v>
      </c>
      <c r="GB192" s="681">
        <v>510</v>
      </c>
      <c r="GC192" s="681">
        <v>529</v>
      </c>
      <c r="GD192" s="747">
        <v>0.98</v>
      </c>
      <c r="GE192" s="729"/>
      <c r="GF192" s="681">
        <v>60</v>
      </c>
      <c r="GG192" s="681">
        <v>79</v>
      </c>
      <c r="GH192" s="681">
        <v>51</v>
      </c>
      <c r="GI192" s="681">
        <v>54</v>
      </c>
      <c r="GJ192" s="681">
        <v>56</v>
      </c>
      <c r="GK192" s="681">
        <v>58</v>
      </c>
      <c r="GL192" s="681">
        <v>59</v>
      </c>
      <c r="GM192" s="681">
        <v>60</v>
      </c>
      <c r="GN192" s="681">
        <v>61</v>
      </c>
      <c r="GO192" s="681">
        <v>62</v>
      </c>
      <c r="GP192" s="681">
        <v>63</v>
      </c>
      <c r="GQ192" s="681">
        <v>64</v>
      </c>
      <c r="GR192" s="681">
        <v>64</v>
      </c>
      <c r="GS192" s="681">
        <v>64</v>
      </c>
      <c r="GT192" s="681">
        <v>65</v>
      </c>
      <c r="GU192" s="681">
        <v>66</v>
      </c>
      <c r="GV192" s="681">
        <v>67</v>
      </c>
      <c r="GW192" s="681">
        <v>68</v>
      </c>
      <c r="GX192" s="681">
        <v>69</v>
      </c>
      <c r="GY192" s="681">
        <v>70</v>
      </c>
      <c r="GZ192" s="681">
        <v>71</v>
      </c>
      <c r="HA192" s="681">
        <v>72</v>
      </c>
      <c r="HB192" s="681">
        <v>73</v>
      </c>
      <c r="HC192" s="681">
        <v>140</v>
      </c>
      <c r="HD192" s="750">
        <v>140</v>
      </c>
      <c r="HE192" s="681">
        <v>140</v>
      </c>
      <c r="HF192" s="681">
        <v>625</v>
      </c>
      <c r="HG192" s="681">
        <v>91</v>
      </c>
      <c r="HH192" s="714">
        <v>114.4</v>
      </c>
      <c r="HI192" s="714">
        <v>42.6</v>
      </c>
      <c r="HJ192" s="753">
        <v>0.343</v>
      </c>
      <c r="HK192" s="681">
        <v>81</v>
      </c>
      <c r="HL192" s="685">
        <v>2.17</v>
      </c>
      <c r="HM192" s="747">
        <v>4.47</v>
      </c>
      <c r="HN192" s="729" t="s">
        <v>1473</v>
      </c>
      <c r="HO192" s="729" t="s">
        <v>1480</v>
      </c>
      <c r="HP192" s="714">
        <v>-0.6</v>
      </c>
      <c r="HQ192" s="753">
        <v>0.85</v>
      </c>
      <c r="HR192" s="753">
        <v>0.956</v>
      </c>
      <c r="HS192" s="753">
        <v>0.975</v>
      </c>
      <c r="HT192" s="753">
        <v>0.988</v>
      </c>
      <c r="HU192" s="753">
        <v>0.999</v>
      </c>
      <c r="HV192" s="753">
        <v>0.999</v>
      </c>
      <c r="HW192" s="753">
        <v>0.999</v>
      </c>
      <c r="HX192" s="753">
        <v>0.999</v>
      </c>
      <c r="HY192" s="753">
        <v>0.999</v>
      </c>
      <c r="HZ192" s="753">
        <v>0.999</v>
      </c>
      <c r="IA192" s="753">
        <v>0.999</v>
      </c>
      <c r="IB192" s="754">
        <v>0.999</v>
      </c>
      <c r="IC192" s="754">
        <v>0.999</v>
      </c>
      <c r="ID192" s="754">
        <v>0.999</v>
      </c>
      <c r="IE192" s="754">
        <v>0.999</v>
      </c>
      <c r="IF192" s="753">
        <v>0.999</v>
      </c>
      <c r="IG192" s="754">
        <v>0.999</v>
      </c>
      <c r="IH192" s="754">
        <v>0.999</v>
      </c>
      <c r="II192" s="754">
        <v>0.998</v>
      </c>
      <c r="IJ192" s="754">
        <v>0.996</v>
      </c>
      <c r="IK192" s="754">
        <v>0.994</v>
      </c>
      <c r="IL192" s="754">
        <v>0.992</v>
      </c>
      <c r="IM192" s="754">
        <v>0.99</v>
      </c>
      <c r="IN192" s="754">
        <v>0.982</v>
      </c>
      <c r="IO192" s="754">
        <v>0.975</v>
      </c>
      <c r="IP192" s="754">
        <v>0.963</v>
      </c>
      <c r="IQ192" s="754">
        <v>0.94</v>
      </c>
      <c r="IR192" s="754">
        <v>0.894</v>
      </c>
      <c r="IS192" s="754">
        <v>0.816</v>
      </c>
      <c r="IT192" s="754">
        <v>0.646</v>
      </c>
      <c r="IU192" s="754">
        <v>0.32</v>
      </c>
      <c r="IV192" s="754"/>
      <c r="IW192" s="754"/>
      <c r="IX192" s="753"/>
      <c r="IY192" s="753"/>
      <c r="IZ192" s="753"/>
      <c r="JA192" s="753">
        <v>0.723</v>
      </c>
      <c r="JB192" s="753">
        <v>0.914</v>
      </c>
      <c r="JC192" s="753">
        <v>0.951</v>
      </c>
      <c r="JD192" s="753">
        <v>0.976</v>
      </c>
      <c r="JE192" s="753">
        <v>0.998</v>
      </c>
      <c r="JF192" s="753">
        <v>0.998</v>
      </c>
      <c r="JG192" s="753">
        <v>0.998</v>
      </c>
      <c r="JH192" s="753">
        <v>0.998</v>
      </c>
      <c r="JI192" s="753">
        <v>0.998</v>
      </c>
      <c r="JJ192" s="753">
        <v>0.998</v>
      </c>
      <c r="JK192" s="753">
        <v>0.998</v>
      </c>
      <c r="JL192" s="754">
        <v>0.998</v>
      </c>
      <c r="JM192" s="754">
        <v>0.998</v>
      </c>
      <c r="JN192" s="754">
        <v>0.998</v>
      </c>
      <c r="JO192" s="754">
        <v>0.998</v>
      </c>
      <c r="JP192" s="754">
        <v>0.998</v>
      </c>
      <c r="JQ192" s="754">
        <v>0.997</v>
      </c>
      <c r="JR192" s="754">
        <v>0.997</v>
      </c>
      <c r="JS192" s="754">
        <v>0.996</v>
      </c>
      <c r="JT192" s="754">
        <v>0.996</v>
      </c>
      <c r="JU192" s="754">
        <v>0.993</v>
      </c>
      <c r="JV192" s="754">
        <v>0.988</v>
      </c>
      <c r="JW192" s="754">
        <v>0.974</v>
      </c>
      <c r="JX192" s="754">
        <v>0.959</v>
      </c>
      <c r="JY192" s="754">
        <v>0.944</v>
      </c>
      <c r="JZ192" s="754">
        <v>0.919</v>
      </c>
      <c r="KA192" s="754">
        <v>0.876</v>
      </c>
      <c r="KB192" s="754">
        <v>0.795</v>
      </c>
      <c r="KC192" s="754">
        <v>0.662</v>
      </c>
      <c r="KD192" s="754">
        <v>0.415</v>
      </c>
      <c r="KE192" s="754">
        <v>0.103</v>
      </c>
      <c r="KF192" s="754"/>
      <c r="KG192" s="754"/>
      <c r="KH192" s="753"/>
      <c r="KI192" s="753"/>
      <c r="KJ192" s="753"/>
      <c r="KK192" s="765" t="s">
        <v>1349</v>
      </c>
      <c r="KL192" s="738">
        <v>148</v>
      </c>
      <c r="KM192" s="738">
        <v>662</v>
      </c>
      <c r="KN192" s="646" t="s">
        <v>282</v>
      </c>
      <c r="KO192" s="646" t="s">
        <v>1479</v>
      </c>
      <c r="KP192" s="679">
        <v>810410</v>
      </c>
      <c r="KQ192" s="789" t="s">
        <v>1481</v>
      </c>
      <c r="KR192" s="750" t="s">
        <v>1138</v>
      </c>
      <c r="KS192" s="789" t="s">
        <v>1482</v>
      </c>
      <c r="KT192" s="770" t="s">
        <v>1483</v>
      </c>
      <c r="KU192" s="789" t="s">
        <v>1484</v>
      </c>
      <c r="KV192" s="750">
        <v>806407</v>
      </c>
      <c r="KW192" s="771" t="s">
        <v>1485</v>
      </c>
      <c r="KX192" s="750" t="s">
        <v>1486</v>
      </c>
      <c r="KY192" s="789" t="s">
        <v>1487</v>
      </c>
      <c r="KZ192" s="770" t="s">
        <v>1488</v>
      </c>
    </row>
    <row r="193" s="628" customFormat="1" customHeight="1" spans="1:312">
      <c r="A193" s="682" t="s">
        <v>300</v>
      </c>
      <c r="B193" s="683">
        <v>189</v>
      </c>
      <c r="C193" s="781" t="s">
        <v>1489</v>
      </c>
      <c r="D193" s="679">
        <v>808409</v>
      </c>
      <c r="E193" s="685">
        <v>40.92</v>
      </c>
      <c r="F193" s="685">
        <v>40.67</v>
      </c>
      <c r="G193" s="688">
        <v>0.019753</v>
      </c>
      <c r="H193" s="686">
        <v>0.019992</v>
      </c>
      <c r="I193" s="696">
        <v>1.76315</v>
      </c>
      <c r="J193" s="696">
        <v>1.77</v>
      </c>
      <c r="K193" s="696">
        <v>1.77771</v>
      </c>
      <c r="L193" s="696">
        <v>1.78511</v>
      </c>
      <c r="M193" s="696">
        <v>1.78654</v>
      </c>
      <c r="N193" s="696">
        <v>1.78774</v>
      </c>
      <c r="O193" s="696">
        <v>1.79256</v>
      </c>
      <c r="P193" s="696">
        <v>1.79599</v>
      </c>
      <c r="Q193" s="697">
        <v>1.79921</v>
      </c>
      <c r="R193" s="697">
        <v>1.80247</v>
      </c>
      <c r="S193" s="697">
        <v>1.8034</v>
      </c>
      <c r="T193" s="701">
        <v>1.80427</v>
      </c>
      <c r="U193" s="697">
        <v>1.80817</v>
      </c>
      <c r="V193" s="697">
        <v>1.80834</v>
      </c>
      <c r="W193" s="697">
        <v>1.81303</v>
      </c>
      <c r="X193" s="697">
        <v>1.82223</v>
      </c>
      <c r="Y193" s="697">
        <v>1.82339</v>
      </c>
      <c r="Z193" s="697">
        <v>1.83343</v>
      </c>
      <c r="AA193" s="697">
        <v>1.84298</v>
      </c>
      <c r="AB193" s="697">
        <v>1.85982</v>
      </c>
      <c r="AC193" s="704">
        <v>3.18131839</v>
      </c>
      <c r="AD193" s="705">
        <v>-0.0144359617</v>
      </c>
      <c r="AE193" s="705">
        <v>0.0292512247</v>
      </c>
      <c r="AF193" s="705">
        <v>0.00119876602</v>
      </c>
      <c r="AG193" s="705">
        <v>-5.70803235e-5</v>
      </c>
      <c r="AH193" s="705">
        <v>5.2304029e-6</v>
      </c>
      <c r="AI193" s="709">
        <v>0.2972</v>
      </c>
      <c r="AJ193" s="709">
        <v>0.2374</v>
      </c>
      <c r="AK193" s="709">
        <v>0.567</v>
      </c>
      <c r="AL193" s="709">
        <v>0.2471</v>
      </c>
      <c r="AM193" s="709">
        <v>0.2346</v>
      </c>
      <c r="AN193" s="709">
        <v>0.5022</v>
      </c>
      <c r="AO193" s="709">
        <v>-0.0019</v>
      </c>
      <c r="AP193" s="709">
        <v>-0.0086</v>
      </c>
      <c r="AQ193" s="709">
        <v>0.0073</v>
      </c>
      <c r="AR193" s="709">
        <v>0.0031</v>
      </c>
      <c r="AS193" s="714">
        <v>5.9</v>
      </c>
      <c r="AT193" s="714">
        <v>5.9</v>
      </c>
      <c r="AU193" s="714">
        <v>5.9</v>
      </c>
      <c r="AV193" s="714">
        <v>6</v>
      </c>
      <c r="AW193" s="714">
        <v>6</v>
      </c>
      <c r="AX193" s="714">
        <v>6.2</v>
      </c>
      <c r="AY193" s="714">
        <v>6.3</v>
      </c>
      <c r="AZ193" s="714">
        <v>6.5</v>
      </c>
      <c r="BA193" s="714">
        <v>6.5</v>
      </c>
      <c r="BB193" s="714">
        <v>6.7</v>
      </c>
      <c r="BC193" s="714">
        <v>6.7</v>
      </c>
      <c r="BD193" s="714">
        <v>6.9</v>
      </c>
      <c r="BE193" s="714">
        <v>7</v>
      </c>
      <c r="BF193" s="714">
        <v>7.2</v>
      </c>
      <c r="BG193" s="714">
        <v>7.2</v>
      </c>
      <c r="BH193" s="714">
        <v>7.3</v>
      </c>
      <c r="BI193" s="714">
        <v>7.5</v>
      </c>
      <c r="BJ193" s="714">
        <v>7.6</v>
      </c>
      <c r="BK193" s="714">
        <v>7.8</v>
      </c>
      <c r="BL193" s="714">
        <v>7.9</v>
      </c>
      <c r="BM193" s="714">
        <v>8.1</v>
      </c>
      <c r="BN193" s="714">
        <v>8.2</v>
      </c>
      <c r="BO193" s="714">
        <v>6.7</v>
      </c>
      <c r="BP193" s="714">
        <v>7.1</v>
      </c>
      <c r="BQ193" s="714">
        <v>7.4</v>
      </c>
      <c r="BR193" s="714">
        <v>7.6</v>
      </c>
      <c r="BS193" s="714">
        <v>7.8</v>
      </c>
      <c r="BT193" s="714">
        <v>8</v>
      </c>
      <c r="BU193" s="714">
        <v>8.2</v>
      </c>
      <c r="BV193" s="714">
        <v>8.4</v>
      </c>
      <c r="BW193" s="714">
        <v>8.5</v>
      </c>
      <c r="BX193" s="714">
        <v>8.6</v>
      </c>
      <c r="BY193" s="714">
        <v>8.6</v>
      </c>
      <c r="BZ193" s="714">
        <v>6.9</v>
      </c>
      <c r="CA193" s="714">
        <v>7.2</v>
      </c>
      <c r="CB193" s="714">
        <v>7.6</v>
      </c>
      <c r="CC193" s="714">
        <v>7.9</v>
      </c>
      <c r="CD193" s="714">
        <v>8.1</v>
      </c>
      <c r="CE193" s="714">
        <v>8.2</v>
      </c>
      <c r="CF193" s="714">
        <v>8.3</v>
      </c>
      <c r="CG193" s="714">
        <v>8.4</v>
      </c>
      <c r="CH193" s="714">
        <v>8.5</v>
      </c>
      <c r="CI193" s="714">
        <v>8.6</v>
      </c>
      <c r="CJ193" s="714">
        <v>8.6</v>
      </c>
      <c r="CK193" s="714">
        <v>7</v>
      </c>
      <c r="CL193" s="714">
        <v>7.3</v>
      </c>
      <c r="CM193" s="714">
        <v>7.8</v>
      </c>
      <c r="CN193" s="714">
        <v>8.2</v>
      </c>
      <c r="CO193" s="714">
        <v>8.2</v>
      </c>
      <c r="CP193" s="714">
        <v>8.4</v>
      </c>
      <c r="CQ193" s="714">
        <v>8.4</v>
      </c>
      <c r="CR193" s="714">
        <v>8.6</v>
      </c>
      <c r="CS193" s="714">
        <v>8.7</v>
      </c>
      <c r="CT193" s="714">
        <v>8.9</v>
      </c>
      <c r="CU193" s="714">
        <v>9.2</v>
      </c>
      <c r="CV193" s="714">
        <v>7.2</v>
      </c>
      <c r="CW193" s="714">
        <v>7.6</v>
      </c>
      <c r="CX193" s="714">
        <v>8</v>
      </c>
      <c r="CY193" s="714">
        <v>8.3</v>
      </c>
      <c r="CZ193" s="714">
        <v>8.6</v>
      </c>
      <c r="DA193" s="714">
        <v>8.8</v>
      </c>
      <c r="DB193" s="714">
        <v>9</v>
      </c>
      <c r="DC193" s="714">
        <v>9.2</v>
      </c>
      <c r="DD193" s="714">
        <v>9.3</v>
      </c>
      <c r="DE193" s="714">
        <v>9.3</v>
      </c>
      <c r="DF193" s="714">
        <v>9.4</v>
      </c>
      <c r="DG193" s="714">
        <v>7.9</v>
      </c>
      <c r="DH193" s="714">
        <v>8.3</v>
      </c>
      <c r="DI193" s="714">
        <v>8.6</v>
      </c>
      <c r="DJ193" s="714">
        <v>8.8</v>
      </c>
      <c r="DK193" s="714">
        <v>8.9</v>
      </c>
      <c r="DL193" s="714">
        <v>9</v>
      </c>
      <c r="DM193" s="714">
        <v>9.2</v>
      </c>
      <c r="DN193" s="714">
        <v>9.4</v>
      </c>
      <c r="DO193" s="714">
        <v>9.6</v>
      </c>
      <c r="DP193" s="714">
        <v>9.7</v>
      </c>
      <c r="DQ193" s="714">
        <v>9.8</v>
      </c>
      <c r="DR193" s="714">
        <v>9.7</v>
      </c>
      <c r="DS193" s="714">
        <v>10.1</v>
      </c>
      <c r="DT193" s="714">
        <v>10.4</v>
      </c>
      <c r="DU193" s="714">
        <v>10.6</v>
      </c>
      <c r="DV193" s="714">
        <v>10.8</v>
      </c>
      <c r="DW193" s="714">
        <v>11</v>
      </c>
      <c r="DX193" s="714">
        <v>11.2</v>
      </c>
      <c r="DY193" s="714">
        <v>11.4</v>
      </c>
      <c r="DZ193" s="714">
        <v>11.5</v>
      </c>
      <c r="EA193" s="714">
        <v>11.6</v>
      </c>
      <c r="EB193" s="714">
        <v>11.7</v>
      </c>
      <c r="EC193" s="714">
        <v>9.8</v>
      </c>
      <c r="ED193" s="714">
        <v>10.1</v>
      </c>
      <c r="EE193" s="714">
        <v>10.6</v>
      </c>
      <c r="EF193" s="714">
        <v>10.8</v>
      </c>
      <c r="EG193" s="714">
        <v>11</v>
      </c>
      <c r="EH193" s="714">
        <v>11.2</v>
      </c>
      <c r="EI193" s="714">
        <v>11.4</v>
      </c>
      <c r="EJ193" s="714">
        <v>11.5</v>
      </c>
      <c r="EK193" s="714">
        <v>11.6</v>
      </c>
      <c r="EL193" s="714">
        <v>11.7</v>
      </c>
      <c r="EM193" s="714">
        <v>11.9</v>
      </c>
      <c r="EN193" s="714">
        <v>10.3</v>
      </c>
      <c r="EO193" s="714">
        <v>10.5</v>
      </c>
      <c r="EP193" s="714">
        <v>10.8</v>
      </c>
      <c r="EQ193" s="714">
        <v>11.1</v>
      </c>
      <c r="ER193" s="714">
        <v>11.2</v>
      </c>
      <c r="ES193" s="714">
        <v>11.4</v>
      </c>
      <c r="ET193" s="714">
        <v>11.7</v>
      </c>
      <c r="EU193" s="714">
        <v>12</v>
      </c>
      <c r="EV193" s="714">
        <v>12.3</v>
      </c>
      <c r="EW193" s="714">
        <v>12.6</v>
      </c>
      <c r="EX193" s="714">
        <v>12.9</v>
      </c>
      <c r="EY193" s="714">
        <v>5</v>
      </c>
      <c r="EZ193" s="714">
        <v>5.6</v>
      </c>
      <c r="FA193" s="714">
        <v>6</v>
      </c>
      <c r="FB193" s="714">
        <v>6.3</v>
      </c>
      <c r="FC193" s="714">
        <v>6.7</v>
      </c>
      <c r="FD193" s="714">
        <v>7</v>
      </c>
      <c r="FE193" s="714">
        <v>7.4</v>
      </c>
      <c r="FF193" s="714">
        <v>7.7</v>
      </c>
      <c r="FG193" s="714">
        <v>7.9</v>
      </c>
      <c r="FH193" s="714">
        <v>8.2</v>
      </c>
      <c r="FI193" s="714">
        <v>8.5</v>
      </c>
      <c r="FJ193" s="725">
        <v>6.23e-6</v>
      </c>
      <c r="FK193" s="725">
        <v>1.24e-8</v>
      </c>
      <c r="FL193" s="725">
        <v>-1.88e-11</v>
      </c>
      <c r="FM193" s="725">
        <v>1.67e-6</v>
      </c>
      <c r="FN193" s="725">
        <v>1.27e-9</v>
      </c>
      <c r="FO193" s="725">
        <v>4.39e-7</v>
      </c>
      <c r="FP193" s="729">
        <v>1</v>
      </c>
      <c r="FQ193" s="729">
        <v>3</v>
      </c>
      <c r="FR193" s="729">
        <v>1</v>
      </c>
      <c r="FS193" s="729">
        <v>3</v>
      </c>
      <c r="FT193" s="729">
        <v>1</v>
      </c>
      <c r="FU193" s="729">
        <v>2</v>
      </c>
      <c r="FV193" s="681">
        <v>1</v>
      </c>
      <c r="FW193" s="729"/>
      <c r="FX193" s="729"/>
      <c r="FY193" s="729"/>
      <c r="FZ193" s="788">
        <v>548</v>
      </c>
      <c r="GA193" s="788">
        <v>578</v>
      </c>
      <c r="GB193" s="681">
        <v>510</v>
      </c>
      <c r="GC193" s="681">
        <v>529</v>
      </c>
      <c r="GD193" s="747">
        <v>1</v>
      </c>
      <c r="GE193" s="729"/>
      <c r="GF193" s="681">
        <v>60</v>
      </c>
      <c r="GG193" s="681">
        <v>79</v>
      </c>
      <c r="GH193" s="681">
        <v>51</v>
      </c>
      <c r="GI193" s="681">
        <v>54</v>
      </c>
      <c r="GJ193" s="681">
        <v>56</v>
      </c>
      <c r="GK193" s="681">
        <v>58</v>
      </c>
      <c r="GL193" s="681">
        <v>59</v>
      </c>
      <c r="GM193" s="681">
        <v>60</v>
      </c>
      <c r="GN193" s="681">
        <v>61</v>
      </c>
      <c r="GO193" s="681">
        <v>62</v>
      </c>
      <c r="GP193" s="681">
        <v>63</v>
      </c>
      <c r="GQ193" s="681">
        <v>64</v>
      </c>
      <c r="GR193" s="681">
        <v>64</v>
      </c>
      <c r="GS193" s="681">
        <v>64</v>
      </c>
      <c r="GT193" s="681">
        <v>65</v>
      </c>
      <c r="GU193" s="681">
        <v>66</v>
      </c>
      <c r="GV193" s="681">
        <v>67</v>
      </c>
      <c r="GW193" s="681">
        <v>68</v>
      </c>
      <c r="GX193" s="681">
        <v>69</v>
      </c>
      <c r="GY193" s="681">
        <v>70</v>
      </c>
      <c r="GZ193" s="681">
        <v>71</v>
      </c>
      <c r="HA193" s="681">
        <v>72</v>
      </c>
      <c r="HB193" s="681">
        <v>73</v>
      </c>
      <c r="HC193" s="681">
        <v>140</v>
      </c>
      <c r="HD193" s="750">
        <v>140</v>
      </c>
      <c r="HE193" s="681">
        <v>140</v>
      </c>
      <c r="HF193" s="681">
        <v>625</v>
      </c>
      <c r="HG193" s="681">
        <v>91</v>
      </c>
      <c r="HH193" s="714">
        <v>115.4</v>
      </c>
      <c r="HI193" s="714">
        <v>42.9</v>
      </c>
      <c r="HJ193" s="753">
        <v>0.344</v>
      </c>
      <c r="HK193" s="681">
        <v>71</v>
      </c>
      <c r="HL193" s="685">
        <v>2.17</v>
      </c>
      <c r="HM193" s="747">
        <v>4.47</v>
      </c>
      <c r="HN193" s="729" t="s">
        <v>1062</v>
      </c>
      <c r="HO193" s="729" t="s">
        <v>1474</v>
      </c>
      <c r="HP193" s="714">
        <v>-0.6</v>
      </c>
      <c r="HQ193" s="753">
        <v>0.855</v>
      </c>
      <c r="HR193" s="753">
        <v>0.968</v>
      </c>
      <c r="HS193" s="753">
        <v>0.99</v>
      </c>
      <c r="HT193" s="753">
        <v>0.999</v>
      </c>
      <c r="HU193" s="753">
        <v>0.999</v>
      </c>
      <c r="HV193" s="753">
        <v>0.999</v>
      </c>
      <c r="HW193" s="753">
        <v>0.999</v>
      </c>
      <c r="HX193" s="753">
        <v>0.999</v>
      </c>
      <c r="HY193" s="753">
        <v>0.999</v>
      </c>
      <c r="HZ193" s="753">
        <v>0.999</v>
      </c>
      <c r="IA193" s="753">
        <v>0.999</v>
      </c>
      <c r="IB193" s="754">
        <v>0.999</v>
      </c>
      <c r="IC193" s="754">
        <v>0.999</v>
      </c>
      <c r="ID193" s="754">
        <v>0.999</v>
      </c>
      <c r="IE193" s="754">
        <v>0.999</v>
      </c>
      <c r="IF193" s="753">
        <v>0.999</v>
      </c>
      <c r="IG193" s="754">
        <v>0.999</v>
      </c>
      <c r="IH193" s="754">
        <v>0.999</v>
      </c>
      <c r="II193" s="754">
        <v>0.998</v>
      </c>
      <c r="IJ193" s="754">
        <v>0.996</v>
      </c>
      <c r="IK193" s="754">
        <v>0.994</v>
      </c>
      <c r="IL193" s="754">
        <v>0.992</v>
      </c>
      <c r="IM193" s="754">
        <v>0.99</v>
      </c>
      <c r="IN193" s="754">
        <v>0.982</v>
      </c>
      <c r="IO193" s="754">
        <v>0.976</v>
      </c>
      <c r="IP193" s="754">
        <v>0.963</v>
      </c>
      <c r="IQ193" s="754">
        <v>0.942</v>
      </c>
      <c r="IR193" s="754">
        <v>0.911</v>
      </c>
      <c r="IS193" s="754">
        <v>0.834</v>
      </c>
      <c r="IT193" s="754">
        <v>0.671</v>
      </c>
      <c r="IU193" s="754">
        <v>0.372</v>
      </c>
      <c r="IV193" s="754"/>
      <c r="IW193" s="754"/>
      <c r="IX193" s="753"/>
      <c r="IY193" s="753"/>
      <c r="IZ193" s="753"/>
      <c r="JA193" s="753">
        <v>0.731</v>
      </c>
      <c r="JB193" s="753">
        <v>0.937</v>
      </c>
      <c r="JC193" s="753">
        <v>0.98</v>
      </c>
      <c r="JD193" s="753">
        <v>0.998</v>
      </c>
      <c r="JE193" s="753">
        <v>0.998</v>
      </c>
      <c r="JF193" s="753">
        <v>0.998</v>
      </c>
      <c r="JG193" s="753">
        <v>0.998</v>
      </c>
      <c r="JH193" s="753">
        <v>0.998</v>
      </c>
      <c r="JI193" s="753">
        <v>0.998</v>
      </c>
      <c r="JJ193" s="753">
        <v>0.998</v>
      </c>
      <c r="JK193" s="753">
        <v>0.998</v>
      </c>
      <c r="JL193" s="754">
        <v>0.998</v>
      </c>
      <c r="JM193" s="754">
        <v>0.998</v>
      </c>
      <c r="JN193" s="754">
        <v>0.998</v>
      </c>
      <c r="JO193" s="754">
        <v>0.998</v>
      </c>
      <c r="JP193" s="754">
        <v>0.998</v>
      </c>
      <c r="JQ193" s="754">
        <v>0.998</v>
      </c>
      <c r="JR193" s="754">
        <v>0.998</v>
      </c>
      <c r="JS193" s="754">
        <v>0.996</v>
      </c>
      <c r="JT193" s="754">
        <v>0.993</v>
      </c>
      <c r="JU193" s="754">
        <v>0.99</v>
      </c>
      <c r="JV193" s="754">
        <v>0.986</v>
      </c>
      <c r="JW193" s="754">
        <v>0.98</v>
      </c>
      <c r="JX193" s="754">
        <v>0.967</v>
      </c>
      <c r="JY193" s="754">
        <v>0.955</v>
      </c>
      <c r="JZ193" s="754">
        <v>0.934</v>
      </c>
      <c r="KA193" s="754">
        <v>0.898</v>
      </c>
      <c r="KB193" s="754">
        <v>0.831</v>
      </c>
      <c r="KC193" s="754">
        <v>0.701</v>
      </c>
      <c r="KD193" s="754">
        <v>0.454</v>
      </c>
      <c r="KE193" s="754">
        <v>0.136</v>
      </c>
      <c r="KF193" s="754"/>
      <c r="KG193" s="754"/>
      <c r="KH193" s="753"/>
      <c r="KI193" s="753"/>
      <c r="KJ193" s="753"/>
      <c r="KK193" s="765" t="s">
        <v>1349</v>
      </c>
      <c r="KL193" s="738">
        <v>148</v>
      </c>
      <c r="KM193" s="738">
        <v>662</v>
      </c>
      <c r="KN193" s="646" t="s">
        <v>282</v>
      </c>
      <c r="KO193" s="646" t="s">
        <v>1489</v>
      </c>
      <c r="KP193" s="679">
        <v>808409</v>
      </c>
      <c r="KQ193" s="789" t="s">
        <v>1490</v>
      </c>
      <c r="KR193" s="750" t="s">
        <v>1491</v>
      </c>
      <c r="KS193" s="789" t="s">
        <v>1492</v>
      </c>
      <c r="KT193" s="770" t="s">
        <v>1483</v>
      </c>
      <c r="KU193" s="789" t="s">
        <v>1493</v>
      </c>
      <c r="KV193" s="750">
        <v>808409</v>
      </c>
      <c r="KW193" s="771" t="s">
        <v>1494</v>
      </c>
      <c r="KX193" s="750" t="s">
        <v>1143</v>
      </c>
      <c r="KY193" s="789" t="s">
        <v>1495</v>
      </c>
      <c r="KZ193" s="770" t="s">
        <v>1138</v>
      </c>
    </row>
    <row r="194" s="628" customFormat="1" customHeight="1" spans="1:312">
      <c r="A194" s="682" t="s">
        <v>345</v>
      </c>
      <c r="B194" s="683">
        <v>190</v>
      </c>
      <c r="C194" s="684" t="s">
        <v>1496</v>
      </c>
      <c r="D194" s="687">
        <v>810410</v>
      </c>
      <c r="E194" s="685">
        <v>41.01</v>
      </c>
      <c r="F194" s="685">
        <v>40.76</v>
      </c>
      <c r="G194" s="688">
        <v>0.019751</v>
      </c>
      <c r="H194" s="686">
        <v>0.019985</v>
      </c>
      <c r="I194" s="696"/>
      <c r="J194" s="696"/>
      <c r="K194" s="696"/>
      <c r="L194" s="696">
        <v>1.7867</v>
      </c>
      <c r="M194" s="696">
        <v>1.78813</v>
      </c>
      <c r="N194" s="696">
        <v>1.78933</v>
      </c>
      <c r="O194" s="696">
        <v>1.79417</v>
      </c>
      <c r="P194" s="696">
        <v>1.79761</v>
      </c>
      <c r="Q194" s="697">
        <v>1.80085</v>
      </c>
      <c r="R194" s="697">
        <v>1.80412</v>
      </c>
      <c r="S194" s="697">
        <v>1.80505</v>
      </c>
      <c r="T194" s="701">
        <v>1.80592</v>
      </c>
      <c r="U194" s="697">
        <v>1.80982</v>
      </c>
      <c r="V194" s="697">
        <v>1.81</v>
      </c>
      <c r="W194" s="697">
        <v>1.81469</v>
      </c>
      <c r="X194" s="697">
        <v>1.82387</v>
      </c>
      <c r="Y194" s="697">
        <v>1.82503</v>
      </c>
      <c r="Z194" s="697">
        <v>1.83509</v>
      </c>
      <c r="AA194" s="697">
        <v>1.84464</v>
      </c>
      <c r="AB194" s="697">
        <v>1.8615</v>
      </c>
      <c r="AC194" s="704">
        <v>3.18520807</v>
      </c>
      <c r="AD194" s="705">
        <v>-0.0137608761</v>
      </c>
      <c r="AE194" s="705">
        <v>0.0307955827</v>
      </c>
      <c r="AF194" s="705">
        <v>0.000727147102</v>
      </c>
      <c r="AG194" s="705">
        <v>7.51921841e-6</v>
      </c>
      <c r="AH194" s="705">
        <v>2.05148638e-6</v>
      </c>
      <c r="AI194" s="709">
        <v>0.2977</v>
      </c>
      <c r="AJ194" s="709">
        <v>0.2375</v>
      </c>
      <c r="AK194" s="709">
        <v>0.5681</v>
      </c>
      <c r="AL194" s="709">
        <v>0.2477</v>
      </c>
      <c r="AM194" s="709">
        <v>0.2347</v>
      </c>
      <c r="AN194" s="709">
        <v>0.5034</v>
      </c>
      <c r="AO194" s="709">
        <v>-0.0028</v>
      </c>
      <c r="AP194" s="709">
        <v>-0.0074</v>
      </c>
      <c r="AQ194" s="709">
        <v>0.01</v>
      </c>
      <c r="AR194" s="709">
        <v>0.0049</v>
      </c>
      <c r="AS194" s="714">
        <v>5.1</v>
      </c>
      <c r="AT194" s="715">
        <v>5.2</v>
      </c>
      <c r="AU194" s="715">
        <v>5.4</v>
      </c>
      <c r="AV194" s="715">
        <v>5.6</v>
      </c>
      <c r="AW194" s="715">
        <v>5.8</v>
      </c>
      <c r="AX194" s="715">
        <v>6</v>
      </c>
      <c r="AY194" s="715">
        <v>6.3</v>
      </c>
      <c r="AZ194" s="715">
        <v>6.5</v>
      </c>
      <c r="BA194" s="715">
        <v>6.8</v>
      </c>
      <c r="BB194" s="715">
        <v>7</v>
      </c>
      <c r="BC194" s="715">
        <v>7.2</v>
      </c>
      <c r="BD194" s="715">
        <v>5.3</v>
      </c>
      <c r="BE194" s="715">
        <v>5.5</v>
      </c>
      <c r="BF194" s="715">
        <v>5.6</v>
      </c>
      <c r="BG194" s="715">
        <v>5.8</v>
      </c>
      <c r="BH194" s="715">
        <v>6.1</v>
      </c>
      <c r="BI194" s="715">
        <v>6.3</v>
      </c>
      <c r="BJ194" s="715">
        <v>6.6</v>
      </c>
      <c r="BK194" s="715">
        <v>6.8</v>
      </c>
      <c r="BL194" s="715">
        <v>7</v>
      </c>
      <c r="BM194" s="715">
        <v>7.3</v>
      </c>
      <c r="BN194" s="715">
        <v>7.4</v>
      </c>
      <c r="BO194" s="715">
        <v>6</v>
      </c>
      <c r="BP194" s="715">
        <v>6.1</v>
      </c>
      <c r="BQ194" s="715">
        <v>6.3</v>
      </c>
      <c r="BR194" s="715">
        <v>6.5</v>
      </c>
      <c r="BS194" s="715">
        <v>6.8</v>
      </c>
      <c r="BT194" s="715">
        <v>7</v>
      </c>
      <c r="BU194" s="715">
        <v>7.3</v>
      </c>
      <c r="BV194" s="715">
        <v>7.5</v>
      </c>
      <c r="BW194" s="715">
        <v>7.8</v>
      </c>
      <c r="BX194" s="715">
        <v>8</v>
      </c>
      <c r="BY194" s="715">
        <v>8.2</v>
      </c>
      <c r="BZ194" s="715">
        <v>6.1</v>
      </c>
      <c r="CA194" s="715">
        <v>6.2</v>
      </c>
      <c r="CB194" s="715">
        <v>6.4</v>
      </c>
      <c r="CC194" s="715">
        <v>6.6</v>
      </c>
      <c r="CD194" s="715">
        <v>6.9</v>
      </c>
      <c r="CE194" s="715">
        <v>7.1</v>
      </c>
      <c r="CF194" s="715">
        <v>7.4</v>
      </c>
      <c r="CG194" s="715">
        <v>7.6</v>
      </c>
      <c r="CH194" s="715">
        <v>7.8</v>
      </c>
      <c r="CI194" s="715">
        <v>8.1</v>
      </c>
      <c r="CJ194" s="715">
        <v>8.3</v>
      </c>
      <c r="CK194" s="715">
        <v>6.2</v>
      </c>
      <c r="CL194" s="715">
        <v>6.3</v>
      </c>
      <c r="CM194" s="715">
        <v>6.5</v>
      </c>
      <c r="CN194" s="715">
        <v>6.7</v>
      </c>
      <c r="CO194" s="715">
        <v>6.9</v>
      </c>
      <c r="CP194" s="715">
        <v>7.2</v>
      </c>
      <c r="CQ194" s="715">
        <v>7.4</v>
      </c>
      <c r="CR194" s="715">
        <v>7.7</v>
      </c>
      <c r="CS194" s="715">
        <v>7.9</v>
      </c>
      <c r="CT194" s="715">
        <v>8.1</v>
      </c>
      <c r="CU194" s="715">
        <v>8.3</v>
      </c>
      <c r="CV194" s="715">
        <v>6.5</v>
      </c>
      <c r="CW194" s="715">
        <v>6.6</v>
      </c>
      <c r="CX194" s="715">
        <v>6.8</v>
      </c>
      <c r="CY194" s="715">
        <v>7</v>
      </c>
      <c r="CZ194" s="715">
        <v>7.3</v>
      </c>
      <c r="DA194" s="715">
        <v>7.5</v>
      </c>
      <c r="DB194" s="715">
        <v>7.8</v>
      </c>
      <c r="DC194" s="715">
        <v>8</v>
      </c>
      <c r="DD194" s="715">
        <v>8.3</v>
      </c>
      <c r="DE194" s="715">
        <v>8.5</v>
      </c>
      <c r="DF194" s="715">
        <v>8.7</v>
      </c>
      <c r="DG194" s="715">
        <v>6.9</v>
      </c>
      <c r="DH194" s="715">
        <v>7</v>
      </c>
      <c r="DI194" s="715">
        <v>7.2</v>
      </c>
      <c r="DJ194" s="715">
        <v>7.4</v>
      </c>
      <c r="DK194" s="715">
        <v>7.6</v>
      </c>
      <c r="DL194" s="715">
        <v>7.9</v>
      </c>
      <c r="DM194" s="715">
        <v>8.2</v>
      </c>
      <c r="DN194" s="715">
        <v>8.4</v>
      </c>
      <c r="DO194" s="715">
        <v>8.7</v>
      </c>
      <c r="DP194" s="715">
        <v>8.9</v>
      </c>
      <c r="DQ194" s="715">
        <v>9.1</v>
      </c>
      <c r="DR194" s="715">
        <v>7.7</v>
      </c>
      <c r="DS194" s="715">
        <v>7.8</v>
      </c>
      <c r="DT194" s="715">
        <v>8</v>
      </c>
      <c r="DU194" s="715">
        <v>8.2</v>
      </c>
      <c r="DV194" s="715">
        <v>8.5</v>
      </c>
      <c r="DW194" s="715">
        <v>8.8</v>
      </c>
      <c r="DX194" s="715">
        <v>9</v>
      </c>
      <c r="DY194" s="715">
        <v>9.3</v>
      </c>
      <c r="DZ194" s="715">
        <v>9.5</v>
      </c>
      <c r="EA194" s="715">
        <v>9.7</v>
      </c>
      <c r="EB194" s="715">
        <v>9.9</v>
      </c>
      <c r="EC194" s="715">
        <v>7.8</v>
      </c>
      <c r="ED194" s="715">
        <v>7.9</v>
      </c>
      <c r="EE194" s="715">
        <v>8.1</v>
      </c>
      <c r="EF194" s="715">
        <v>8.4</v>
      </c>
      <c r="EG194" s="715">
        <v>8.6</v>
      </c>
      <c r="EH194" s="715">
        <v>8.9</v>
      </c>
      <c r="EI194" s="715">
        <v>9.1</v>
      </c>
      <c r="EJ194" s="715">
        <v>9.4</v>
      </c>
      <c r="EK194" s="715">
        <v>9.6</v>
      </c>
      <c r="EL194" s="715">
        <v>9.9</v>
      </c>
      <c r="EM194" s="715">
        <v>10.1</v>
      </c>
      <c r="EN194" s="715">
        <v>8.8</v>
      </c>
      <c r="EO194" s="715">
        <v>8.9</v>
      </c>
      <c r="EP194" s="715">
        <v>9.1</v>
      </c>
      <c r="EQ194" s="715">
        <v>9.4</v>
      </c>
      <c r="ER194" s="715">
        <v>9.6</v>
      </c>
      <c r="ES194" s="715">
        <v>9.9</v>
      </c>
      <c r="ET194" s="715">
        <v>10.2</v>
      </c>
      <c r="EU194" s="715">
        <v>10.4</v>
      </c>
      <c r="EV194" s="715">
        <v>10.7</v>
      </c>
      <c r="EW194" s="715">
        <v>10.9</v>
      </c>
      <c r="EX194" s="715">
        <v>11.1</v>
      </c>
      <c r="EY194" s="715">
        <v>3.3</v>
      </c>
      <c r="EZ194" s="715">
        <v>3.8</v>
      </c>
      <c r="FA194" s="715">
        <v>4.4</v>
      </c>
      <c r="FB194" s="715">
        <v>4.9</v>
      </c>
      <c r="FC194" s="715">
        <v>5.4</v>
      </c>
      <c r="FD194" s="715">
        <v>5.8</v>
      </c>
      <c r="FE194" s="715">
        <v>6.2</v>
      </c>
      <c r="FF194" s="715">
        <v>6.6</v>
      </c>
      <c r="FG194" s="715">
        <v>6.9</v>
      </c>
      <c r="FH194" s="715">
        <v>7.2</v>
      </c>
      <c r="FI194" s="715">
        <v>7.5</v>
      </c>
      <c r="FJ194" s="723">
        <v>5.63e-6</v>
      </c>
      <c r="FK194" s="723">
        <v>1.88e-8</v>
      </c>
      <c r="FL194" s="723">
        <v>-2.17e-11</v>
      </c>
      <c r="FM194" s="723">
        <v>8.94e-7</v>
      </c>
      <c r="FN194" s="723">
        <v>5.47e-11</v>
      </c>
      <c r="FO194" s="723">
        <v>0.224</v>
      </c>
      <c r="FP194" s="730">
        <v>1</v>
      </c>
      <c r="FQ194" s="730">
        <v>2</v>
      </c>
      <c r="FR194" s="730">
        <v>1</v>
      </c>
      <c r="FS194" s="730">
        <v>3</v>
      </c>
      <c r="FT194" s="730">
        <v>1</v>
      </c>
      <c r="FU194" s="730">
        <v>2</v>
      </c>
      <c r="FV194" s="681" t="s">
        <v>1497</v>
      </c>
      <c r="FW194" s="730"/>
      <c r="FX194" s="730"/>
      <c r="FY194" s="730"/>
      <c r="FZ194" s="735">
        <v>550</v>
      </c>
      <c r="GA194" s="735">
        <v>590</v>
      </c>
      <c r="GB194" s="736">
        <v>513</v>
      </c>
      <c r="GC194" s="736">
        <v>532</v>
      </c>
      <c r="GD194" s="748">
        <v>0.91</v>
      </c>
      <c r="GE194" s="730"/>
      <c r="GF194" s="736">
        <v>58</v>
      </c>
      <c r="GG194" s="736">
        <v>76</v>
      </c>
      <c r="GH194" s="736">
        <v>52</v>
      </c>
      <c r="GI194" s="736">
        <v>53</v>
      </c>
      <c r="GJ194" s="736">
        <v>53</v>
      </c>
      <c r="GK194" s="736">
        <v>55</v>
      </c>
      <c r="GL194" s="736">
        <v>57</v>
      </c>
      <c r="GM194" s="736">
        <v>57</v>
      </c>
      <c r="GN194" s="736">
        <v>58</v>
      </c>
      <c r="GO194" s="736">
        <v>59</v>
      </c>
      <c r="GP194" s="736">
        <v>62</v>
      </c>
      <c r="GQ194" s="736">
        <v>62</v>
      </c>
      <c r="GR194" s="736">
        <v>62</v>
      </c>
      <c r="GS194" s="736">
        <v>63</v>
      </c>
      <c r="GT194" s="736">
        <v>65</v>
      </c>
      <c r="GU194" s="736">
        <v>66</v>
      </c>
      <c r="GV194" s="736">
        <v>66</v>
      </c>
      <c r="GW194" s="736">
        <v>67</v>
      </c>
      <c r="GX194" s="736">
        <v>69</v>
      </c>
      <c r="GY194" s="736">
        <v>69</v>
      </c>
      <c r="GZ194" s="736">
        <v>71</v>
      </c>
      <c r="HA194" s="736">
        <v>71</v>
      </c>
      <c r="HB194" s="736">
        <v>73</v>
      </c>
      <c r="HC194" s="736">
        <v>137</v>
      </c>
      <c r="HD194" s="750">
        <v>137</v>
      </c>
      <c r="HE194" s="736">
        <v>138</v>
      </c>
      <c r="HF194" s="736">
        <v>637</v>
      </c>
      <c r="HG194" s="736">
        <v>131</v>
      </c>
      <c r="HH194" s="714">
        <v>113.3</v>
      </c>
      <c r="HI194" s="714">
        <v>43.5</v>
      </c>
      <c r="HJ194" s="755">
        <v>0.301</v>
      </c>
      <c r="HK194" s="736"/>
      <c r="HL194" s="685">
        <v>2.15</v>
      </c>
      <c r="HM194" s="748">
        <v>4.41</v>
      </c>
      <c r="HN194" s="730" t="s">
        <v>1498</v>
      </c>
      <c r="HO194" s="730" t="s">
        <v>470</v>
      </c>
      <c r="HP194" s="716">
        <v>-0.5</v>
      </c>
      <c r="HQ194" s="755">
        <v>0.835</v>
      </c>
      <c r="HR194" s="755">
        <v>0.96</v>
      </c>
      <c r="HS194" s="755">
        <v>0.984</v>
      </c>
      <c r="HT194" s="755">
        <v>0.995</v>
      </c>
      <c r="HU194" s="755">
        <v>0.998</v>
      </c>
      <c r="HV194" s="755">
        <v>0.999</v>
      </c>
      <c r="HW194" s="755">
        <v>0.999</v>
      </c>
      <c r="HX194" s="755">
        <v>0.999</v>
      </c>
      <c r="HY194" s="755">
        <v>0.999</v>
      </c>
      <c r="HZ194" s="755">
        <v>0.999</v>
      </c>
      <c r="IA194" s="755">
        <v>0.999</v>
      </c>
      <c r="IB194" s="755">
        <v>0.999</v>
      </c>
      <c r="IC194" s="755">
        <v>0.999</v>
      </c>
      <c r="ID194" s="755">
        <v>0.999</v>
      </c>
      <c r="IE194" s="755">
        <v>0.999</v>
      </c>
      <c r="IF194" s="755">
        <v>0.999</v>
      </c>
      <c r="IG194" s="755">
        <v>0.999</v>
      </c>
      <c r="IH194" s="755">
        <v>0.999</v>
      </c>
      <c r="II194" s="755">
        <v>0.997</v>
      </c>
      <c r="IJ194" s="755">
        <v>0.994</v>
      </c>
      <c r="IK194" s="755">
        <v>0.993</v>
      </c>
      <c r="IL194" s="755">
        <v>0.989</v>
      </c>
      <c r="IM194" s="755">
        <v>0.985</v>
      </c>
      <c r="IN194" s="755">
        <v>0.977</v>
      </c>
      <c r="IO194" s="755">
        <v>0.967</v>
      </c>
      <c r="IP194" s="755">
        <v>0.956</v>
      </c>
      <c r="IQ194" s="755">
        <v>0.929</v>
      </c>
      <c r="IR194" s="755">
        <v>0.895</v>
      </c>
      <c r="IS194" s="755">
        <v>0.833</v>
      </c>
      <c r="IT194" s="755">
        <v>0.721</v>
      </c>
      <c r="IU194" s="755">
        <v>0.517</v>
      </c>
      <c r="IV194" s="755">
        <v>0.223</v>
      </c>
      <c r="IW194" s="755"/>
      <c r="IX194" s="755"/>
      <c r="IY194" s="755"/>
      <c r="IZ194" s="755"/>
      <c r="JA194" s="755">
        <v>0.698</v>
      </c>
      <c r="JB194" s="755">
        <v>0.922</v>
      </c>
      <c r="JC194" s="755">
        <v>0.968</v>
      </c>
      <c r="JD194" s="755">
        <v>0.99</v>
      </c>
      <c r="JE194" s="755">
        <v>0.996</v>
      </c>
      <c r="JF194" s="755">
        <v>0.997</v>
      </c>
      <c r="JG194" s="755">
        <v>0.998</v>
      </c>
      <c r="JH194" s="755">
        <v>0.998</v>
      </c>
      <c r="JI194" s="755">
        <v>0.998</v>
      </c>
      <c r="JJ194" s="755">
        <v>0.998</v>
      </c>
      <c r="JK194" s="755">
        <v>0.998</v>
      </c>
      <c r="JL194" s="755">
        <v>0.998</v>
      </c>
      <c r="JM194" s="755">
        <v>0.998</v>
      </c>
      <c r="JN194" s="755">
        <v>0.998</v>
      </c>
      <c r="JO194" s="755">
        <v>0.998</v>
      </c>
      <c r="JP194" s="755">
        <v>0.998</v>
      </c>
      <c r="JQ194" s="755">
        <v>0.998</v>
      </c>
      <c r="JR194" s="755">
        <v>0.997</v>
      </c>
      <c r="JS194" s="755">
        <v>0.994</v>
      </c>
      <c r="JT194" s="755">
        <v>0.989</v>
      </c>
      <c r="JU194" s="755">
        <v>0.985</v>
      </c>
      <c r="JV194" s="755">
        <v>0.979</v>
      </c>
      <c r="JW194" s="755">
        <v>0.971</v>
      </c>
      <c r="JX194" s="755">
        <v>0.955</v>
      </c>
      <c r="JY194" s="755">
        <v>0.936</v>
      </c>
      <c r="JZ194" s="755">
        <v>0.913</v>
      </c>
      <c r="KA194" s="755">
        <v>0.863</v>
      </c>
      <c r="KB194" s="755">
        <v>0.801</v>
      </c>
      <c r="KC194" s="755">
        <v>0.694</v>
      </c>
      <c r="KD194" s="755">
        <v>0.519</v>
      </c>
      <c r="KE194" s="755">
        <v>0.267</v>
      </c>
      <c r="KF194" s="755">
        <v>0.05</v>
      </c>
      <c r="KG194" s="755"/>
      <c r="KH194" s="755"/>
      <c r="KI194" s="755"/>
      <c r="KJ194" s="755"/>
      <c r="KK194" s="765" t="s">
        <v>1349</v>
      </c>
      <c r="KL194" s="738">
        <v>91</v>
      </c>
      <c r="KM194" s="738">
        <v>401</v>
      </c>
      <c r="KN194" s="646" t="s">
        <v>339</v>
      </c>
      <c r="KO194" s="646" t="s">
        <v>1496</v>
      </c>
      <c r="KP194" s="687">
        <v>810410</v>
      </c>
      <c r="KQ194" s="766" t="s">
        <v>1481</v>
      </c>
      <c r="KR194" s="750" t="s">
        <v>1138</v>
      </c>
      <c r="KS194" s="769" t="s">
        <v>1482</v>
      </c>
      <c r="KT194" s="770" t="s">
        <v>1483</v>
      </c>
      <c r="KU194" s="766" t="s">
        <v>1484</v>
      </c>
      <c r="KV194" s="750">
        <v>806407</v>
      </c>
      <c r="KW194" s="771" t="s">
        <v>1485</v>
      </c>
      <c r="KX194" s="750" t="s">
        <v>1486</v>
      </c>
      <c r="KY194" s="769" t="s">
        <v>1487</v>
      </c>
      <c r="KZ194" s="770" t="s">
        <v>1488</v>
      </c>
    </row>
    <row r="195" s="628" customFormat="1" customHeight="1" spans="1:312">
      <c r="A195" s="682" t="s">
        <v>374</v>
      </c>
      <c r="B195" s="683">
        <v>191</v>
      </c>
      <c r="C195" s="781" t="s">
        <v>1499</v>
      </c>
      <c r="D195" s="679">
        <v>834373</v>
      </c>
      <c r="E195" s="685">
        <v>37.28</v>
      </c>
      <c r="F195" s="685">
        <v>37.04</v>
      </c>
      <c r="G195" s="688">
        <v>0.02238</v>
      </c>
      <c r="H195" s="686">
        <v>0.022672</v>
      </c>
      <c r="I195" s="696">
        <v>1.78506</v>
      </c>
      <c r="J195" s="696">
        <v>1.79228</v>
      </c>
      <c r="K195" s="696">
        <v>1.80047</v>
      </c>
      <c r="L195" s="696">
        <v>1.80847</v>
      </c>
      <c r="M195" s="696">
        <v>1.81004</v>
      </c>
      <c r="N195" s="696">
        <v>1.81137</v>
      </c>
      <c r="O195" s="696">
        <v>1.81671</v>
      </c>
      <c r="P195" s="696">
        <v>1.82054</v>
      </c>
      <c r="Q195" s="792">
        <v>1.82414</v>
      </c>
      <c r="R195" s="696">
        <v>1.82781</v>
      </c>
      <c r="S195" s="696">
        <v>1.82884</v>
      </c>
      <c r="T195" s="701">
        <v>1.82981</v>
      </c>
      <c r="U195" s="696">
        <v>1.83421</v>
      </c>
      <c r="V195" s="696">
        <v>1.83441</v>
      </c>
      <c r="W195" s="696">
        <v>1.83972</v>
      </c>
      <c r="X195" s="696">
        <v>1.85019</v>
      </c>
      <c r="Y195" s="696">
        <v>1.85152</v>
      </c>
      <c r="Z195" s="696">
        <v>1.86316</v>
      </c>
      <c r="AA195" s="696">
        <v>1.87437</v>
      </c>
      <c r="AB195" s="696">
        <v>1.89451</v>
      </c>
      <c r="AC195" s="704">
        <v>3.26258096</v>
      </c>
      <c r="AD195" s="704">
        <v>-0.0152499377</v>
      </c>
      <c r="AE195" s="704">
        <v>0.0341466836</v>
      </c>
      <c r="AF195" s="704">
        <v>0.000984000388</v>
      </c>
      <c r="AG195" s="704">
        <v>1.27478564e-5</v>
      </c>
      <c r="AH195" s="704">
        <v>3.62442642e-6</v>
      </c>
      <c r="AI195" s="709">
        <v>0.2949</v>
      </c>
      <c r="AJ195" s="709">
        <v>0.2373</v>
      </c>
      <c r="AK195" s="709">
        <v>0.5795</v>
      </c>
      <c r="AL195" s="709">
        <v>0.2457</v>
      </c>
      <c r="AM195" s="709">
        <v>0.2342</v>
      </c>
      <c r="AN195" s="709">
        <v>0.5134</v>
      </c>
      <c r="AO195" s="709">
        <v>-0.0018</v>
      </c>
      <c r="AP195" s="709">
        <v>-0.0021</v>
      </c>
      <c r="AQ195" s="709">
        <v>0.0138</v>
      </c>
      <c r="AR195" s="709">
        <v>0.0061</v>
      </c>
      <c r="AS195" s="714">
        <v>6.1</v>
      </c>
      <c r="AT195" s="715">
        <v>6.2</v>
      </c>
      <c r="AU195" s="715">
        <v>6.4</v>
      </c>
      <c r="AV195" s="715">
        <v>6.5</v>
      </c>
      <c r="AW195" s="715">
        <v>6.5</v>
      </c>
      <c r="AX195" s="715">
        <v>6.5</v>
      </c>
      <c r="AY195" s="715">
        <v>6.5</v>
      </c>
      <c r="AZ195" s="715">
        <v>6.6</v>
      </c>
      <c r="BA195" s="715">
        <v>6.7</v>
      </c>
      <c r="BB195" s="715">
        <v>6.7</v>
      </c>
      <c r="BC195" s="715">
        <v>6.8</v>
      </c>
      <c r="BD195" s="715">
        <v>6.5</v>
      </c>
      <c r="BE195" s="715">
        <v>6.6</v>
      </c>
      <c r="BF195" s="715">
        <v>6.9</v>
      </c>
      <c r="BG195" s="715">
        <v>6.9</v>
      </c>
      <c r="BH195" s="715">
        <v>7</v>
      </c>
      <c r="BI195" s="715">
        <v>7.1</v>
      </c>
      <c r="BJ195" s="715">
        <v>7.3</v>
      </c>
      <c r="BK195" s="715">
        <v>7.4</v>
      </c>
      <c r="BL195" s="715">
        <v>7.5</v>
      </c>
      <c r="BM195" s="715">
        <v>7.6</v>
      </c>
      <c r="BN195" s="715">
        <v>7.8</v>
      </c>
      <c r="BO195" s="715">
        <v>6.7</v>
      </c>
      <c r="BP195" s="715">
        <v>7</v>
      </c>
      <c r="BQ195" s="715">
        <v>7.1</v>
      </c>
      <c r="BR195" s="715">
        <v>7.1</v>
      </c>
      <c r="BS195" s="715">
        <v>7.3</v>
      </c>
      <c r="BT195" s="715">
        <v>7.3</v>
      </c>
      <c r="BU195" s="715">
        <v>7.5</v>
      </c>
      <c r="BV195" s="715">
        <v>7.7</v>
      </c>
      <c r="BW195" s="715">
        <v>7.9</v>
      </c>
      <c r="BX195" s="715">
        <v>8</v>
      </c>
      <c r="BY195" s="715">
        <v>8</v>
      </c>
      <c r="BZ195" s="715">
        <v>6.8</v>
      </c>
      <c r="CA195" s="715">
        <v>7</v>
      </c>
      <c r="CB195" s="715">
        <v>7.2</v>
      </c>
      <c r="CC195" s="715">
        <v>7.2</v>
      </c>
      <c r="CD195" s="715">
        <v>7.3</v>
      </c>
      <c r="CE195" s="715">
        <v>7.4</v>
      </c>
      <c r="CF195" s="715">
        <v>7.5</v>
      </c>
      <c r="CG195" s="715">
        <v>7.7</v>
      </c>
      <c r="CH195" s="715">
        <v>8</v>
      </c>
      <c r="CI195" s="715">
        <v>8.1</v>
      </c>
      <c r="CJ195" s="715">
        <v>8.1</v>
      </c>
      <c r="CK195" s="715">
        <v>6.9</v>
      </c>
      <c r="CL195" s="715">
        <v>7.1</v>
      </c>
      <c r="CM195" s="715">
        <v>7.2</v>
      </c>
      <c r="CN195" s="715">
        <v>7.4</v>
      </c>
      <c r="CO195" s="715">
        <v>7.4</v>
      </c>
      <c r="CP195" s="715">
        <v>7.5</v>
      </c>
      <c r="CQ195" s="715">
        <v>7.6</v>
      </c>
      <c r="CR195" s="715">
        <v>7.8</v>
      </c>
      <c r="CS195" s="715">
        <v>8</v>
      </c>
      <c r="CT195" s="715">
        <v>8.1</v>
      </c>
      <c r="CU195" s="715">
        <v>8.2</v>
      </c>
      <c r="CV195" s="715">
        <v>7.3</v>
      </c>
      <c r="CW195" s="715">
        <v>7.5</v>
      </c>
      <c r="CX195" s="715">
        <v>7.7</v>
      </c>
      <c r="CY195" s="715">
        <v>7.7</v>
      </c>
      <c r="CZ195" s="715">
        <v>7.8</v>
      </c>
      <c r="DA195" s="715">
        <v>7.8</v>
      </c>
      <c r="DB195" s="715">
        <v>7.9</v>
      </c>
      <c r="DC195" s="715">
        <v>8.1</v>
      </c>
      <c r="DD195" s="715">
        <v>8.2</v>
      </c>
      <c r="DE195" s="715">
        <v>8.3</v>
      </c>
      <c r="DF195" s="715">
        <v>8.4</v>
      </c>
      <c r="DG195" s="715">
        <v>7.8</v>
      </c>
      <c r="DH195" s="715">
        <v>8</v>
      </c>
      <c r="DI195" s="715">
        <v>8.1</v>
      </c>
      <c r="DJ195" s="715">
        <v>8.2</v>
      </c>
      <c r="DK195" s="715">
        <v>8.3</v>
      </c>
      <c r="DL195" s="715">
        <v>8.4</v>
      </c>
      <c r="DM195" s="715">
        <v>8.4</v>
      </c>
      <c r="DN195" s="715">
        <v>8.5</v>
      </c>
      <c r="DO195" s="715">
        <v>8.7</v>
      </c>
      <c r="DP195" s="715">
        <v>8.9</v>
      </c>
      <c r="DQ195" s="715">
        <v>9.1</v>
      </c>
      <c r="DR195" s="715">
        <v>8.5</v>
      </c>
      <c r="DS195" s="715">
        <v>8.7</v>
      </c>
      <c r="DT195" s="715">
        <v>9.1</v>
      </c>
      <c r="DU195" s="715">
        <v>9.1</v>
      </c>
      <c r="DV195" s="715">
        <v>9.2</v>
      </c>
      <c r="DW195" s="715">
        <v>9.2</v>
      </c>
      <c r="DX195" s="715">
        <v>9.5</v>
      </c>
      <c r="DY195" s="715">
        <v>9.9</v>
      </c>
      <c r="DZ195" s="715">
        <v>10.2</v>
      </c>
      <c r="EA195" s="715">
        <v>10.5</v>
      </c>
      <c r="EB195" s="715">
        <v>10.8</v>
      </c>
      <c r="EC195" s="715">
        <v>8.7</v>
      </c>
      <c r="ED195" s="715">
        <v>8.9</v>
      </c>
      <c r="EE195" s="715">
        <v>9.2</v>
      </c>
      <c r="EF195" s="715">
        <v>9.5</v>
      </c>
      <c r="EG195" s="715">
        <v>9.5</v>
      </c>
      <c r="EH195" s="715">
        <v>9.6</v>
      </c>
      <c r="EI195" s="715">
        <v>9.8</v>
      </c>
      <c r="EJ195" s="715">
        <v>9.8</v>
      </c>
      <c r="EK195" s="715">
        <v>10</v>
      </c>
      <c r="EL195" s="715">
        <v>10.1</v>
      </c>
      <c r="EM195" s="715">
        <v>10.2</v>
      </c>
      <c r="EN195" s="715">
        <v>9.5</v>
      </c>
      <c r="EO195" s="715">
        <v>9.7</v>
      </c>
      <c r="EP195" s="715">
        <v>9.9</v>
      </c>
      <c r="EQ195" s="715">
        <v>10.1</v>
      </c>
      <c r="ER195" s="715">
        <v>10.1</v>
      </c>
      <c r="ES195" s="715">
        <v>10.4</v>
      </c>
      <c r="ET195" s="715">
        <v>10.6</v>
      </c>
      <c r="EU195" s="715">
        <v>10.9</v>
      </c>
      <c r="EV195" s="715">
        <v>11.3</v>
      </c>
      <c r="EW195" s="715">
        <v>11.6</v>
      </c>
      <c r="EX195" s="715">
        <v>11.7</v>
      </c>
      <c r="EY195" s="715">
        <v>4</v>
      </c>
      <c r="EZ195" s="715">
        <v>4.6</v>
      </c>
      <c r="FA195" s="715">
        <v>5.1</v>
      </c>
      <c r="FB195" s="715">
        <v>5.6</v>
      </c>
      <c r="FC195" s="715">
        <v>5.8</v>
      </c>
      <c r="FD195" s="715">
        <v>6.1</v>
      </c>
      <c r="FE195" s="715">
        <v>6.4</v>
      </c>
      <c r="FF195" s="715">
        <v>6.7</v>
      </c>
      <c r="FG195" s="715">
        <v>7</v>
      </c>
      <c r="FH195" s="715">
        <v>7.2</v>
      </c>
      <c r="FI195" s="715">
        <v>7.4</v>
      </c>
      <c r="FJ195" s="725">
        <v>6.76e-6</v>
      </c>
      <c r="FK195" s="725">
        <v>1.23e-8</v>
      </c>
      <c r="FL195" s="725">
        <v>-2.21e-11</v>
      </c>
      <c r="FM195" s="725">
        <v>7.14e-7</v>
      </c>
      <c r="FN195" s="725">
        <v>6.99e-10</v>
      </c>
      <c r="FO195" s="725">
        <v>0.268</v>
      </c>
      <c r="FP195" s="646">
        <v>1</v>
      </c>
      <c r="FQ195" s="646">
        <v>3</v>
      </c>
      <c r="FR195" s="646">
        <v>1</v>
      </c>
      <c r="FS195" s="646">
        <v>3</v>
      </c>
      <c r="FT195" s="646">
        <v>1</v>
      </c>
      <c r="FU195" s="646">
        <v>2</v>
      </c>
      <c r="FV195" s="681">
        <v>1</v>
      </c>
      <c r="FW195" s="646"/>
      <c r="FX195" s="646"/>
      <c r="FY195" s="646"/>
      <c r="FZ195" s="799">
        <v>571</v>
      </c>
      <c r="GA195" s="799">
        <v>606</v>
      </c>
      <c r="GB195" s="738">
        <v>529</v>
      </c>
      <c r="GC195" s="738">
        <v>548</v>
      </c>
      <c r="GD195" s="685">
        <v>0.95</v>
      </c>
      <c r="GE195" s="646"/>
      <c r="GF195" s="738">
        <v>60</v>
      </c>
      <c r="GG195" s="738">
        <v>77</v>
      </c>
      <c r="GH195" s="681">
        <v>51</v>
      </c>
      <c r="GI195" s="681">
        <v>54</v>
      </c>
      <c r="GJ195" s="681">
        <v>55</v>
      </c>
      <c r="GK195" s="681">
        <v>58</v>
      </c>
      <c r="GL195" s="681">
        <v>59</v>
      </c>
      <c r="GM195" s="681">
        <v>60</v>
      </c>
      <c r="GN195" s="681">
        <v>60</v>
      </c>
      <c r="GO195" s="681">
        <v>61</v>
      </c>
      <c r="GP195" s="681">
        <v>62</v>
      </c>
      <c r="GQ195" s="681">
        <v>63</v>
      </c>
      <c r="GR195" s="681">
        <v>63</v>
      </c>
      <c r="GS195" s="681">
        <v>64</v>
      </c>
      <c r="GT195" s="681">
        <v>64</v>
      </c>
      <c r="GU195" s="681">
        <v>65</v>
      </c>
      <c r="GV195" s="681">
        <v>66</v>
      </c>
      <c r="GW195" s="681">
        <v>67</v>
      </c>
      <c r="GX195" s="681">
        <v>68</v>
      </c>
      <c r="GY195" s="681">
        <v>69</v>
      </c>
      <c r="GZ195" s="681">
        <v>70</v>
      </c>
      <c r="HA195" s="681">
        <v>71</v>
      </c>
      <c r="HB195" s="681">
        <v>71</v>
      </c>
      <c r="HC195" s="738">
        <v>175</v>
      </c>
      <c r="HD195" s="750">
        <v>175</v>
      </c>
      <c r="HE195" s="738">
        <v>140</v>
      </c>
      <c r="HF195" s="738">
        <v>671</v>
      </c>
      <c r="HG195" s="738">
        <v>83</v>
      </c>
      <c r="HH195" s="714">
        <v>117.2</v>
      </c>
      <c r="HI195" s="714">
        <v>44.5</v>
      </c>
      <c r="HJ195" s="754">
        <v>0.319</v>
      </c>
      <c r="HK195" s="738">
        <v>63</v>
      </c>
      <c r="HL195" s="685">
        <v>2.01</v>
      </c>
      <c r="HM195" s="685">
        <v>4.46</v>
      </c>
      <c r="HN195" s="646" t="s">
        <v>1500</v>
      </c>
      <c r="HO195" s="646" t="s">
        <v>1501</v>
      </c>
      <c r="HP195" s="715">
        <v>-0.3</v>
      </c>
      <c r="HQ195" s="754">
        <v>0.86</v>
      </c>
      <c r="HR195" s="754">
        <v>0.97</v>
      </c>
      <c r="HS195" s="754">
        <v>0.995</v>
      </c>
      <c r="HT195" s="754">
        <v>0.999</v>
      </c>
      <c r="HU195" s="754">
        <v>0.999</v>
      </c>
      <c r="HV195" s="754">
        <v>0.999</v>
      </c>
      <c r="HW195" s="754">
        <v>0.999</v>
      </c>
      <c r="HX195" s="754">
        <v>0.999</v>
      </c>
      <c r="HY195" s="754">
        <v>0.999</v>
      </c>
      <c r="HZ195" s="754">
        <v>0.999</v>
      </c>
      <c r="IA195" s="754">
        <v>0.999</v>
      </c>
      <c r="IB195" s="754">
        <v>0.999</v>
      </c>
      <c r="IC195" s="754">
        <v>0.999</v>
      </c>
      <c r="ID195" s="754">
        <v>0.999</v>
      </c>
      <c r="IE195" s="754">
        <v>0.999</v>
      </c>
      <c r="IF195" s="753">
        <v>0.999</v>
      </c>
      <c r="IG195" s="754">
        <v>0.999</v>
      </c>
      <c r="IH195" s="754">
        <v>0.999</v>
      </c>
      <c r="II195" s="754">
        <v>0.997</v>
      </c>
      <c r="IJ195" s="754">
        <v>0.994</v>
      </c>
      <c r="IK195" s="754">
        <v>0.989</v>
      </c>
      <c r="IL195" s="754">
        <v>0.983</v>
      </c>
      <c r="IM195" s="754">
        <v>0.971</v>
      </c>
      <c r="IN195" s="754">
        <v>0.947</v>
      </c>
      <c r="IO195" s="754">
        <v>0.923</v>
      </c>
      <c r="IP195" s="754">
        <v>0.882</v>
      </c>
      <c r="IQ195" s="754">
        <v>0.805</v>
      </c>
      <c r="IR195" s="754">
        <v>0.641</v>
      </c>
      <c r="IS195" s="754">
        <v>0.346</v>
      </c>
      <c r="IT195" s="754">
        <v>0.051</v>
      </c>
      <c r="IU195" s="754"/>
      <c r="IV195" s="754"/>
      <c r="IW195" s="754"/>
      <c r="IX195" s="754"/>
      <c r="IY195" s="754"/>
      <c r="IZ195" s="754"/>
      <c r="JA195" s="754">
        <v>0.74</v>
      </c>
      <c r="JB195" s="754">
        <v>0.941</v>
      </c>
      <c r="JC195" s="754">
        <v>0.99</v>
      </c>
      <c r="JD195" s="754">
        <v>0.998</v>
      </c>
      <c r="JE195" s="754">
        <v>0.998</v>
      </c>
      <c r="JF195" s="754">
        <v>0.998</v>
      </c>
      <c r="JG195" s="754">
        <v>0.998</v>
      </c>
      <c r="JH195" s="754">
        <v>0.998</v>
      </c>
      <c r="JI195" s="754">
        <v>0.998</v>
      </c>
      <c r="JJ195" s="754">
        <v>0.998</v>
      </c>
      <c r="JK195" s="754">
        <v>0.998</v>
      </c>
      <c r="JL195" s="754">
        <v>0.998</v>
      </c>
      <c r="JM195" s="754">
        <v>0.998</v>
      </c>
      <c r="JN195" s="754">
        <v>0.998</v>
      </c>
      <c r="JO195" s="754">
        <v>0.998</v>
      </c>
      <c r="JP195" s="754">
        <v>0.998</v>
      </c>
      <c r="JQ195" s="754">
        <v>0.998</v>
      </c>
      <c r="JR195" s="754">
        <v>0.998</v>
      </c>
      <c r="JS195" s="754">
        <v>0.995</v>
      </c>
      <c r="JT195" s="754">
        <v>0.99</v>
      </c>
      <c r="JU195" s="754">
        <v>0.983</v>
      </c>
      <c r="JV195" s="754">
        <v>0.972</v>
      </c>
      <c r="JW195" s="754">
        <v>0.95</v>
      </c>
      <c r="JX195" s="754">
        <v>0.905</v>
      </c>
      <c r="JY195" s="754">
        <v>0.86</v>
      </c>
      <c r="JZ195" s="754">
        <v>0.784</v>
      </c>
      <c r="KA195" s="754">
        <v>0.651</v>
      </c>
      <c r="KB195" s="754">
        <v>0.412</v>
      </c>
      <c r="KC195" s="754">
        <v>0.116</v>
      </c>
      <c r="KD195" s="754">
        <v>0.004</v>
      </c>
      <c r="KE195" s="754"/>
      <c r="KF195" s="754"/>
      <c r="KG195" s="754"/>
      <c r="KH195" s="754"/>
      <c r="KI195" s="754"/>
      <c r="KJ195" s="754"/>
      <c r="KK195" s="765" t="s">
        <v>1349</v>
      </c>
      <c r="KL195" s="738">
        <v>223</v>
      </c>
      <c r="KM195" s="738">
        <v>995</v>
      </c>
      <c r="KN195" s="646" t="s">
        <v>617</v>
      </c>
      <c r="KO195" s="646" t="s">
        <v>1499</v>
      </c>
      <c r="KP195" s="679">
        <v>834373</v>
      </c>
      <c r="KQ195" s="789"/>
      <c r="KR195" s="750"/>
      <c r="KS195" s="766"/>
      <c r="KT195" s="770"/>
      <c r="KU195" s="789" t="s">
        <v>1502</v>
      </c>
      <c r="KV195" s="750">
        <v>834373</v>
      </c>
      <c r="KW195" s="771"/>
      <c r="KX195" s="750"/>
      <c r="KY195" s="766"/>
      <c r="KZ195" s="770"/>
    </row>
    <row r="196" s="628" customFormat="1" customHeight="1" spans="1:312">
      <c r="A196" s="682" t="s">
        <v>374</v>
      </c>
      <c r="B196" s="683">
        <v>192</v>
      </c>
      <c r="C196" s="781" t="s">
        <v>1503</v>
      </c>
      <c r="D196" s="679">
        <v>815370</v>
      </c>
      <c r="E196" s="685">
        <v>37.03</v>
      </c>
      <c r="F196" s="685">
        <v>36.78</v>
      </c>
      <c r="G196" s="688">
        <v>0.022004</v>
      </c>
      <c r="H196" s="686">
        <v>0.022294</v>
      </c>
      <c r="I196" s="696">
        <v>1.76516</v>
      </c>
      <c r="J196" s="696">
        <v>1.77267</v>
      </c>
      <c r="K196" s="696">
        <v>1.78111</v>
      </c>
      <c r="L196" s="696">
        <v>1.78919</v>
      </c>
      <c r="M196" s="696">
        <v>1.79076</v>
      </c>
      <c r="N196" s="696">
        <v>1.79207</v>
      </c>
      <c r="O196" s="696">
        <v>1.79734</v>
      </c>
      <c r="P196" s="696">
        <v>1.8011</v>
      </c>
      <c r="Q196" s="793">
        <v>1.80465</v>
      </c>
      <c r="R196" s="697">
        <v>1.80825</v>
      </c>
      <c r="S196" s="697">
        <v>1.80927</v>
      </c>
      <c r="T196" s="701">
        <v>1.81023</v>
      </c>
      <c r="U196" s="697">
        <v>1.81455</v>
      </c>
      <c r="V196" s="697">
        <v>1.81474</v>
      </c>
      <c r="W196" s="697">
        <v>1.81995</v>
      </c>
      <c r="X196" s="697">
        <v>1.83025</v>
      </c>
      <c r="Y196" s="697">
        <v>1.83156</v>
      </c>
      <c r="Z196" s="697">
        <v>1.84293</v>
      </c>
      <c r="AA196" s="697">
        <v>1.85388</v>
      </c>
      <c r="AB196" s="697">
        <v>1.87363</v>
      </c>
      <c r="AC196" s="704">
        <v>3.1957414</v>
      </c>
      <c r="AD196" s="705">
        <v>-0.0158738035</v>
      </c>
      <c r="AE196" s="705">
        <v>0.0315329222</v>
      </c>
      <c r="AF196" s="705">
        <v>0.00157767624</v>
      </c>
      <c r="AG196" s="705">
        <v>-9.05739467e-5</v>
      </c>
      <c r="AH196" s="705">
        <v>9.32711709e-6</v>
      </c>
      <c r="AI196" s="709">
        <v>0.2949</v>
      </c>
      <c r="AJ196" s="709">
        <v>0.2368</v>
      </c>
      <c r="AK196" s="709">
        <v>0.5763</v>
      </c>
      <c r="AL196" s="709">
        <v>0.2454</v>
      </c>
      <c r="AM196" s="709">
        <v>0.2337</v>
      </c>
      <c r="AN196" s="709">
        <v>0.51</v>
      </c>
      <c r="AO196" s="709">
        <v>-0.0017</v>
      </c>
      <c r="AP196" s="709">
        <v>-0.0058</v>
      </c>
      <c r="AQ196" s="709">
        <v>0.0158</v>
      </c>
      <c r="AR196" s="709">
        <v>0.0065</v>
      </c>
      <c r="AS196" s="714">
        <v>4.8</v>
      </c>
      <c r="AT196" s="714">
        <v>4.6</v>
      </c>
      <c r="AU196" s="714">
        <v>4.4</v>
      </c>
      <c r="AV196" s="714">
        <v>4.1</v>
      </c>
      <c r="AW196" s="714">
        <v>4</v>
      </c>
      <c r="AX196" s="714">
        <v>4</v>
      </c>
      <c r="AY196" s="714">
        <v>4</v>
      </c>
      <c r="AZ196" s="714">
        <v>4</v>
      </c>
      <c r="BA196" s="714">
        <v>4</v>
      </c>
      <c r="BB196" s="714">
        <v>4.1</v>
      </c>
      <c r="BC196" s="714">
        <v>4.2</v>
      </c>
      <c r="BD196" s="714">
        <v>5.4</v>
      </c>
      <c r="BE196" s="714">
        <v>5.1</v>
      </c>
      <c r="BF196" s="714">
        <v>4.9</v>
      </c>
      <c r="BG196" s="714">
        <v>4.7</v>
      </c>
      <c r="BH196" s="714">
        <v>4.6</v>
      </c>
      <c r="BI196" s="714">
        <v>4.6</v>
      </c>
      <c r="BJ196" s="714">
        <v>4.6</v>
      </c>
      <c r="BK196" s="714">
        <v>4.7</v>
      </c>
      <c r="BL196" s="714">
        <v>4.7</v>
      </c>
      <c r="BM196" s="714">
        <v>4.8</v>
      </c>
      <c r="BN196" s="714">
        <v>4.9</v>
      </c>
      <c r="BO196" s="714">
        <v>5.9</v>
      </c>
      <c r="BP196" s="714">
        <v>5.5</v>
      </c>
      <c r="BQ196" s="714">
        <v>5.2</v>
      </c>
      <c r="BR196" s="714">
        <v>4.9</v>
      </c>
      <c r="BS196" s="714">
        <v>4.9</v>
      </c>
      <c r="BT196" s="714">
        <v>5</v>
      </c>
      <c r="BU196" s="714">
        <v>5</v>
      </c>
      <c r="BV196" s="714">
        <v>5.2</v>
      </c>
      <c r="BW196" s="714">
        <v>5.2</v>
      </c>
      <c r="BX196" s="714">
        <v>5.3</v>
      </c>
      <c r="BY196" s="714">
        <v>5.3</v>
      </c>
      <c r="BZ196" s="714">
        <v>5.9</v>
      </c>
      <c r="CA196" s="714">
        <v>5.6</v>
      </c>
      <c r="CB196" s="714">
        <v>5.2</v>
      </c>
      <c r="CC196" s="714">
        <v>5</v>
      </c>
      <c r="CD196" s="714">
        <v>5</v>
      </c>
      <c r="CE196" s="714">
        <v>5</v>
      </c>
      <c r="CF196" s="714">
        <v>5</v>
      </c>
      <c r="CG196" s="714">
        <v>5.2</v>
      </c>
      <c r="CH196" s="714">
        <v>5.2</v>
      </c>
      <c r="CI196" s="714">
        <v>5.3</v>
      </c>
      <c r="CJ196" s="714">
        <v>5.4</v>
      </c>
      <c r="CK196" s="714">
        <v>6</v>
      </c>
      <c r="CL196" s="714">
        <v>5.6</v>
      </c>
      <c r="CM196" s="714">
        <v>5.3</v>
      </c>
      <c r="CN196" s="714">
        <v>5.1</v>
      </c>
      <c r="CO196" s="714">
        <v>5.1</v>
      </c>
      <c r="CP196" s="714">
        <v>5.1</v>
      </c>
      <c r="CQ196" s="714">
        <v>5.1</v>
      </c>
      <c r="CR196" s="714">
        <v>5.3</v>
      </c>
      <c r="CS196" s="714">
        <v>5.3</v>
      </c>
      <c r="CT196" s="714">
        <v>5.4</v>
      </c>
      <c r="CU196" s="714">
        <v>5.5</v>
      </c>
      <c r="CV196" s="714">
        <v>6.1</v>
      </c>
      <c r="CW196" s="714">
        <v>5.8</v>
      </c>
      <c r="CX196" s="714">
        <v>5.5</v>
      </c>
      <c r="CY196" s="714">
        <v>5.2</v>
      </c>
      <c r="CZ196" s="714">
        <v>5.3</v>
      </c>
      <c r="DA196" s="714">
        <v>5.3</v>
      </c>
      <c r="DB196" s="714">
        <v>5.4</v>
      </c>
      <c r="DC196" s="714">
        <v>5.5</v>
      </c>
      <c r="DD196" s="714">
        <v>5.6</v>
      </c>
      <c r="DE196" s="714">
        <v>5.6</v>
      </c>
      <c r="DF196" s="714">
        <v>5.8</v>
      </c>
      <c r="DG196" s="714">
        <v>6.6</v>
      </c>
      <c r="DH196" s="714">
        <v>6.3</v>
      </c>
      <c r="DI196" s="714">
        <v>6</v>
      </c>
      <c r="DJ196" s="714">
        <v>5.7</v>
      </c>
      <c r="DK196" s="714">
        <v>5.8</v>
      </c>
      <c r="DL196" s="714">
        <v>5.8</v>
      </c>
      <c r="DM196" s="714">
        <v>5.9</v>
      </c>
      <c r="DN196" s="714">
        <v>6.1</v>
      </c>
      <c r="DO196" s="714">
        <v>6.2</v>
      </c>
      <c r="DP196" s="714">
        <v>6.2</v>
      </c>
      <c r="DQ196" s="714">
        <v>6.3</v>
      </c>
      <c r="DR196" s="714">
        <v>7.2</v>
      </c>
      <c r="DS196" s="714">
        <v>6.8</v>
      </c>
      <c r="DT196" s="714">
        <v>6.5</v>
      </c>
      <c r="DU196" s="714">
        <v>6.4</v>
      </c>
      <c r="DV196" s="714">
        <v>6.4</v>
      </c>
      <c r="DW196" s="714">
        <v>6.4</v>
      </c>
      <c r="DX196" s="714">
        <v>6.5</v>
      </c>
      <c r="DY196" s="714">
        <v>6.6</v>
      </c>
      <c r="DZ196" s="714">
        <v>6.7</v>
      </c>
      <c r="EA196" s="714">
        <v>6.7</v>
      </c>
      <c r="EB196" s="714">
        <v>6.9</v>
      </c>
      <c r="EC196" s="714">
        <v>7.3</v>
      </c>
      <c r="ED196" s="714">
        <v>6.9</v>
      </c>
      <c r="EE196" s="714">
        <v>6.6</v>
      </c>
      <c r="EF196" s="714">
        <v>6.4</v>
      </c>
      <c r="EG196" s="714">
        <v>6.4</v>
      </c>
      <c r="EH196" s="714">
        <v>6.5</v>
      </c>
      <c r="EI196" s="714">
        <v>6.6</v>
      </c>
      <c r="EJ196" s="714">
        <v>6.6</v>
      </c>
      <c r="EK196" s="714">
        <v>6.7</v>
      </c>
      <c r="EL196" s="714">
        <v>6.8</v>
      </c>
      <c r="EM196" s="714">
        <v>6.9</v>
      </c>
      <c r="EN196" s="714">
        <v>8</v>
      </c>
      <c r="EO196" s="714">
        <v>7.6</v>
      </c>
      <c r="EP196" s="714">
        <v>7.4</v>
      </c>
      <c r="EQ196" s="714">
        <v>7.2</v>
      </c>
      <c r="ER196" s="714">
        <v>7.3</v>
      </c>
      <c r="ES196" s="714">
        <v>7.4</v>
      </c>
      <c r="ET196" s="714">
        <v>7.5</v>
      </c>
      <c r="EU196" s="714">
        <v>7.7</v>
      </c>
      <c r="EV196" s="714">
        <v>7.8</v>
      </c>
      <c r="EW196" s="714">
        <v>7.9</v>
      </c>
      <c r="EX196" s="714">
        <v>8.1</v>
      </c>
      <c r="EY196" s="714">
        <v>3.1</v>
      </c>
      <c r="EZ196" s="714">
        <v>3.1</v>
      </c>
      <c r="FA196" s="714">
        <v>3.2</v>
      </c>
      <c r="FB196" s="714">
        <v>3.3</v>
      </c>
      <c r="FC196" s="714">
        <v>3.5</v>
      </c>
      <c r="FD196" s="714">
        <v>3.7</v>
      </c>
      <c r="FE196" s="714">
        <v>3.9</v>
      </c>
      <c r="FF196" s="714">
        <v>4.2</v>
      </c>
      <c r="FG196" s="714">
        <v>4.3</v>
      </c>
      <c r="FH196" s="714">
        <v>4.5</v>
      </c>
      <c r="FI196" s="714">
        <v>4.7</v>
      </c>
      <c r="FJ196" s="725">
        <v>3.28e-6</v>
      </c>
      <c r="FK196" s="725">
        <v>4.57e-9</v>
      </c>
      <c r="FL196" s="725">
        <v>8.29e-12</v>
      </c>
      <c r="FM196" s="725">
        <v>8.13e-7</v>
      </c>
      <c r="FN196" s="725">
        <v>5.49e-10</v>
      </c>
      <c r="FO196" s="725">
        <v>0.192</v>
      </c>
      <c r="FP196" s="729">
        <v>1</v>
      </c>
      <c r="FQ196" s="729">
        <v>3</v>
      </c>
      <c r="FR196" s="729">
        <v>1</v>
      </c>
      <c r="FS196" s="729">
        <v>4</v>
      </c>
      <c r="FT196" s="729">
        <v>1</v>
      </c>
      <c r="FU196" s="729">
        <v>2</v>
      </c>
      <c r="FV196" s="681"/>
      <c r="FW196" s="729"/>
      <c r="FX196" s="729"/>
      <c r="FY196" s="729"/>
      <c r="FZ196" s="788">
        <v>544</v>
      </c>
      <c r="GA196" s="788">
        <v>580</v>
      </c>
      <c r="GB196" s="681">
        <v>502</v>
      </c>
      <c r="GC196" s="681">
        <v>525</v>
      </c>
      <c r="GD196" s="747">
        <v>0.93</v>
      </c>
      <c r="GE196" s="729"/>
      <c r="GF196" s="681">
        <v>60</v>
      </c>
      <c r="GG196" s="681">
        <v>74</v>
      </c>
      <c r="GH196" s="681">
        <v>52</v>
      </c>
      <c r="GI196" s="681">
        <v>55</v>
      </c>
      <c r="GJ196" s="681">
        <v>56</v>
      </c>
      <c r="GK196" s="681">
        <v>58</v>
      </c>
      <c r="GL196" s="681">
        <v>59</v>
      </c>
      <c r="GM196" s="681">
        <v>60</v>
      </c>
      <c r="GN196" s="681">
        <v>61</v>
      </c>
      <c r="GO196" s="681">
        <v>62</v>
      </c>
      <c r="GP196" s="681">
        <v>63</v>
      </c>
      <c r="GQ196" s="681">
        <v>64</v>
      </c>
      <c r="GR196" s="681">
        <v>64</v>
      </c>
      <c r="GS196" s="681">
        <v>65</v>
      </c>
      <c r="GT196" s="681">
        <v>65</v>
      </c>
      <c r="GU196" s="681">
        <v>66</v>
      </c>
      <c r="GV196" s="681">
        <v>67</v>
      </c>
      <c r="GW196" s="681">
        <v>68</v>
      </c>
      <c r="GX196" s="681">
        <v>70</v>
      </c>
      <c r="GY196" s="681">
        <v>71</v>
      </c>
      <c r="GZ196" s="681">
        <v>73</v>
      </c>
      <c r="HA196" s="681">
        <v>74</v>
      </c>
      <c r="HB196" s="681">
        <v>76</v>
      </c>
      <c r="HC196" s="681">
        <v>179</v>
      </c>
      <c r="HD196" s="681">
        <v>183</v>
      </c>
      <c r="HE196" s="681">
        <v>175</v>
      </c>
      <c r="HF196" s="681">
        <v>620</v>
      </c>
      <c r="HG196" s="681">
        <v>108</v>
      </c>
      <c r="HH196" s="715">
        <v>115.3</v>
      </c>
      <c r="HI196" s="715">
        <v>44.7</v>
      </c>
      <c r="HJ196" s="754">
        <v>0.29</v>
      </c>
      <c r="HK196" s="681"/>
      <c r="HL196" s="685">
        <v>2.17</v>
      </c>
      <c r="HM196" s="747">
        <v>4.2</v>
      </c>
      <c r="HN196" s="729" t="s">
        <v>1504</v>
      </c>
      <c r="HO196" s="729" t="s">
        <v>1505</v>
      </c>
      <c r="HP196" s="714">
        <v>-2.1</v>
      </c>
      <c r="HQ196" s="753">
        <v>0.846</v>
      </c>
      <c r="HR196" s="753">
        <v>0.962</v>
      </c>
      <c r="HS196" s="753">
        <v>0.986</v>
      </c>
      <c r="HT196" s="753">
        <v>0.995</v>
      </c>
      <c r="HU196" s="753">
        <v>0.999</v>
      </c>
      <c r="HV196" s="753">
        <v>0.999</v>
      </c>
      <c r="HW196" s="753">
        <v>0.999</v>
      </c>
      <c r="HX196" s="753">
        <v>0.999</v>
      </c>
      <c r="HY196" s="753">
        <v>0.999</v>
      </c>
      <c r="HZ196" s="753">
        <v>0.999</v>
      </c>
      <c r="IA196" s="753">
        <v>0.999</v>
      </c>
      <c r="IB196" s="754">
        <v>0.999</v>
      </c>
      <c r="IC196" s="754">
        <v>0.999</v>
      </c>
      <c r="ID196" s="754">
        <v>0.999</v>
      </c>
      <c r="IE196" s="754">
        <v>0.999</v>
      </c>
      <c r="IF196" s="753">
        <v>0.998</v>
      </c>
      <c r="IG196" s="754">
        <v>0.997</v>
      </c>
      <c r="IH196" s="754">
        <v>0.993</v>
      </c>
      <c r="II196" s="754">
        <v>0.989</v>
      </c>
      <c r="IJ196" s="754">
        <v>0.985</v>
      </c>
      <c r="IK196" s="754">
        <v>0.979</v>
      </c>
      <c r="IL196" s="754">
        <v>0.968</v>
      </c>
      <c r="IM196" s="754">
        <v>0.946</v>
      </c>
      <c r="IN196" s="754">
        <v>0.925</v>
      </c>
      <c r="IO196" s="754">
        <v>0.892</v>
      </c>
      <c r="IP196" s="754">
        <v>0.834</v>
      </c>
      <c r="IQ196" s="754">
        <v>0.719</v>
      </c>
      <c r="IR196" s="754">
        <v>0.498</v>
      </c>
      <c r="IS196" s="754">
        <v>0.193</v>
      </c>
      <c r="IT196" s="754"/>
      <c r="IU196" s="754"/>
      <c r="IV196" s="753"/>
      <c r="IW196" s="753"/>
      <c r="IX196" s="753"/>
      <c r="IY196" s="753"/>
      <c r="IZ196" s="753"/>
      <c r="JA196" s="753">
        <v>0.715</v>
      </c>
      <c r="JB196" s="753">
        <v>0.925</v>
      </c>
      <c r="JC196" s="753">
        <v>0.972</v>
      </c>
      <c r="JD196" s="753">
        <v>0.99</v>
      </c>
      <c r="JE196" s="753">
        <v>0.998</v>
      </c>
      <c r="JF196" s="753">
        <v>0.998</v>
      </c>
      <c r="JG196" s="753">
        <v>0.998</v>
      </c>
      <c r="JH196" s="753">
        <v>0.998</v>
      </c>
      <c r="JI196" s="753">
        <v>0.998</v>
      </c>
      <c r="JJ196" s="753">
        <v>0.998</v>
      </c>
      <c r="JK196" s="753">
        <v>0.998</v>
      </c>
      <c r="JL196" s="754">
        <v>0.998</v>
      </c>
      <c r="JM196" s="754">
        <v>0.998</v>
      </c>
      <c r="JN196" s="754">
        <v>0.998</v>
      </c>
      <c r="JO196" s="754">
        <v>0.998</v>
      </c>
      <c r="JP196" s="754">
        <v>0.997</v>
      </c>
      <c r="JQ196" s="754">
        <v>0.995</v>
      </c>
      <c r="JR196" s="754">
        <v>0.986</v>
      </c>
      <c r="JS196" s="754">
        <v>0.979</v>
      </c>
      <c r="JT196" s="754">
        <v>0.97</v>
      </c>
      <c r="JU196" s="754">
        <v>0.957</v>
      </c>
      <c r="JV196" s="754">
        <v>0.938</v>
      </c>
      <c r="JW196" s="754">
        <v>0.895</v>
      </c>
      <c r="JX196" s="754">
        <v>0.856</v>
      </c>
      <c r="JY196" s="754">
        <v>0.796</v>
      </c>
      <c r="JZ196" s="754">
        <v>0.695</v>
      </c>
      <c r="KA196" s="754">
        <v>0.516</v>
      </c>
      <c r="KB196" s="754">
        <v>0.248</v>
      </c>
      <c r="KC196" s="754">
        <v>0.037</v>
      </c>
      <c r="KD196" s="754"/>
      <c r="KE196" s="753"/>
      <c r="KF196" s="753"/>
      <c r="KG196" s="753"/>
      <c r="KH196" s="753"/>
      <c r="KI196" s="753"/>
      <c r="KJ196" s="753"/>
      <c r="KK196" s="765" t="s">
        <v>1506</v>
      </c>
      <c r="KL196" s="738">
        <v>140</v>
      </c>
      <c r="KM196" s="738">
        <v>588</v>
      </c>
      <c r="KN196" s="646" t="s">
        <v>617</v>
      </c>
      <c r="KO196" s="646" t="s">
        <v>1503</v>
      </c>
      <c r="KP196" s="679">
        <v>815370</v>
      </c>
      <c r="KQ196" s="789"/>
      <c r="KR196" s="750"/>
      <c r="KS196" s="766"/>
      <c r="KT196" s="770"/>
      <c r="KU196" s="789"/>
      <c r="KV196" s="750"/>
      <c r="KW196" s="771"/>
      <c r="KX196" s="750"/>
      <c r="KY196" s="766"/>
      <c r="KZ196" s="770"/>
    </row>
    <row r="197" s="628" customFormat="1" customHeight="1" spans="1:312">
      <c r="A197" s="682" t="s">
        <v>277</v>
      </c>
      <c r="B197" s="683">
        <v>193</v>
      </c>
      <c r="C197" s="781" t="s">
        <v>1507</v>
      </c>
      <c r="D197" s="679">
        <v>851401</v>
      </c>
      <c r="E197" s="685">
        <v>40.1</v>
      </c>
      <c r="F197" s="685">
        <v>39.85</v>
      </c>
      <c r="G197" s="688">
        <v>0.021229</v>
      </c>
      <c r="H197" s="686">
        <v>0.021488</v>
      </c>
      <c r="I197" s="696">
        <v>1.8039</v>
      </c>
      <c r="J197" s="696">
        <v>1.81087</v>
      </c>
      <c r="K197" s="696">
        <v>1.81878</v>
      </c>
      <c r="L197" s="696">
        <v>1.8265</v>
      </c>
      <c r="M197" s="696">
        <v>1.82801</v>
      </c>
      <c r="N197" s="696">
        <v>1.82929</v>
      </c>
      <c r="O197" s="696">
        <v>1.83442</v>
      </c>
      <c r="P197" s="696">
        <v>1.83808</v>
      </c>
      <c r="Q197" s="793">
        <v>1.84154</v>
      </c>
      <c r="R197" s="697">
        <v>1.84505</v>
      </c>
      <c r="S197" s="697">
        <v>1.84604</v>
      </c>
      <c r="T197" s="701">
        <v>1.84697</v>
      </c>
      <c r="U197" s="697">
        <v>1.85116</v>
      </c>
      <c r="V197" s="697">
        <v>1.85135</v>
      </c>
      <c r="W197" s="697">
        <v>1.85639</v>
      </c>
      <c r="X197" s="697">
        <v>1.86628</v>
      </c>
      <c r="Y197" s="697">
        <v>1.86753</v>
      </c>
      <c r="Z197" s="697">
        <v>1.87838</v>
      </c>
      <c r="AA197" s="697">
        <v>1.88871</v>
      </c>
      <c r="AB197" s="697">
        <v>1.90699</v>
      </c>
      <c r="AC197" s="704">
        <v>3.32860198</v>
      </c>
      <c r="AD197" s="705">
        <v>-0.0149218815</v>
      </c>
      <c r="AE197" s="705">
        <v>0.0329458426</v>
      </c>
      <c r="AF197" s="705">
        <v>0.00105526131</v>
      </c>
      <c r="AG197" s="705">
        <v>-2.14847086e-5</v>
      </c>
      <c r="AH197" s="705">
        <v>3.89175295e-6</v>
      </c>
      <c r="AI197" s="709">
        <v>0.2968</v>
      </c>
      <c r="AJ197" s="709">
        <v>0.2374</v>
      </c>
      <c r="AK197" s="709">
        <v>0.57</v>
      </c>
      <c r="AL197" s="709">
        <v>0.2471</v>
      </c>
      <c r="AM197" s="709">
        <v>0.2345</v>
      </c>
      <c r="AN197" s="709">
        <v>0.5049</v>
      </c>
      <c r="AO197" s="709">
        <v>-0.0022</v>
      </c>
      <c r="AP197" s="709">
        <v>-0.007</v>
      </c>
      <c r="AQ197" s="709">
        <v>0.008</v>
      </c>
      <c r="AR197" s="709">
        <v>0.0041</v>
      </c>
      <c r="AS197" s="714">
        <v>5</v>
      </c>
      <c r="AT197" s="714">
        <v>5.1</v>
      </c>
      <c r="AU197" s="714">
        <v>5.3</v>
      </c>
      <c r="AV197" s="714">
        <v>5.3</v>
      </c>
      <c r="AW197" s="714">
        <v>5.4</v>
      </c>
      <c r="AX197" s="714">
        <v>5.4</v>
      </c>
      <c r="AY197" s="714">
        <v>5.5</v>
      </c>
      <c r="AZ197" s="714">
        <v>5.6</v>
      </c>
      <c r="BA197" s="714">
        <v>5.7</v>
      </c>
      <c r="BB197" s="714">
        <v>5.8</v>
      </c>
      <c r="BC197" s="714">
        <v>5.8</v>
      </c>
      <c r="BD197" s="714">
        <v>5.3</v>
      </c>
      <c r="BE197" s="714">
        <v>5.4</v>
      </c>
      <c r="BF197" s="714">
        <v>5.6</v>
      </c>
      <c r="BG197" s="714">
        <v>5.6</v>
      </c>
      <c r="BH197" s="714">
        <v>5.7</v>
      </c>
      <c r="BI197" s="714">
        <v>5.7</v>
      </c>
      <c r="BJ197" s="714">
        <v>5.7</v>
      </c>
      <c r="BK197" s="714">
        <v>5.8</v>
      </c>
      <c r="BL197" s="714">
        <v>5.9</v>
      </c>
      <c r="BM197" s="714">
        <v>6</v>
      </c>
      <c r="BN197" s="714">
        <v>6</v>
      </c>
      <c r="BO197" s="714">
        <v>5.6</v>
      </c>
      <c r="BP197" s="714">
        <v>5.6</v>
      </c>
      <c r="BQ197" s="714">
        <v>5.8</v>
      </c>
      <c r="BR197" s="714">
        <v>5.9</v>
      </c>
      <c r="BS197" s="714">
        <v>6</v>
      </c>
      <c r="BT197" s="714">
        <v>6</v>
      </c>
      <c r="BU197" s="714">
        <v>6</v>
      </c>
      <c r="BV197" s="714">
        <v>6</v>
      </c>
      <c r="BW197" s="714">
        <v>6.1</v>
      </c>
      <c r="BX197" s="714">
        <v>6.1</v>
      </c>
      <c r="BY197" s="714">
        <v>6.1</v>
      </c>
      <c r="BZ197" s="714">
        <v>5.6</v>
      </c>
      <c r="CA197" s="714">
        <v>5.7</v>
      </c>
      <c r="CB197" s="714">
        <v>5.9</v>
      </c>
      <c r="CC197" s="714">
        <v>6</v>
      </c>
      <c r="CD197" s="714">
        <v>6.1</v>
      </c>
      <c r="CE197" s="714">
        <v>6.1</v>
      </c>
      <c r="CF197" s="714">
        <v>6.1</v>
      </c>
      <c r="CG197" s="714">
        <v>6.1</v>
      </c>
      <c r="CH197" s="714">
        <v>6.1</v>
      </c>
      <c r="CI197" s="714">
        <v>6.2</v>
      </c>
      <c r="CJ197" s="714">
        <v>6.2</v>
      </c>
      <c r="CK197" s="714">
        <v>5.7</v>
      </c>
      <c r="CL197" s="714">
        <v>5.8</v>
      </c>
      <c r="CM197" s="714">
        <v>6</v>
      </c>
      <c r="CN197" s="714">
        <v>6.1</v>
      </c>
      <c r="CO197" s="714">
        <v>6.2</v>
      </c>
      <c r="CP197" s="714">
        <v>6.2</v>
      </c>
      <c r="CQ197" s="714">
        <v>6.2</v>
      </c>
      <c r="CR197" s="714">
        <v>6.2</v>
      </c>
      <c r="CS197" s="714">
        <v>6.2</v>
      </c>
      <c r="CT197" s="714">
        <v>6.3</v>
      </c>
      <c r="CU197" s="714">
        <v>6.3</v>
      </c>
      <c r="CV197" s="714">
        <v>6</v>
      </c>
      <c r="CW197" s="714">
        <v>6</v>
      </c>
      <c r="CX197" s="714">
        <v>6.1</v>
      </c>
      <c r="CY197" s="714">
        <v>6.2</v>
      </c>
      <c r="CZ197" s="714">
        <v>6.3</v>
      </c>
      <c r="DA197" s="714">
        <v>6.4</v>
      </c>
      <c r="DB197" s="714">
        <v>6.4</v>
      </c>
      <c r="DC197" s="714">
        <v>6.4</v>
      </c>
      <c r="DD197" s="714">
        <v>6.5</v>
      </c>
      <c r="DE197" s="714">
        <v>6.6</v>
      </c>
      <c r="DF197" s="714">
        <v>6.7</v>
      </c>
      <c r="DG197" s="714">
        <v>6.1</v>
      </c>
      <c r="DH197" s="714">
        <v>6.3</v>
      </c>
      <c r="DI197" s="714">
        <v>6.4</v>
      </c>
      <c r="DJ197" s="714">
        <v>6.6</v>
      </c>
      <c r="DK197" s="714">
        <v>6.7</v>
      </c>
      <c r="DL197" s="714">
        <v>6.8</v>
      </c>
      <c r="DM197" s="714">
        <v>6.9</v>
      </c>
      <c r="DN197" s="714">
        <v>7</v>
      </c>
      <c r="DO197" s="714">
        <v>7.1</v>
      </c>
      <c r="DP197" s="714">
        <v>7.2</v>
      </c>
      <c r="DQ197" s="714">
        <v>7.3</v>
      </c>
      <c r="DR197" s="714">
        <v>6.4</v>
      </c>
      <c r="DS197" s="714">
        <v>6.6</v>
      </c>
      <c r="DT197" s="714">
        <v>6.6</v>
      </c>
      <c r="DU197" s="714">
        <v>6.6</v>
      </c>
      <c r="DV197" s="714">
        <v>6.8</v>
      </c>
      <c r="DW197" s="714">
        <v>6.9</v>
      </c>
      <c r="DX197" s="714">
        <v>7.1</v>
      </c>
      <c r="DY197" s="714">
        <v>7.2</v>
      </c>
      <c r="DZ197" s="714">
        <v>7.4</v>
      </c>
      <c r="EA197" s="714">
        <v>7.7</v>
      </c>
      <c r="EB197" s="714">
        <v>7.9</v>
      </c>
      <c r="EC197" s="714">
        <v>6.4</v>
      </c>
      <c r="ED197" s="714">
        <v>6.7</v>
      </c>
      <c r="EE197" s="714">
        <v>6.7</v>
      </c>
      <c r="EF197" s="714">
        <v>6.7</v>
      </c>
      <c r="EG197" s="714">
        <v>6.9</v>
      </c>
      <c r="EH197" s="714">
        <v>7</v>
      </c>
      <c r="EI197" s="714">
        <v>7.2</v>
      </c>
      <c r="EJ197" s="714">
        <v>7.3</v>
      </c>
      <c r="EK197" s="714">
        <v>7.5</v>
      </c>
      <c r="EL197" s="714">
        <v>7.7</v>
      </c>
      <c r="EM197" s="714">
        <v>7.9</v>
      </c>
      <c r="EN197" s="714">
        <v>6.9</v>
      </c>
      <c r="EO197" s="714">
        <v>7.4</v>
      </c>
      <c r="EP197" s="714">
        <v>7.7</v>
      </c>
      <c r="EQ197" s="714">
        <v>8</v>
      </c>
      <c r="ER197" s="714">
        <v>8.4</v>
      </c>
      <c r="ES197" s="714">
        <v>8.7</v>
      </c>
      <c r="ET197" s="714">
        <v>8.9</v>
      </c>
      <c r="EU197" s="714">
        <v>9.1</v>
      </c>
      <c r="EV197" s="714">
        <v>9.2</v>
      </c>
      <c r="EW197" s="714">
        <v>9.4</v>
      </c>
      <c r="EX197" s="714">
        <v>9.7</v>
      </c>
      <c r="EY197" s="714">
        <v>2.7</v>
      </c>
      <c r="EZ197" s="714">
        <v>3.3</v>
      </c>
      <c r="FA197" s="714">
        <v>3.9</v>
      </c>
      <c r="FB197" s="714">
        <v>4.3</v>
      </c>
      <c r="FC197" s="714">
        <v>4.6</v>
      </c>
      <c r="FD197" s="714">
        <v>4.8</v>
      </c>
      <c r="FE197" s="714">
        <v>4.9</v>
      </c>
      <c r="FF197" s="714">
        <v>5.1</v>
      </c>
      <c r="FG197" s="714">
        <v>5.2</v>
      </c>
      <c r="FH197" s="714">
        <v>5.4</v>
      </c>
      <c r="FI197" s="714">
        <v>5.5</v>
      </c>
      <c r="FJ197" s="725">
        <v>5.68e-6</v>
      </c>
      <c r="FK197" s="725">
        <v>1.13e-8</v>
      </c>
      <c r="FL197" s="725">
        <v>-2.8e-11</v>
      </c>
      <c r="FM197" s="725">
        <v>2.16e-7</v>
      </c>
      <c r="FN197" s="725">
        <v>4.91e-10</v>
      </c>
      <c r="FO197" s="725">
        <v>0.362</v>
      </c>
      <c r="FP197" s="729">
        <v>1</v>
      </c>
      <c r="FQ197" s="729">
        <v>1</v>
      </c>
      <c r="FR197" s="729">
        <v>1</v>
      </c>
      <c r="FS197" s="729">
        <v>3</v>
      </c>
      <c r="FT197" s="729">
        <v>1</v>
      </c>
      <c r="FU197" s="729">
        <v>1</v>
      </c>
      <c r="FV197" s="681">
        <v>1</v>
      </c>
      <c r="FW197" s="729"/>
      <c r="FX197" s="729"/>
      <c r="FY197" s="729"/>
      <c r="FZ197" s="788">
        <v>619</v>
      </c>
      <c r="GA197" s="788">
        <v>655</v>
      </c>
      <c r="GB197" s="681">
        <v>568</v>
      </c>
      <c r="GC197" s="681">
        <v>585</v>
      </c>
      <c r="GD197" s="747">
        <v>0.96</v>
      </c>
      <c r="GE197" s="729"/>
      <c r="GF197" s="681">
        <v>62</v>
      </c>
      <c r="GG197" s="681">
        <v>77</v>
      </c>
      <c r="GH197" s="681">
        <v>54</v>
      </c>
      <c r="GI197" s="681">
        <v>57</v>
      </c>
      <c r="GJ197" s="681">
        <v>58</v>
      </c>
      <c r="GK197" s="681">
        <v>60</v>
      </c>
      <c r="GL197" s="681">
        <v>61</v>
      </c>
      <c r="GM197" s="681">
        <v>62</v>
      </c>
      <c r="GN197" s="681">
        <v>63</v>
      </c>
      <c r="GO197" s="681">
        <v>64</v>
      </c>
      <c r="GP197" s="681">
        <v>64</v>
      </c>
      <c r="GQ197" s="681">
        <v>65</v>
      </c>
      <c r="GR197" s="681">
        <v>66</v>
      </c>
      <c r="GS197" s="681">
        <v>66</v>
      </c>
      <c r="GT197" s="681">
        <v>67</v>
      </c>
      <c r="GU197" s="681">
        <v>68</v>
      </c>
      <c r="GV197" s="681">
        <v>69</v>
      </c>
      <c r="GW197" s="681">
        <v>70</v>
      </c>
      <c r="GX197" s="681">
        <v>71</v>
      </c>
      <c r="GY197" s="681">
        <v>72</v>
      </c>
      <c r="GZ197" s="681">
        <v>73</v>
      </c>
      <c r="HA197" s="681">
        <v>74</v>
      </c>
      <c r="HB197" s="681">
        <v>75</v>
      </c>
      <c r="HC197" s="681">
        <v>148</v>
      </c>
      <c r="HD197" s="681">
        <v>148</v>
      </c>
      <c r="HE197" s="681"/>
      <c r="HF197" s="681">
        <v>634</v>
      </c>
      <c r="HG197" s="681">
        <v>75</v>
      </c>
      <c r="HH197" s="714">
        <v>127</v>
      </c>
      <c r="HI197" s="714">
        <v>47.2</v>
      </c>
      <c r="HJ197" s="753">
        <v>0.345</v>
      </c>
      <c r="HK197" s="681">
        <v>98</v>
      </c>
      <c r="HL197" s="685">
        <v>1.61</v>
      </c>
      <c r="HM197" s="747">
        <v>4.81</v>
      </c>
      <c r="HN197" s="729" t="s">
        <v>1192</v>
      </c>
      <c r="HO197" s="729" t="s">
        <v>1508</v>
      </c>
      <c r="HP197" s="714">
        <v>-0.8</v>
      </c>
      <c r="HQ197" s="753">
        <v>0.885</v>
      </c>
      <c r="HR197" s="753">
        <v>0.984</v>
      </c>
      <c r="HS197" s="753">
        <v>0.995</v>
      </c>
      <c r="HT197" s="753">
        <v>0.999</v>
      </c>
      <c r="HU197" s="753">
        <v>0.999</v>
      </c>
      <c r="HV197" s="753">
        <v>0.999</v>
      </c>
      <c r="HW197" s="753">
        <v>0.999</v>
      </c>
      <c r="HX197" s="753">
        <v>0.999</v>
      </c>
      <c r="HY197" s="753">
        <v>0.999</v>
      </c>
      <c r="HZ197" s="753">
        <v>0.999</v>
      </c>
      <c r="IA197" s="753">
        <v>0.999</v>
      </c>
      <c r="IB197" s="754">
        <v>0.999</v>
      </c>
      <c r="IC197" s="754">
        <v>0.999</v>
      </c>
      <c r="ID197" s="754">
        <v>0.999</v>
      </c>
      <c r="IE197" s="754">
        <v>0.999</v>
      </c>
      <c r="IF197" s="753">
        <v>0.999</v>
      </c>
      <c r="IG197" s="754">
        <v>0.999</v>
      </c>
      <c r="IH197" s="754">
        <v>0.999</v>
      </c>
      <c r="II197" s="754">
        <v>0.997</v>
      </c>
      <c r="IJ197" s="754">
        <v>0.995</v>
      </c>
      <c r="IK197" s="754">
        <v>0.992</v>
      </c>
      <c r="IL197" s="754">
        <v>0.988</v>
      </c>
      <c r="IM197" s="754">
        <v>0.984</v>
      </c>
      <c r="IN197" s="754">
        <v>0.971</v>
      </c>
      <c r="IO197" s="754">
        <v>0.958</v>
      </c>
      <c r="IP197" s="754">
        <v>0.935</v>
      </c>
      <c r="IQ197" s="754">
        <v>0.893</v>
      </c>
      <c r="IR197" s="754">
        <v>0.794</v>
      </c>
      <c r="IS197" s="754">
        <v>0.585</v>
      </c>
      <c r="IT197" s="754">
        <v>0.228</v>
      </c>
      <c r="IU197" s="754"/>
      <c r="IV197" s="754"/>
      <c r="IW197" s="754"/>
      <c r="IX197" s="753"/>
      <c r="IY197" s="753"/>
      <c r="IZ197" s="753"/>
      <c r="JA197" s="753">
        <v>0.783</v>
      </c>
      <c r="JB197" s="753">
        <v>0.968</v>
      </c>
      <c r="JC197" s="753">
        <v>0.99</v>
      </c>
      <c r="JD197" s="753">
        <v>0.998</v>
      </c>
      <c r="JE197" s="753">
        <v>0.998</v>
      </c>
      <c r="JF197" s="753">
        <v>0.998</v>
      </c>
      <c r="JG197" s="753">
        <v>0.998</v>
      </c>
      <c r="JH197" s="753">
        <v>0.998</v>
      </c>
      <c r="JI197" s="753">
        <v>0.998</v>
      </c>
      <c r="JJ197" s="753">
        <v>0.998</v>
      </c>
      <c r="JK197" s="753">
        <v>0.998</v>
      </c>
      <c r="JL197" s="754">
        <v>0.998</v>
      </c>
      <c r="JM197" s="754">
        <v>0.998</v>
      </c>
      <c r="JN197" s="754">
        <v>0.998</v>
      </c>
      <c r="JO197" s="754">
        <v>0.998</v>
      </c>
      <c r="JP197" s="754">
        <v>0.998</v>
      </c>
      <c r="JQ197" s="754">
        <v>0.998</v>
      </c>
      <c r="JR197" s="754">
        <v>0.998</v>
      </c>
      <c r="JS197" s="754">
        <v>0.995</v>
      </c>
      <c r="JT197" s="754">
        <v>0.992</v>
      </c>
      <c r="JU197" s="754">
        <v>0.989</v>
      </c>
      <c r="JV197" s="754">
        <v>0.983</v>
      </c>
      <c r="JW197" s="754">
        <v>0.972</v>
      </c>
      <c r="JX197" s="754">
        <v>0.949</v>
      </c>
      <c r="JY197" s="754">
        <v>0.923</v>
      </c>
      <c r="JZ197" s="754">
        <v>0.878</v>
      </c>
      <c r="KA197" s="754">
        <v>0.792</v>
      </c>
      <c r="KB197" s="754">
        <v>0.619</v>
      </c>
      <c r="KC197" s="754">
        <v>0.324</v>
      </c>
      <c r="KD197" s="754">
        <v>0.049</v>
      </c>
      <c r="KE197" s="754"/>
      <c r="KF197" s="754"/>
      <c r="KG197" s="754"/>
      <c r="KH197" s="753"/>
      <c r="KI197" s="753"/>
      <c r="KJ197" s="753"/>
      <c r="KK197" s="765" t="s">
        <v>1349</v>
      </c>
      <c r="KL197" s="738">
        <v>442</v>
      </c>
      <c r="KM197" s="738">
        <v>2126</v>
      </c>
      <c r="KN197" s="646" t="s">
        <v>282</v>
      </c>
      <c r="KO197" s="646" t="s">
        <v>1507</v>
      </c>
      <c r="KP197" s="679">
        <v>851401</v>
      </c>
      <c r="KQ197" s="789" t="s">
        <v>1509</v>
      </c>
      <c r="KR197" s="750" t="s">
        <v>1510</v>
      </c>
      <c r="KS197" s="789" t="s">
        <v>1511</v>
      </c>
      <c r="KT197" s="770" t="s">
        <v>1512</v>
      </c>
      <c r="KU197" s="789" t="s">
        <v>1513</v>
      </c>
      <c r="KV197" s="750">
        <v>851401</v>
      </c>
      <c r="KW197" s="771" t="s">
        <v>1196</v>
      </c>
      <c r="KX197" s="750" t="s">
        <v>1197</v>
      </c>
      <c r="KY197" s="789"/>
      <c r="KZ197" s="770"/>
    </row>
    <row r="198" s="628" customFormat="1" customHeight="1" spans="1:312">
      <c r="A198" s="682"/>
      <c r="B198" s="683">
        <v>194</v>
      </c>
      <c r="C198" s="781" t="s">
        <v>1514</v>
      </c>
      <c r="D198" s="679">
        <v>620364</v>
      </c>
      <c r="E198" s="685">
        <v>36.35</v>
      </c>
      <c r="F198" s="685">
        <v>36.09</v>
      </c>
      <c r="G198" s="688"/>
      <c r="H198" s="686">
        <v>0.017291</v>
      </c>
      <c r="I198" s="696">
        <v>1.58511</v>
      </c>
      <c r="J198" s="696">
        <v>1.5898</v>
      </c>
      <c r="K198" s="696">
        <v>1.59522</v>
      </c>
      <c r="L198" s="696">
        <v>1.60075</v>
      </c>
      <c r="M198" s="696">
        <v>1.60186</v>
      </c>
      <c r="N198" s="696">
        <v>1.60282</v>
      </c>
      <c r="O198" s="696">
        <v>1.60672</v>
      </c>
      <c r="P198" s="696">
        <v>1.60957</v>
      </c>
      <c r="Q198" s="793">
        <v>1.61228</v>
      </c>
      <c r="R198" s="697">
        <v>1.61504</v>
      </c>
      <c r="S198" s="697">
        <v>1.61582</v>
      </c>
      <c r="T198" s="701">
        <v>1.61656</v>
      </c>
      <c r="U198" s="697">
        <v>1.6199</v>
      </c>
      <c r="V198" s="697">
        <v>1.62005</v>
      </c>
      <c r="W198" s="697">
        <v>1.62408</v>
      </c>
      <c r="X198" s="697">
        <v>1.6321</v>
      </c>
      <c r="Y198" s="697">
        <v>1.63312</v>
      </c>
      <c r="Z198" s="697">
        <v>1.64205</v>
      </c>
      <c r="AA198" s="697">
        <v>1.65066</v>
      </c>
      <c r="AB198" s="697">
        <v>1.66625</v>
      </c>
      <c r="AC198" s="704">
        <v>2.55510802</v>
      </c>
      <c r="AD198" s="705">
        <v>-0.0086443101</v>
      </c>
      <c r="AE198" s="705">
        <v>0.0226592448</v>
      </c>
      <c r="AF198" s="705">
        <v>0.000822256872</v>
      </c>
      <c r="AG198" s="705">
        <v>-1.60646686e-5</v>
      </c>
      <c r="AH198" s="705">
        <v>4.04183096e-6</v>
      </c>
      <c r="AI198" s="709">
        <v>0.2937</v>
      </c>
      <c r="AJ198" s="709">
        <v>0.2362</v>
      </c>
      <c r="AK198" s="709">
        <v>0.5832</v>
      </c>
      <c r="AL198" s="709">
        <v>0.2445</v>
      </c>
      <c r="AM198" s="709">
        <v>0.2329</v>
      </c>
      <c r="AN198" s="709">
        <v>0.5162</v>
      </c>
      <c r="AO198" s="709">
        <v>0</v>
      </c>
      <c r="AP198" s="709">
        <v>0</v>
      </c>
      <c r="AQ198" s="709">
        <v>0</v>
      </c>
      <c r="AR198" s="709">
        <v>0.0001</v>
      </c>
      <c r="AS198" s="714">
        <v>1.2</v>
      </c>
      <c r="AT198" s="714">
        <v>1.2</v>
      </c>
      <c r="AU198" s="714">
        <v>1.3</v>
      </c>
      <c r="AV198" s="714">
        <v>1.3</v>
      </c>
      <c r="AW198" s="714">
        <v>1.4</v>
      </c>
      <c r="AX198" s="714">
        <v>1.4</v>
      </c>
      <c r="AY198" s="714">
        <v>1.5</v>
      </c>
      <c r="AZ198" s="714">
        <v>1.7</v>
      </c>
      <c r="BA198" s="714">
        <v>1.8</v>
      </c>
      <c r="BB198" s="714">
        <v>2</v>
      </c>
      <c r="BC198" s="714">
        <v>2.1</v>
      </c>
      <c r="BD198" s="714">
        <v>1.7</v>
      </c>
      <c r="BE198" s="714">
        <v>1.7</v>
      </c>
      <c r="BF198" s="714">
        <v>1.7</v>
      </c>
      <c r="BG198" s="714">
        <v>1.8</v>
      </c>
      <c r="BH198" s="714">
        <v>1.9</v>
      </c>
      <c r="BI198" s="714">
        <v>1.9</v>
      </c>
      <c r="BJ198" s="714">
        <v>2</v>
      </c>
      <c r="BK198" s="714">
        <v>2.1</v>
      </c>
      <c r="BL198" s="714">
        <v>2.2</v>
      </c>
      <c r="BM198" s="714">
        <v>2.3</v>
      </c>
      <c r="BN198" s="714">
        <v>2.4</v>
      </c>
      <c r="BO198" s="714">
        <v>2.1</v>
      </c>
      <c r="BP198" s="714">
        <v>2.1</v>
      </c>
      <c r="BQ198" s="714">
        <v>2.1</v>
      </c>
      <c r="BR198" s="714">
        <v>2.1</v>
      </c>
      <c r="BS198" s="714">
        <v>2.2</v>
      </c>
      <c r="BT198" s="714">
        <v>2.3</v>
      </c>
      <c r="BU198" s="714">
        <v>2.5</v>
      </c>
      <c r="BV198" s="714">
        <v>2.6</v>
      </c>
      <c r="BW198" s="714">
        <v>2.7</v>
      </c>
      <c r="BX198" s="714">
        <v>2.8</v>
      </c>
      <c r="BY198" s="714">
        <v>3</v>
      </c>
      <c r="BZ198" s="714">
        <v>2.1</v>
      </c>
      <c r="CA198" s="714">
        <v>2.1</v>
      </c>
      <c r="CB198" s="714">
        <v>2.1</v>
      </c>
      <c r="CC198" s="714">
        <v>2.1</v>
      </c>
      <c r="CD198" s="714">
        <v>2.2</v>
      </c>
      <c r="CE198" s="714">
        <v>2.4</v>
      </c>
      <c r="CF198" s="714">
        <v>2.6</v>
      </c>
      <c r="CG198" s="714">
        <v>2.6</v>
      </c>
      <c r="CH198" s="714">
        <v>2.7</v>
      </c>
      <c r="CI198" s="714">
        <v>2.9</v>
      </c>
      <c r="CJ198" s="714">
        <v>3.1</v>
      </c>
      <c r="CK198" s="714">
        <v>2.1</v>
      </c>
      <c r="CL198" s="714">
        <v>2.1</v>
      </c>
      <c r="CM198" s="714">
        <v>2.1</v>
      </c>
      <c r="CN198" s="714">
        <v>2.2</v>
      </c>
      <c r="CO198" s="714">
        <v>2.2</v>
      </c>
      <c r="CP198" s="714">
        <v>2.4</v>
      </c>
      <c r="CQ198" s="714">
        <v>2.6</v>
      </c>
      <c r="CR198" s="714">
        <v>2.7</v>
      </c>
      <c r="CS198" s="714">
        <v>2.8</v>
      </c>
      <c r="CT198" s="714">
        <v>3</v>
      </c>
      <c r="CU198" s="714">
        <v>3.2</v>
      </c>
      <c r="CV198" s="714">
        <v>2.3</v>
      </c>
      <c r="CW198" s="714">
        <v>2.3</v>
      </c>
      <c r="CX198" s="714">
        <v>2.4</v>
      </c>
      <c r="CY198" s="714">
        <v>2.5</v>
      </c>
      <c r="CZ198" s="714">
        <v>2.5</v>
      </c>
      <c r="DA198" s="714">
        <v>2.7</v>
      </c>
      <c r="DB198" s="714">
        <v>2.9</v>
      </c>
      <c r="DC198" s="714">
        <v>2.9</v>
      </c>
      <c r="DD198" s="714">
        <v>3.2</v>
      </c>
      <c r="DE198" s="714">
        <v>3.4</v>
      </c>
      <c r="DF198" s="714">
        <v>3.5</v>
      </c>
      <c r="DG198" s="714">
        <v>2.5</v>
      </c>
      <c r="DH198" s="714">
        <v>2.6</v>
      </c>
      <c r="DI198" s="714">
        <v>2.7</v>
      </c>
      <c r="DJ198" s="714">
        <v>2.8</v>
      </c>
      <c r="DK198" s="714">
        <v>3</v>
      </c>
      <c r="DL198" s="714">
        <v>3</v>
      </c>
      <c r="DM198" s="714">
        <v>3.4</v>
      </c>
      <c r="DN198" s="714">
        <v>3.5</v>
      </c>
      <c r="DO198" s="714">
        <v>3.7</v>
      </c>
      <c r="DP198" s="714">
        <v>3.8</v>
      </c>
      <c r="DQ198" s="714">
        <v>4.1</v>
      </c>
      <c r="DR198" s="714">
        <v>3.2</v>
      </c>
      <c r="DS198" s="714">
        <v>3.3</v>
      </c>
      <c r="DT198" s="714">
        <v>3.5</v>
      </c>
      <c r="DU198" s="714">
        <v>3.6</v>
      </c>
      <c r="DV198" s="714">
        <v>3.7</v>
      </c>
      <c r="DW198" s="714">
        <v>3.9</v>
      </c>
      <c r="DX198" s="714">
        <v>4.1</v>
      </c>
      <c r="DY198" s="714">
        <v>4.2</v>
      </c>
      <c r="DZ198" s="714">
        <v>4.3</v>
      </c>
      <c r="EA198" s="714">
        <v>4.5</v>
      </c>
      <c r="EB198" s="714">
        <v>4.7</v>
      </c>
      <c r="EC198" s="714">
        <v>3.3</v>
      </c>
      <c r="ED198" s="714">
        <v>3.4</v>
      </c>
      <c r="EE198" s="714">
        <v>3.6</v>
      </c>
      <c r="EF198" s="714">
        <v>3.7</v>
      </c>
      <c r="EG198" s="714">
        <v>3.8</v>
      </c>
      <c r="EH198" s="714">
        <v>4</v>
      </c>
      <c r="EI198" s="714">
        <v>4.2</v>
      </c>
      <c r="EJ198" s="714">
        <v>4.3</v>
      </c>
      <c r="EK198" s="714">
        <v>4.4</v>
      </c>
      <c r="EL198" s="714">
        <v>4.6</v>
      </c>
      <c r="EM198" s="714">
        <v>4.8</v>
      </c>
      <c r="EN198" s="714">
        <v>4.3</v>
      </c>
      <c r="EO198" s="714">
        <v>4.5</v>
      </c>
      <c r="EP198" s="714">
        <v>4.5</v>
      </c>
      <c r="EQ198" s="714">
        <v>4.6</v>
      </c>
      <c r="ER198" s="714">
        <v>4.9</v>
      </c>
      <c r="ES198" s="714">
        <v>5</v>
      </c>
      <c r="ET198" s="714">
        <v>5.2</v>
      </c>
      <c r="EU198" s="714">
        <v>5.3</v>
      </c>
      <c r="EV198" s="714">
        <v>5.5</v>
      </c>
      <c r="EW198" s="714">
        <v>5.7</v>
      </c>
      <c r="EX198" s="714">
        <v>5.9</v>
      </c>
      <c r="EY198" s="714">
        <v>-0.5</v>
      </c>
      <c r="EZ198" s="714">
        <v>-0.1</v>
      </c>
      <c r="FA198" s="714">
        <v>0.2</v>
      </c>
      <c r="FB198" s="714">
        <v>0.6</v>
      </c>
      <c r="FC198" s="714">
        <v>0.8</v>
      </c>
      <c r="FD198" s="714">
        <v>1.2</v>
      </c>
      <c r="FE198" s="714">
        <v>1.5</v>
      </c>
      <c r="FF198" s="714">
        <v>1.7</v>
      </c>
      <c r="FG198" s="714">
        <v>1.9</v>
      </c>
      <c r="FH198" s="714">
        <v>2.2</v>
      </c>
      <c r="FI198" s="714">
        <v>2.5</v>
      </c>
      <c r="FJ198" s="725">
        <v>-1.07e-6</v>
      </c>
      <c r="FK198" s="725">
        <v>1.43e-8</v>
      </c>
      <c r="FL198" s="725">
        <v>-1.76e-11</v>
      </c>
      <c r="FM198" s="725">
        <v>8.75e-7</v>
      </c>
      <c r="FN198" s="725">
        <v>5.84e-10</v>
      </c>
      <c r="FO198" s="725">
        <v>0.259</v>
      </c>
      <c r="FP198" s="729">
        <v>1</v>
      </c>
      <c r="FQ198" s="729">
        <v>3</v>
      </c>
      <c r="FR198" s="729">
        <v>1</v>
      </c>
      <c r="FS198" s="729">
        <v>1</v>
      </c>
      <c r="FT198" s="729">
        <v>1</v>
      </c>
      <c r="FU198" s="729">
        <v>1</v>
      </c>
      <c r="FV198" s="681">
        <v>3</v>
      </c>
      <c r="FW198" s="729"/>
      <c r="FX198" s="729"/>
      <c r="FY198" s="729"/>
      <c r="FZ198" s="788">
        <v>414</v>
      </c>
      <c r="GA198" s="788">
        <v>471</v>
      </c>
      <c r="GB198" s="681">
        <v>355</v>
      </c>
      <c r="GC198" s="681">
        <v>398</v>
      </c>
      <c r="GD198" s="747">
        <v>0.73</v>
      </c>
      <c r="GE198" s="729"/>
      <c r="GF198" s="681">
        <v>88</v>
      </c>
      <c r="GG198" s="681">
        <v>110</v>
      </c>
      <c r="GH198" s="681">
        <v>78</v>
      </c>
      <c r="GI198" s="681">
        <v>81</v>
      </c>
      <c r="GJ198" s="681">
        <v>83</v>
      </c>
      <c r="GK198" s="681">
        <v>85</v>
      </c>
      <c r="GL198" s="681">
        <v>86</v>
      </c>
      <c r="GM198" s="681">
        <v>88</v>
      </c>
      <c r="GN198" s="681">
        <v>89</v>
      </c>
      <c r="GO198" s="681">
        <v>90</v>
      </c>
      <c r="GP198" s="681">
        <v>91</v>
      </c>
      <c r="GQ198" s="681">
        <v>92</v>
      </c>
      <c r="GR198" s="681">
        <v>93</v>
      </c>
      <c r="GS198" s="681">
        <v>94</v>
      </c>
      <c r="GT198" s="681">
        <v>95</v>
      </c>
      <c r="GU198" s="681">
        <v>96</v>
      </c>
      <c r="GV198" s="681">
        <v>98</v>
      </c>
      <c r="GW198" s="681">
        <v>99</v>
      </c>
      <c r="GX198" s="681">
        <v>100</v>
      </c>
      <c r="GY198" s="681">
        <v>101</v>
      </c>
      <c r="GZ198" s="681">
        <v>103</v>
      </c>
      <c r="HA198" s="681">
        <v>104</v>
      </c>
      <c r="HB198" s="681">
        <v>105</v>
      </c>
      <c r="HC198" s="681"/>
      <c r="HD198" s="681">
        <v>48</v>
      </c>
      <c r="HE198" s="681"/>
      <c r="HF198" s="681">
        <v>418</v>
      </c>
      <c r="HG198" s="681">
        <v>172</v>
      </c>
      <c r="HH198" s="714">
        <v>58.4</v>
      </c>
      <c r="HI198" s="714">
        <v>23.3</v>
      </c>
      <c r="HJ198" s="753">
        <v>0.251</v>
      </c>
      <c r="HK198" s="681">
        <v>60</v>
      </c>
      <c r="HL198" s="685">
        <v>2.48</v>
      </c>
      <c r="HM198" s="747">
        <v>3.57</v>
      </c>
      <c r="HN198" s="729" t="s">
        <v>1515</v>
      </c>
      <c r="HO198" s="729" t="s">
        <v>1516</v>
      </c>
      <c r="HP198" s="714">
        <v>0.5</v>
      </c>
      <c r="HQ198" s="753">
        <v>0.889</v>
      </c>
      <c r="HR198" s="753">
        <v>0.918</v>
      </c>
      <c r="HS198" s="753">
        <v>0.964</v>
      </c>
      <c r="HT198" s="753">
        <v>0.986</v>
      </c>
      <c r="HU198" s="753">
        <v>0.999</v>
      </c>
      <c r="HV198" s="753">
        <v>0.999</v>
      </c>
      <c r="HW198" s="753">
        <v>0.999</v>
      </c>
      <c r="HX198" s="753">
        <v>0.999</v>
      </c>
      <c r="HY198" s="753">
        <v>0.999</v>
      </c>
      <c r="HZ198" s="753">
        <v>0.999</v>
      </c>
      <c r="IA198" s="753">
        <v>0.999</v>
      </c>
      <c r="IB198" s="754">
        <v>0.999</v>
      </c>
      <c r="IC198" s="754">
        <v>0.999</v>
      </c>
      <c r="ID198" s="754">
        <v>0.999</v>
      </c>
      <c r="IE198" s="754">
        <v>0.999</v>
      </c>
      <c r="IF198" s="753">
        <v>0.999</v>
      </c>
      <c r="IG198" s="754">
        <v>0.999</v>
      </c>
      <c r="IH198" s="754">
        <v>0.999</v>
      </c>
      <c r="II198" s="754">
        <v>0.999</v>
      </c>
      <c r="IJ198" s="754">
        <v>0.999</v>
      </c>
      <c r="IK198" s="754">
        <v>0.999</v>
      </c>
      <c r="IL198" s="754">
        <v>0.997</v>
      </c>
      <c r="IM198" s="754">
        <v>0.995</v>
      </c>
      <c r="IN198" s="754">
        <v>0.993</v>
      </c>
      <c r="IO198" s="754">
        <v>0.991</v>
      </c>
      <c r="IP198" s="754">
        <v>0.987</v>
      </c>
      <c r="IQ198" s="754">
        <v>0.982</v>
      </c>
      <c r="IR198" s="754">
        <v>0.971</v>
      </c>
      <c r="IS198" s="754">
        <v>0.94</v>
      </c>
      <c r="IT198" s="754">
        <v>0.855</v>
      </c>
      <c r="IU198" s="754">
        <v>0.62</v>
      </c>
      <c r="IV198" s="754">
        <v>0.178</v>
      </c>
      <c r="IW198" s="754"/>
      <c r="IX198" s="753"/>
      <c r="IY198" s="753"/>
      <c r="IZ198" s="753"/>
      <c r="JA198" s="753">
        <v>0.79</v>
      </c>
      <c r="JB198" s="753">
        <v>0.843</v>
      </c>
      <c r="JC198" s="753">
        <v>0.93</v>
      </c>
      <c r="JD198" s="753">
        <v>0.972</v>
      </c>
      <c r="JE198" s="753">
        <v>0.998</v>
      </c>
      <c r="JF198" s="753">
        <v>0.998</v>
      </c>
      <c r="JG198" s="753">
        <v>0.998</v>
      </c>
      <c r="JH198" s="753">
        <v>0.998</v>
      </c>
      <c r="JI198" s="753">
        <v>0.998</v>
      </c>
      <c r="JJ198" s="753">
        <v>0.998</v>
      </c>
      <c r="JK198" s="753">
        <v>0.998</v>
      </c>
      <c r="JL198" s="754">
        <v>0.998</v>
      </c>
      <c r="JM198" s="754">
        <v>0.998</v>
      </c>
      <c r="JN198" s="754">
        <v>0.998</v>
      </c>
      <c r="JO198" s="754">
        <v>0.998</v>
      </c>
      <c r="JP198" s="754">
        <v>0.998</v>
      </c>
      <c r="JQ198" s="754">
        <v>0.998</v>
      </c>
      <c r="JR198" s="754">
        <v>0.998</v>
      </c>
      <c r="JS198" s="754">
        <v>0.998</v>
      </c>
      <c r="JT198" s="754">
        <v>0.998</v>
      </c>
      <c r="JU198" s="754">
        <v>0.998</v>
      </c>
      <c r="JV198" s="754">
        <v>0.994</v>
      </c>
      <c r="JW198" s="754">
        <v>0.99</v>
      </c>
      <c r="JX198" s="754">
        <v>0.986</v>
      </c>
      <c r="JY198" s="754">
        <v>0.978</v>
      </c>
      <c r="JZ198" s="754">
        <v>0.968</v>
      </c>
      <c r="KA198" s="754">
        <v>0.957</v>
      </c>
      <c r="KB198" s="754">
        <v>0.932</v>
      </c>
      <c r="KC198" s="754">
        <v>0.874</v>
      </c>
      <c r="KD198" s="754">
        <v>0.725</v>
      </c>
      <c r="KE198" s="754">
        <v>0.383</v>
      </c>
      <c r="KF198" s="754">
        <v>0.036</v>
      </c>
      <c r="KG198" s="754"/>
      <c r="KH198" s="753"/>
      <c r="KI198" s="753"/>
      <c r="KJ198" s="753"/>
      <c r="KK198" s="765" t="s">
        <v>281</v>
      </c>
      <c r="KL198" s="738"/>
      <c r="KM198" s="738"/>
      <c r="KN198" s="646"/>
      <c r="KO198" s="646" t="s">
        <v>1514</v>
      </c>
      <c r="KP198" s="679">
        <v>620364</v>
      </c>
      <c r="KQ198" s="789"/>
      <c r="KR198" s="750"/>
      <c r="KS198" s="789" t="s">
        <v>1514</v>
      </c>
      <c r="KT198" s="770" t="s">
        <v>720</v>
      </c>
      <c r="KU198" s="789"/>
      <c r="KV198" s="750"/>
      <c r="KW198" s="771"/>
      <c r="KX198" s="750"/>
      <c r="KY198" s="789" t="s">
        <v>1517</v>
      </c>
      <c r="KZ198" s="770" t="s">
        <v>720</v>
      </c>
    </row>
    <row r="199" s="628" customFormat="1" spans="2:312">
      <c r="B199" s="659"/>
      <c r="C199" s="660"/>
      <c r="I199" s="667"/>
      <c r="J199" s="667"/>
      <c r="K199" s="667"/>
      <c r="L199" s="667"/>
      <c r="M199" s="667"/>
      <c r="N199" s="667"/>
      <c r="O199" s="667"/>
      <c r="P199" s="667"/>
      <c r="Q199" s="667"/>
      <c r="R199" s="667"/>
      <c r="S199" s="667"/>
      <c r="T199" s="794"/>
      <c r="U199" s="667"/>
      <c r="V199" s="667"/>
      <c r="W199" s="667"/>
      <c r="X199" s="667"/>
      <c r="Y199" s="667"/>
      <c r="Z199" s="667"/>
      <c r="AA199" s="667"/>
      <c r="AB199" s="667"/>
      <c r="AC199" s="795"/>
      <c r="AD199" s="795"/>
      <c r="AE199" s="795"/>
      <c r="AF199" s="795"/>
      <c r="AG199" s="795"/>
      <c r="AH199" s="795"/>
      <c r="AI199" s="796"/>
      <c r="AJ199" s="796"/>
      <c r="AK199" s="796"/>
      <c r="AL199" s="796"/>
      <c r="AM199" s="796"/>
      <c r="AN199" s="796"/>
      <c r="AO199" s="796"/>
      <c r="AP199" s="796"/>
      <c r="AQ199" s="796"/>
      <c r="AR199" s="796"/>
      <c r="AS199" s="797"/>
      <c r="AT199" s="797"/>
      <c r="AU199" s="797"/>
      <c r="AV199" s="797"/>
      <c r="AW199" s="797"/>
      <c r="AX199" s="797"/>
      <c r="AY199" s="797"/>
      <c r="AZ199" s="797"/>
      <c r="BA199" s="797"/>
      <c r="BB199" s="797"/>
      <c r="BC199" s="797"/>
      <c r="BD199" s="797"/>
      <c r="BE199" s="797"/>
      <c r="BF199" s="797"/>
      <c r="BG199" s="797"/>
      <c r="BH199" s="797"/>
      <c r="BI199" s="797"/>
      <c r="BJ199" s="797"/>
      <c r="BK199" s="797"/>
      <c r="BL199" s="797"/>
      <c r="BM199" s="797"/>
      <c r="BN199" s="797"/>
      <c r="BO199" s="797"/>
      <c r="BP199" s="797"/>
      <c r="BQ199" s="797"/>
      <c r="BR199" s="797"/>
      <c r="BS199" s="797"/>
      <c r="BT199" s="797"/>
      <c r="BU199" s="797"/>
      <c r="BV199" s="797"/>
      <c r="BW199" s="797"/>
      <c r="BX199" s="797"/>
      <c r="BY199" s="797"/>
      <c r="BZ199" s="797"/>
      <c r="CA199" s="797"/>
      <c r="CB199" s="797"/>
      <c r="CC199" s="797"/>
      <c r="CD199" s="797"/>
      <c r="CE199" s="797"/>
      <c r="CF199" s="797"/>
      <c r="CG199" s="797"/>
      <c r="CH199" s="797"/>
      <c r="CI199" s="797"/>
      <c r="CJ199" s="797"/>
      <c r="CK199" s="797"/>
      <c r="CL199" s="797"/>
      <c r="CM199" s="797"/>
      <c r="CN199" s="797"/>
      <c r="CO199" s="797"/>
      <c r="CP199" s="797"/>
      <c r="CQ199" s="797"/>
      <c r="CR199" s="797"/>
      <c r="CS199" s="797"/>
      <c r="CT199" s="797"/>
      <c r="CU199" s="797"/>
      <c r="CV199" s="797"/>
      <c r="CW199" s="797"/>
      <c r="CX199" s="797"/>
      <c r="CY199" s="797"/>
      <c r="CZ199" s="797"/>
      <c r="DA199" s="797"/>
      <c r="DB199" s="797"/>
      <c r="DC199" s="797"/>
      <c r="DD199" s="797"/>
      <c r="DE199" s="797"/>
      <c r="DF199" s="797"/>
      <c r="DG199" s="670"/>
      <c r="DH199" s="670"/>
      <c r="DI199" s="670"/>
      <c r="DJ199" s="670"/>
      <c r="DK199" s="670"/>
      <c r="DL199" s="670"/>
      <c r="DM199" s="670"/>
      <c r="DN199" s="670"/>
      <c r="DO199" s="670"/>
      <c r="DP199" s="670"/>
      <c r="DQ199" s="670"/>
      <c r="DR199" s="797"/>
      <c r="DS199" s="797"/>
      <c r="DT199" s="797"/>
      <c r="DU199" s="797"/>
      <c r="DV199" s="797"/>
      <c r="DW199" s="797"/>
      <c r="DX199" s="797"/>
      <c r="DY199" s="797"/>
      <c r="DZ199" s="797"/>
      <c r="EA199" s="797"/>
      <c r="EB199" s="797"/>
      <c r="EC199" s="797"/>
      <c r="ED199" s="797"/>
      <c r="EE199" s="797"/>
      <c r="EF199" s="797"/>
      <c r="EG199" s="797"/>
      <c r="EH199" s="797"/>
      <c r="EI199" s="797"/>
      <c r="EJ199" s="797"/>
      <c r="EK199" s="797"/>
      <c r="EL199" s="797"/>
      <c r="EM199" s="797"/>
      <c r="EN199" s="797"/>
      <c r="EO199" s="797"/>
      <c r="EP199" s="797"/>
      <c r="EQ199" s="797"/>
      <c r="ER199" s="797"/>
      <c r="ES199" s="797"/>
      <c r="ET199" s="797"/>
      <c r="EU199" s="797"/>
      <c r="EV199" s="797"/>
      <c r="EW199" s="797"/>
      <c r="EX199" s="797"/>
      <c r="EY199" s="797"/>
      <c r="EZ199" s="797"/>
      <c r="FA199" s="797"/>
      <c r="FB199" s="797"/>
      <c r="FC199" s="797"/>
      <c r="FD199" s="797"/>
      <c r="FE199" s="797"/>
      <c r="FF199" s="797"/>
      <c r="FG199" s="797"/>
      <c r="FH199" s="797"/>
      <c r="FI199" s="797"/>
      <c r="FJ199" s="798"/>
      <c r="FK199" s="798"/>
      <c r="FL199" s="798"/>
      <c r="FM199" s="798"/>
      <c r="FN199" s="798"/>
      <c r="FO199" s="798"/>
      <c r="FP199" s="661"/>
      <c r="FQ199" s="661"/>
      <c r="FR199" s="661"/>
      <c r="FS199" s="661"/>
      <c r="FT199" s="661"/>
      <c r="FU199" s="661"/>
      <c r="FV199" s="800"/>
      <c r="FW199" s="661"/>
      <c r="FX199" s="661"/>
      <c r="FY199" s="661"/>
      <c r="FZ199" s="801"/>
      <c r="GA199" s="801"/>
      <c r="GB199" s="800"/>
      <c r="GC199" s="800"/>
      <c r="GD199" s="802"/>
      <c r="GE199" s="661"/>
      <c r="GF199" s="800"/>
      <c r="GG199" s="800"/>
      <c r="GH199" s="800"/>
      <c r="GI199" s="800"/>
      <c r="GJ199" s="800"/>
      <c r="GK199" s="800"/>
      <c r="GL199" s="800"/>
      <c r="GM199" s="800"/>
      <c r="GN199" s="800"/>
      <c r="GO199" s="800"/>
      <c r="GP199" s="800"/>
      <c r="GQ199" s="800"/>
      <c r="GR199" s="800"/>
      <c r="GS199" s="800"/>
      <c r="GT199" s="800"/>
      <c r="GU199" s="800"/>
      <c r="GV199" s="800"/>
      <c r="GW199" s="800"/>
      <c r="GX199" s="800"/>
      <c r="GY199" s="800"/>
      <c r="GZ199" s="800"/>
      <c r="HA199" s="800"/>
      <c r="HB199" s="800"/>
      <c r="HC199" s="800"/>
      <c r="HD199" s="803"/>
      <c r="HE199" s="800"/>
      <c r="HF199" s="800"/>
      <c r="HG199" s="800"/>
      <c r="HH199" s="797"/>
      <c r="HI199" s="797"/>
      <c r="HJ199" s="804"/>
      <c r="HK199" s="800"/>
      <c r="HL199" s="665"/>
      <c r="HM199" s="802"/>
      <c r="HN199" s="661"/>
      <c r="HO199" s="661"/>
      <c r="HP199" s="797"/>
      <c r="HQ199" s="804"/>
      <c r="HR199" s="804"/>
      <c r="HS199" s="804"/>
      <c r="HT199" s="804"/>
      <c r="HU199" s="804"/>
      <c r="HV199" s="804"/>
      <c r="HW199" s="804"/>
      <c r="HX199" s="804"/>
      <c r="HY199" s="804"/>
      <c r="HZ199" s="804"/>
      <c r="IA199" s="804"/>
      <c r="IB199" s="804"/>
      <c r="IC199" s="804"/>
      <c r="ID199" s="804"/>
      <c r="IE199" s="804"/>
      <c r="IF199" s="804"/>
      <c r="IG199" s="804"/>
      <c r="IH199" s="804"/>
      <c r="II199" s="804"/>
      <c r="IJ199" s="804"/>
      <c r="IK199" s="804"/>
      <c r="IL199" s="804"/>
      <c r="IM199" s="804"/>
      <c r="IN199" s="804"/>
      <c r="IO199" s="804"/>
      <c r="IP199" s="804"/>
      <c r="IQ199" s="804"/>
      <c r="IR199" s="804"/>
      <c r="IS199" s="804"/>
      <c r="IT199" s="804"/>
      <c r="IU199" s="804"/>
      <c r="IV199" s="804"/>
      <c r="IW199" s="804"/>
      <c r="IX199" s="804"/>
      <c r="IY199" s="804"/>
      <c r="IZ199" s="804"/>
      <c r="JA199" s="804"/>
      <c r="JB199" s="804"/>
      <c r="JC199" s="804"/>
      <c r="JD199" s="804"/>
      <c r="JE199" s="804"/>
      <c r="JF199" s="804"/>
      <c r="JG199" s="804"/>
      <c r="JH199" s="804"/>
      <c r="JI199" s="804"/>
      <c r="JJ199" s="804"/>
      <c r="JK199" s="804"/>
      <c r="JL199" s="804"/>
      <c r="JM199" s="804"/>
      <c r="JN199" s="804"/>
      <c r="JO199" s="804"/>
      <c r="JP199" s="804"/>
      <c r="JQ199" s="804"/>
      <c r="JR199" s="804"/>
      <c r="JS199" s="804"/>
      <c r="JT199" s="804"/>
      <c r="JU199" s="804"/>
      <c r="JV199" s="804"/>
      <c r="JW199" s="804"/>
      <c r="JX199" s="804"/>
      <c r="JY199" s="804"/>
      <c r="JZ199" s="804"/>
      <c r="KA199" s="804"/>
      <c r="KB199" s="804"/>
      <c r="KC199" s="804"/>
      <c r="KD199" s="804"/>
      <c r="KE199" s="804"/>
      <c r="KF199" s="804"/>
      <c r="KG199" s="804"/>
      <c r="KH199" s="804"/>
      <c r="KI199" s="804"/>
      <c r="KJ199" s="804"/>
      <c r="KK199" s="806"/>
      <c r="KL199" s="669"/>
      <c r="KM199" s="669"/>
      <c r="KQ199" s="761"/>
      <c r="KR199" s="762"/>
      <c r="KS199" s="761"/>
      <c r="KT199" s="762"/>
      <c r="KU199" s="761"/>
      <c r="KV199" s="762"/>
      <c r="KW199" s="761"/>
      <c r="KX199" s="762"/>
      <c r="KY199" s="761"/>
      <c r="KZ199" s="807"/>
    </row>
    <row r="200" s="628" customFormat="1" spans="2:312">
      <c r="B200" s="659"/>
      <c r="C200" s="662"/>
      <c r="E200" s="665"/>
      <c r="F200" s="665"/>
      <c r="G200" s="666"/>
      <c r="H200" s="666"/>
      <c r="I200" s="667"/>
      <c r="J200" s="667"/>
      <c r="K200" s="667"/>
      <c r="L200" s="667"/>
      <c r="M200" s="667"/>
      <c r="N200" s="667"/>
      <c r="O200" s="667"/>
      <c r="P200" s="667"/>
      <c r="Q200" s="667"/>
      <c r="R200" s="667"/>
      <c r="S200" s="667"/>
      <c r="T200" s="667"/>
      <c r="U200" s="667"/>
      <c r="V200" s="667"/>
      <c r="W200" s="667"/>
      <c r="X200" s="667"/>
      <c r="Y200" s="667"/>
      <c r="Z200" s="667"/>
      <c r="AA200" s="667"/>
      <c r="AB200" s="667"/>
      <c r="FJ200" s="668"/>
      <c r="FK200" s="668"/>
      <c r="FL200" s="668"/>
      <c r="FM200" s="668"/>
      <c r="FN200" s="668"/>
      <c r="FO200" s="668"/>
      <c r="FV200" s="669"/>
      <c r="FZ200" s="669"/>
      <c r="GA200" s="669"/>
      <c r="GB200" s="669"/>
      <c r="GC200" s="669"/>
      <c r="GD200" s="665"/>
      <c r="GF200" s="669"/>
      <c r="GG200" s="669"/>
      <c r="GH200" s="669"/>
      <c r="GI200" s="669"/>
      <c r="GJ200" s="669"/>
      <c r="GK200" s="669"/>
      <c r="GL200" s="669"/>
      <c r="GM200" s="669"/>
      <c r="GN200" s="669"/>
      <c r="GO200" s="669"/>
      <c r="GP200" s="669"/>
      <c r="GQ200" s="669"/>
      <c r="GR200" s="669"/>
      <c r="GS200" s="669"/>
      <c r="GT200" s="669"/>
      <c r="GU200" s="669"/>
      <c r="GV200" s="669"/>
      <c r="GW200" s="669"/>
      <c r="GX200" s="669"/>
      <c r="GY200" s="669"/>
      <c r="GZ200" s="669"/>
      <c r="HA200" s="669"/>
      <c r="HB200" s="669"/>
      <c r="HC200" s="669"/>
      <c r="HD200" s="669"/>
      <c r="HE200" s="669"/>
      <c r="HF200" s="669"/>
      <c r="HG200" s="669"/>
      <c r="HH200" s="670"/>
      <c r="HI200" s="670"/>
      <c r="HJ200" s="671"/>
      <c r="HK200" s="669"/>
      <c r="HL200" s="665"/>
      <c r="HM200" s="665"/>
      <c r="HP200" s="670"/>
      <c r="HQ200" s="671"/>
      <c r="HR200" s="671"/>
      <c r="HS200" s="671"/>
      <c r="HT200" s="805"/>
      <c r="HU200" s="671"/>
      <c r="HV200" s="671"/>
      <c r="HW200" s="671"/>
      <c r="HX200" s="671"/>
      <c r="HY200" s="671"/>
      <c r="HZ200" s="671"/>
      <c r="IA200" s="671"/>
      <c r="IB200" s="671"/>
      <c r="IC200" s="671"/>
      <c r="ID200" s="671"/>
      <c r="IE200" s="671"/>
      <c r="IF200" s="671"/>
      <c r="IG200" s="671"/>
      <c r="IH200" s="671"/>
      <c r="II200" s="671"/>
      <c r="IJ200" s="671"/>
      <c r="IK200" s="671"/>
      <c r="IL200" s="671"/>
      <c r="IM200" s="671"/>
      <c r="IN200" s="671"/>
      <c r="IO200" s="671"/>
      <c r="IP200" s="671"/>
      <c r="IQ200" s="671"/>
      <c r="IR200" s="671"/>
      <c r="IS200" s="671"/>
      <c r="IT200" s="671"/>
      <c r="IU200" s="671"/>
      <c r="IV200" s="671"/>
      <c r="IW200" s="671"/>
      <c r="IX200" s="671"/>
      <c r="IY200" s="671"/>
      <c r="IZ200" s="671"/>
      <c r="JA200" s="671"/>
      <c r="JB200" s="671"/>
      <c r="JC200" s="671"/>
      <c r="JD200" s="671"/>
      <c r="JE200" s="671"/>
      <c r="JF200" s="671"/>
      <c r="JG200" s="671"/>
      <c r="JH200" s="671"/>
      <c r="JI200" s="671"/>
      <c r="JJ200" s="671"/>
      <c r="JK200" s="671"/>
      <c r="JL200" s="671"/>
      <c r="JM200" s="671"/>
      <c r="JN200" s="671"/>
      <c r="JO200" s="671"/>
      <c r="JP200" s="671"/>
      <c r="JQ200" s="671"/>
      <c r="JR200" s="671"/>
      <c r="JS200" s="671"/>
      <c r="JT200" s="671"/>
      <c r="JU200" s="671"/>
      <c r="JV200" s="671"/>
      <c r="JW200" s="671"/>
      <c r="JX200" s="671"/>
      <c r="JY200" s="671"/>
      <c r="JZ200" s="671"/>
      <c r="KA200" s="671"/>
      <c r="KB200" s="671"/>
      <c r="KC200" s="671"/>
      <c r="KD200" s="671"/>
      <c r="KE200" s="671"/>
      <c r="KF200" s="671"/>
      <c r="KG200" s="671"/>
      <c r="KH200" s="671"/>
      <c r="KI200" s="671"/>
      <c r="KJ200" s="671"/>
      <c r="KL200" s="669"/>
      <c r="KM200" s="669"/>
      <c r="KQ200" s="672"/>
      <c r="KR200" s="673"/>
      <c r="KS200" s="672"/>
      <c r="KT200" s="673"/>
      <c r="KU200" s="672"/>
      <c r="KV200" s="673"/>
      <c r="KW200" s="672"/>
      <c r="KX200" s="673"/>
      <c r="KY200" s="672"/>
      <c r="KZ200" s="673"/>
    </row>
    <row r="201" s="628" customFormat="1" spans="2:312">
      <c r="B201" s="659"/>
      <c r="C201" s="662"/>
      <c r="E201" s="665"/>
      <c r="F201" s="665"/>
      <c r="G201" s="666"/>
      <c r="H201" s="666"/>
      <c r="I201" s="667"/>
      <c r="J201" s="667"/>
      <c r="K201" s="667"/>
      <c r="L201" s="667"/>
      <c r="M201" s="667"/>
      <c r="N201" s="667"/>
      <c r="O201" s="667"/>
      <c r="P201" s="667"/>
      <c r="Q201" s="667"/>
      <c r="R201" s="667"/>
      <c r="S201" s="667"/>
      <c r="T201" s="667"/>
      <c r="U201" s="667"/>
      <c r="V201" s="667"/>
      <c r="W201" s="667"/>
      <c r="X201" s="667"/>
      <c r="Y201" s="667"/>
      <c r="Z201" s="667"/>
      <c r="AA201" s="667"/>
      <c r="AB201" s="667"/>
      <c r="FJ201" s="668"/>
      <c r="FK201" s="668"/>
      <c r="FL201" s="668"/>
      <c r="FM201" s="668"/>
      <c r="FN201" s="668"/>
      <c r="FO201" s="668"/>
      <c r="FV201" s="669"/>
      <c r="FZ201" s="669"/>
      <c r="GA201" s="669"/>
      <c r="GB201" s="669"/>
      <c r="GC201" s="669"/>
      <c r="GD201" s="665"/>
      <c r="GF201" s="669"/>
      <c r="GG201" s="669"/>
      <c r="GH201" s="669"/>
      <c r="GI201" s="669"/>
      <c r="GJ201" s="669"/>
      <c r="GK201" s="669"/>
      <c r="GL201" s="669"/>
      <c r="GM201" s="669"/>
      <c r="GN201" s="669"/>
      <c r="GO201" s="669"/>
      <c r="GP201" s="669"/>
      <c r="GQ201" s="669"/>
      <c r="GR201" s="669"/>
      <c r="GS201" s="669"/>
      <c r="GT201" s="669"/>
      <c r="GU201" s="669"/>
      <c r="GV201" s="669"/>
      <c r="GW201" s="669"/>
      <c r="GX201" s="669"/>
      <c r="GY201" s="669"/>
      <c r="GZ201" s="669"/>
      <c r="HA201" s="669"/>
      <c r="HB201" s="669"/>
      <c r="HC201" s="669"/>
      <c r="HD201" s="669"/>
      <c r="HE201" s="669"/>
      <c r="HF201" s="669"/>
      <c r="HG201" s="669"/>
      <c r="HH201" s="670"/>
      <c r="HI201" s="670"/>
      <c r="HJ201" s="671"/>
      <c r="HK201" s="669"/>
      <c r="HL201" s="665"/>
      <c r="HM201" s="665"/>
      <c r="HP201" s="670"/>
      <c r="HQ201" s="671"/>
      <c r="HR201" s="671"/>
      <c r="HS201" s="671"/>
      <c r="HT201" s="805"/>
      <c r="HU201" s="671"/>
      <c r="HV201" s="671"/>
      <c r="HW201" s="671"/>
      <c r="HX201" s="671"/>
      <c r="HY201" s="671"/>
      <c r="HZ201" s="671"/>
      <c r="IA201" s="671"/>
      <c r="IB201" s="671"/>
      <c r="IC201" s="671"/>
      <c r="ID201" s="671"/>
      <c r="IE201" s="671"/>
      <c r="IF201" s="671"/>
      <c r="IG201" s="671"/>
      <c r="IH201" s="671"/>
      <c r="II201" s="671"/>
      <c r="IJ201" s="671"/>
      <c r="IK201" s="671"/>
      <c r="IL201" s="671"/>
      <c r="IM201" s="671"/>
      <c r="IN201" s="671"/>
      <c r="IO201" s="671"/>
      <c r="IP201" s="671"/>
      <c r="IQ201" s="671"/>
      <c r="IR201" s="671"/>
      <c r="IS201" s="671"/>
      <c r="IT201" s="671"/>
      <c r="IU201" s="671"/>
      <c r="IV201" s="671"/>
      <c r="IW201" s="671"/>
      <c r="IX201" s="671"/>
      <c r="IY201" s="671"/>
      <c r="IZ201" s="671"/>
      <c r="JA201" s="671"/>
      <c r="JB201" s="671"/>
      <c r="JC201" s="671"/>
      <c r="JD201" s="671"/>
      <c r="JE201" s="671"/>
      <c r="JF201" s="671"/>
      <c r="JG201" s="671"/>
      <c r="JH201" s="671"/>
      <c r="JI201" s="671"/>
      <c r="JJ201" s="671"/>
      <c r="JK201" s="671"/>
      <c r="JL201" s="671"/>
      <c r="JM201" s="671"/>
      <c r="JN201" s="671"/>
      <c r="JO201" s="671"/>
      <c r="JP201" s="671"/>
      <c r="JQ201" s="671"/>
      <c r="JR201" s="671"/>
      <c r="JS201" s="671"/>
      <c r="JT201" s="671"/>
      <c r="JU201" s="671"/>
      <c r="JV201" s="671"/>
      <c r="JW201" s="671"/>
      <c r="JX201" s="671"/>
      <c r="JY201" s="671"/>
      <c r="JZ201" s="671"/>
      <c r="KA201" s="671"/>
      <c r="KB201" s="671"/>
      <c r="KC201" s="671"/>
      <c r="KD201" s="671"/>
      <c r="KE201" s="671"/>
      <c r="KF201" s="671"/>
      <c r="KG201" s="671"/>
      <c r="KH201" s="671"/>
      <c r="KI201" s="671"/>
      <c r="KJ201" s="671"/>
      <c r="KL201" s="669"/>
      <c r="KM201" s="669"/>
      <c r="KQ201" s="672"/>
      <c r="KR201" s="673"/>
      <c r="KS201" s="672"/>
      <c r="KT201" s="673"/>
      <c r="KU201" s="672"/>
      <c r="KV201" s="673"/>
      <c r="KW201" s="672"/>
      <c r="KX201" s="673"/>
      <c r="KY201" s="672"/>
      <c r="KZ201" s="673"/>
    </row>
    <row r="202" s="628" customFormat="1" spans="2:312">
      <c r="B202" s="659"/>
      <c r="C202" s="662"/>
      <c r="E202" s="665"/>
      <c r="F202" s="665"/>
      <c r="G202" s="666"/>
      <c r="H202" s="666"/>
      <c r="I202" s="667"/>
      <c r="J202" s="667"/>
      <c r="K202" s="667"/>
      <c r="L202" s="667"/>
      <c r="M202" s="667"/>
      <c r="N202" s="667"/>
      <c r="O202" s="667"/>
      <c r="P202" s="667"/>
      <c r="Q202" s="667"/>
      <c r="R202" s="667"/>
      <c r="S202" s="667"/>
      <c r="T202" s="667"/>
      <c r="U202" s="667"/>
      <c r="V202" s="667"/>
      <c r="W202" s="667"/>
      <c r="X202" s="667"/>
      <c r="Y202" s="667"/>
      <c r="Z202" s="667"/>
      <c r="AA202" s="667"/>
      <c r="AB202" s="667"/>
      <c r="FJ202" s="668"/>
      <c r="FK202" s="668"/>
      <c r="FL202" s="668"/>
      <c r="FM202" s="668"/>
      <c r="FN202" s="668"/>
      <c r="FO202" s="668"/>
      <c r="FV202" s="669"/>
      <c r="FZ202" s="669"/>
      <c r="GA202" s="669"/>
      <c r="GB202" s="669"/>
      <c r="GC202" s="669"/>
      <c r="GD202" s="665"/>
      <c r="GF202" s="669"/>
      <c r="GG202" s="669"/>
      <c r="GH202" s="669"/>
      <c r="GI202" s="669"/>
      <c r="GJ202" s="669"/>
      <c r="GK202" s="669"/>
      <c r="GL202" s="669"/>
      <c r="GM202" s="669"/>
      <c r="GN202" s="669"/>
      <c r="GO202" s="669"/>
      <c r="GP202" s="669"/>
      <c r="GQ202" s="669"/>
      <c r="GR202" s="669"/>
      <c r="GS202" s="669"/>
      <c r="GT202" s="669"/>
      <c r="GU202" s="669"/>
      <c r="GV202" s="669"/>
      <c r="GW202" s="669"/>
      <c r="GX202" s="669"/>
      <c r="GY202" s="669"/>
      <c r="GZ202" s="669"/>
      <c r="HA202" s="669"/>
      <c r="HB202" s="669"/>
      <c r="HC202" s="669"/>
      <c r="HD202" s="669"/>
      <c r="HE202" s="669"/>
      <c r="HF202" s="669"/>
      <c r="HG202" s="669"/>
      <c r="HH202" s="670"/>
      <c r="HI202" s="670"/>
      <c r="HJ202" s="671"/>
      <c r="HK202" s="669"/>
      <c r="HL202" s="665"/>
      <c r="HM202" s="665"/>
      <c r="HP202" s="670"/>
      <c r="HQ202" s="671"/>
      <c r="HR202" s="671"/>
      <c r="HS202" s="671"/>
      <c r="HT202" s="805"/>
      <c r="HU202" s="671"/>
      <c r="HV202" s="671"/>
      <c r="HW202" s="671"/>
      <c r="HX202" s="671"/>
      <c r="HY202" s="671"/>
      <c r="HZ202" s="671"/>
      <c r="IA202" s="671"/>
      <c r="IB202" s="671"/>
      <c r="IC202" s="671"/>
      <c r="ID202" s="671"/>
      <c r="IE202" s="671"/>
      <c r="IF202" s="671"/>
      <c r="IG202" s="671"/>
      <c r="IH202" s="671"/>
      <c r="II202" s="671"/>
      <c r="IJ202" s="671"/>
      <c r="IK202" s="671"/>
      <c r="IL202" s="671"/>
      <c r="IM202" s="671"/>
      <c r="IN202" s="671"/>
      <c r="IO202" s="671"/>
      <c r="IP202" s="671"/>
      <c r="IQ202" s="671"/>
      <c r="IR202" s="671"/>
      <c r="IS202" s="671"/>
      <c r="IT202" s="671"/>
      <c r="IU202" s="671"/>
      <c r="IV202" s="671"/>
      <c r="IW202" s="671"/>
      <c r="IX202" s="671"/>
      <c r="IY202" s="671"/>
      <c r="IZ202" s="671"/>
      <c r="JA202" s="671"/>
      <c r="JB202" s="671"/>
      <c r="JC202" s="671"/>
      <c r="JD202" s="671"/>
      <c r="JE202" s="671"/>
      <c r="JF202" s="671"/>
      <c r="JG202" s="671"/>
      <c r="JH202" s="671"/>
      <c r="JI202" s="671"/>
      <c r="JJ202" s="671"/>
      <c r="JK202" s="671"/>
      <c r="JL202" s="671"/>
      <c r="JM202" s="671"/>
      <c r="JN202" s="671"/>
      <c r="JO202" s="671"/>
      <c r="JP202" s="671"/>
      <c r="JQ202" s="671"/>
      <c r="JR202" s="671"/>
      <c r="JS202" s="671"/>
      <c r="JT202" s="671"/>
      <c r="JU202" s="671"/>
      <c r="JV202" s="671"/>
      <c r="JW202" s="671"/>
      <c r="JX202" s="671"/>
      <c r="JY202" s="671"/>
      <c r="JZ202" s="671"/>
      <c r="KA202" s="671"/>
      <c r="KB202" s="671"/>
      <c r="KC202" s="671"/>
      <c r="KD202" s="671"/>
      <c r="KE202" s="671"/>
      <c r="KF202" s="671"/>
      <c r="KG202" s="671"/>
      <c r="KH202" s="671"/>
      <c r="KI202" s="671"/>
      <c r="KJ202" s="671"/>
      <c r="KL202" s="669"/>
      <c r="KM202" s="669"/>
      <c r="KQ202" s="672"/>
      <c r="KR202" s="673"/>
      <c r="KS202" s="672"/>
      <c r="KT202" s="673"/>
      <c r="KU202" s="672"/>
      <c r="KV202" s="673"/>
      <c r="KW202" s="672"/>
      <c r="KX202" s="673"/>
      <c r="KY202" s="672"/>
      <c r="KZ202" s="673"/>
    </row>
    <row r="203" s="628" customFormat="1" spans="2:312">
      <c r="B203" s="659"/>
      <c r="C203" s="662"/>
      <c r="E203" s="665"/>
      <c r="F203" s="665"/>
      <c r="G203" s="666"/>
      <c r="H203" s="666"/>
      <c r="I203" s="667"/>
      <c r="J203" s="667"/>
      <c r="K203" s="667"/>
      <c r="L203" s="667"/>
      <c r="M203" s="667"/>
      <c r="N203" s="667"/>
      <c r="O203" s="667"/>
      <c r="P203" s="667"/>
      <c r="Q203" s="667"/>
      <c r="R203" s="667"/>
      <c r="S203" s="667"/>
      <c r="T203" s="667"/>
      <c r="U203" s="667"/>
      <c r="V203" s="667"/>
      <c r="W203" s="667"/>
      <c r="X203" s="667"/>
      <c r="Y203" s="667"/>
      <c r="Z203" s="667"/>
      <c r="AA203" s="667"/>
      <c r="AB203" s="667"/>
      <c r="FJ203" s="668"/>
      <c r="FK203" s="668"/>
      <c r="FL203" s="668"/>
      <c r="FM203" s="668"/>
      <c r="FN203" s="668"/>
      <c r="FO203" s="668"/>
      <c r="FV203" s="669"/>
      <c r="FZ203" s="669"/>
      <c r="GA203" s="669"/>
      <c r="GB203" s="669"/>
      <c r="GC203" s="669"/>
      <c r="GD203" s="665"/>
      <c r="GF203" s="669"/>
      <c r="GG203" s="669"/>
      <c r="GH203" s="669"/>
      <c r="GI203" s="669"/>
      <c r="GJ203" s="669"/>
      <c r="GK203" s="669"/>
      <c r="GL203" s="669"/>
      <c r="GM203" s="669"/>
      <c r="GN203" s="669"/>
      <c r="GO203" s="669"/>
      <c r="GP203" s="669"/>
      <c r="GQ203" s="669"/>
      <c r="GR203" s="669"/>
      <c r="GS203" s="669"/>
      <c r="GT203" s="669"/>
      <c r="GU203" s="669"/>
      <c r="GV203" s="669"/>
      <c r="GW203" s="669"/>
      <c r="GX203" s="669"/>
      <c r="GY203" s="669"/>
      <c r="GZ203" s="669"/>
      <c r="HA203" s="669"/>
      <c r="HB203" s="669"/>
      <c r="HC203" s="669"/>
      <c r="HD203" s="669"/>
      <c r="HE203" s="669"/>
      <c r="HF203" s="669"/>
      <c r="HG203" s="669"/>
      <c r="HH203" s="670"/>
      <c r="HI203" s="670"/>
      <c r="HJ203" s="671"/>
      <c r="HK203" s="669"/>
      <c r="HL203" s="665"/>
      <c r="HM203" s="665"/>
      <c r="HP203" s="670"/>
      <c r="HQ203" s="671"/>
      <c r="HR203" s="671"/>
      <c r="HS203" s="671"/>
      <c r="HT203" s="805"/>
      <c r="HU203" s="671"/>
      <c r="HV203" s="671"/>
      <c r="HW203" s="671"/>
      <c r="HX203" s="671"/>
      <c r="HY203" s="671"/>
      <c r="HZ203" s="671"/>
      <c r="IA203" s="671"/>
      <c r="IB203" s="671"/>
      <c r="IC203" s="671"/>
      <c r="ID203" s="671"/>
      <c r="IE203" s="671"/>
      <c r="IF203" s="671"/>
      <c r="IG203" s="671"/>
      <c r="IH203" s="671"/>
      <c r="II203" s="671"/>
      <c r="IJ203" s="671"/>
      <c r="IK203" s="671"/>
      <c r="IL203" s="671"/>
      <c r="IM203" s="671"/>
      <c r="IN203" s="671"/>
      <c r="IO203" s="671"/>
      <c r="IP203" s="671"/>
      <c r="IQ203" s="671"/>
      <c r="IR203" s="671"/>
      <c r="IS203" s="671"/>
      <c r="IT203" s="671"/>
      <c r="IU203" s="671"/>
      <c r="IV203" s="671"/>
      <c r="IW203" s="671"/>
      <c r="IX203" s="671"/>
      <c r="IY203" s="671"/>
      <c r="IZ203" s="671"/>
      <c r="JA203" s="671"/>
      <c r="JB203" s="671"/>
      <c r="JC203" s="671"/>
      <c r="JD203" s="671"/>
      <c r="JE203" s="671"/>
      <c r="JF203" s="671"/>
      <c r="JG203" s="671"/>
      <c r="JH203" s="671"/>
      <c r="JI203" s="671"/>
      <c r="JJ203" s="671"/>
      <c r="JK203" s="671"/>
      <c r="JL203" s="671"/>
      <c r="JM203" s="671"/>
      <c r="JN203" s="671"/>
      <c r="JO203" s="671"/>
      <c r="JP203" s="671"/>
      <c r="JQ203" s="671"/>
      <c r="JR203" s="671"/>
      <c r="JS203" s="671"/>
      <c r="JT203" s="671"/>
      <c r="JU203" s="671"/>
      <c r="JV203" s="671"/>
      <c r="JW203" s="671"/>
      <c r="JX203" s="671"/>
      <c r="JY203" s="671"/>
      <c r="JZ203" s="671"/>
      <c r="KA203" s="671"/>
      <c r="KB203" s="671"/>
      <c r="KC203" s="671"/>
      <c r="KD203" s="671"/>
      <c r="KE203" s="671"/>
      <c r="KF203" s="671"/>
      <c r="KG203" s="671"/>
      <c r="KH203" s="671"/>
      <c r="KI203" s="671"/>
      <c r="KJ203" s="671"/>
      <c r="KL203" s="669"/>
      <c r="KM203" s="669"/>
      <c r="KQ203" s="672"/>
      <c r="KR203" s="673"/>
      <c r="KS203" s="672"/>
      <c r="KT203" s="673"/>
      <c r="KU203" s="672"/>
      <c r="KV203" s="673"/>
      <c r="KW203" s="672"/>
      <c r="KX203" s="673"/>
      <c r="KY203" s="672"/>
      <c r="KZ203" s="673"/>
    </row>
    <row r="204" s="628" customFormat="1" spans="2:312">
      <c r="B204" s="659"/>
      <c r="C204" s="662"/>
      <c r="E204" s="665"/>
      <c r="F204" s="665"/>
      <c r="G204" s="666"/>
      <c r="H204" s="666"/>
      <c r="I204" s="667"/>
      <c r="J204" s="667"/>
      <c r="K204" s="667"/>
      <c r="L204" s="667"/>
      <c r="M204" s="667"/>
      <c r="N204" s="667"/>
      <c r="O204" s="667"/>
      <c r="P204" s="667"/>
      <c r="Q204" s="667"/>
      <c r="R204" s="667"/>
      <c r="S204" s="667"/>
      <c r="T204" s="667"/>
      <c r="U204" s="667"/>
      <c r="V204" s="667"/>
      <c r="W204" s="667"/>
      <c r="X204" s="667"/>
      <c r="Y204" s="667"/>
      <c r="Z204" s="667"/>
      <c r="AA204" s="667"/>
      <c r="AB204" s="667"/>
      <c r="FJ204" s="668"/>
      <c r="FK204" s="668"/>
      <c r="FL204" s="668"/>
      <c r="FM204" s="668"/>
      <c r="FN204" s="668"/>
      <c r="FO204" s="668"/>
      <c r="FV204" s="669"/>
      <c r="FZ204" s="669"/>
      <c r="GA204" s="669"/>
      <c r="GB204" s="669"/>
      <c r="GC204" s="669"/>
      <c r="GD204" s="665"/>
      <c r="GF204" s="669"/>
      <c r="GG204" s="669"/>
      <c r="GH204" s="669"/>
      <c r="GI204" s="669"/>
      <c r="GJ204" s="669"/>
      <c r="GK204" s="669"/>
      <c r="GL204" s="669"/>
      <c r="GM204" s="669"/>
      <c r="GN204" s="669"/>
      <c r="GO204" s="669"/>
      <c r="GP204" s="669"/>
      <c r="GQ204" s="669"/>
      <c r="GR204" s="669"/>
      <c r="GS204" s="669"/>
      <c r="GT204" s="669"/>
      <c r="GU204" s="669"/>
      <c r="GV204" s="669"/>
      <c r="GW204" s="669"/>
      <c r="GX204" s="669"/>
      <c r="GY204" s="669"/>
      <c r="GZ204" s="669"/>
      <c r="HA204" s="669"/>
      <c r="HB204" s="669"/>
      <c r="HC204" s="669"/>
      <c r="HD204" s="669"/>
      <c r="HE204" s="669"/>
      <c r="HF204" s="669"/>
      <c r="HG204" s="669"/>
      <c r="HH204" s="670"/>
      <c r="HI204" s="670"/>
      <c r="HJ204" s="671"/>
      <c r="HK204" s="669"/>
      <c r="HL204" s="665"/>
      <c r="HM204" s="665"/>
      <c r="HP204" s="670"/>
      <c r="HQ204" s="671"/>
      <c r="HR204" s="671"/>
      <c r="HS204" s="671"/>
      <c r="HT204" s="805"/>
      <c r="HU204" s="671"/>
      <c r="HV204" s="671"/>
      <c r="HW204" s="671"/>
      <c r="HX204" s="671"/>
      <c r="HY204" s="671"/>
      <c r="HZ204" s="671"/>
      <c r="IA204" s="671"/>
      <c r="IB204" s="671"/>
      <c r="IC204" s="671"/>
      <c r="ID204" s="671"/>
      <c r="IE204" s="671"/>
      <c r="IF204" s="671"/>
      <c r="IG204" s="671"/>
      <c r="IH204" s="671"/>
      <c r="II204" s="671"/>
      <c r="IJ204" s="671"/>
      <c r="IK204" s="671"/>
      <c r="IL204" s="671"/>
      <c r="IM204" s="671"/>
      <c r="IN204" s="671"/>
      <c r="IO204" s="671"/>
      <c r="IP204" s="671"/>
      <c r="IQ204" s="671"/>
      <c r="IR204" s="671"/>
      <c r="IS204" s="671"/>
      <c r="IT204" s="671"/>
      <c r="IU204" s="671"/>
      <c r="IV204" s="671"/>
      <c r="IW204" s="671"/>
      <c r="IX204" s="671"/>
      <c r="IY204" s="671"/>
      <c r="IZ204" s="671"/>
      <c r="JA204" s="671"/>
      <c r="JB204" s="671"/>
      <c r="JC204" s="671"/>
      <c r="JD204" s="671"/>
      <c r="JE204" s="671"/>
      <c r="JF204" s="671"/>
      <c r="JG204" s="671"/>
      <c r="JH204" s="671"/>
      <c r="JI204" s="671"/>
      <c r="JJ204" s="671"/>
      <c r="JK204" s="671"/>
      <c r="JL204" s="671"/>
      <c r="JM204" s="671"/>
      <c r="JN204" s="671"/>
      <c r="JO204" s="671"/>
      <c r="JP204" s="671"/>
      <c r="JQ204" s="671"/>
      <c r="JR204" s="671"/>
      <c r="JS204" s="671"/>
      <c r="JT204" s="671"/>
      <c r="JU204" s="671"/>
      <c r="JV204" s="671"/>
      <c r="JW204" s="671"/>
      <c r="JX204" s="671"/>
      <c r="JY204" s="671"/>
      <c r="JZ204" s="671"/>
      <c r="KA204" s="671"/>
      <c r="KB204" s="671"/>
      <c r="KC204" s="671"/>
      <c r="KD204" s="671"/>
      <c r="KE204" s="671"/>
      <c r="KF204" s="671"/>
      <c r="KG204" s="671"/>
      <c r="KH204" s="671"/>
      <c r="KI204" s="671"/>
      <c r="KJ204" s="671"/>
      <c r="KL204" s="669"/>
      <c r="KM204" s="669"/>
      <c r="KQ204" s="672"/>
      <c r="KR204" s="673"/>
      <c r="KS204" s="672"/>
      <c r="KT204" s="673"/>
      <c r="KU204" s="672"/>
      <c r="KV204" s="673"/>
      <c r="KW204" s="672"/>
      <c r="KX204" s="673"/>
      <c r="KY204" s="672"/>
      <c r="KZ204" s="673"/>
    </row>
    <row r="205" s="628" customFormat="1" spans="2:312">
      <c r="B205" s="659"/>
      <c r="C205" s="662"/>
      <c r="E205" s="665"/>
      <c r="F205" s="665"/>
      <c r="G205" s="666"/>
      <c r="H205" s="666"/>
      <c r="I205" s="667"/>
      <c r="J205" s="667"/>
      <c r="K205" s="667"/>
      <c r="L205" s="667"/>
      <c r="M205" s="667"/>
      <c r="N205" s="667"/>
      <c r="O205" s="667"/>
      <c r="P205" s="667"/>
      <c r="Q205" s="667"/>
      <c r="R205" s="667"/>
      <c r="S205" s="667"/>
      <c r="T205" s="667"/>
      <c r="U205" s="667"/>
      <c r="V205" s="667"/>
      <c r="W205" s="667"/>
      <c r="X205" s="667"/>
      <c r="Y205" s="667"/>
      <c r="Z205" s="667"/>
      <c r="AA205" s="667"/>
      <c r="AB205" s="667"/>
      <c r="FJ205" s="668"/>
      <c r="FK205" s="668"/>
      <c r="FL205" s="668"/>
      <c r="FM205" s="668"/>
      <c r="FN205" s="668"/>
      <c r="FO205" s="668"/>
      <c r="FV205" s="669"/>
      <c r="FZ205" s="669"/>
      <c r="GA205" s="669"/>
      <c r="GB205" s="669"/>
      <c r="GC205" s="669"/>
      <c r="GD205" s="665"/>
      <c r="GF205" s="669"/>
      <c r="GG205" s="669"/>
      <c r="GH205" s="669"/>
      <c r="GI205" s="669"/>
      <c r="GJ205" s="669"/>
      <c r="GK205" s="669"/>
      <c r="GL205" s="669"/>
      <c r="GM205" s="669"/>
      <c r="GN205" s="669"/>
      <c r="GO205" s="669"/>
      <c r="GP205" s="669"/>
      <c r="GQ205" s="669"/>
      <c r="GR205" s="669"/>
      <c r="GS205" s="669"/>
      <c r="GT205" s="669"/>
      <c r="GU205" s="669"/>
      <c r="GV205" s="669"/>
      <c r="GW205" s="669"/>
      <c r="GX205" s="669"/>
      <c r="GY205" s="669"/>
      <c r="GZ205" s="669"/>
      <c r="HA205" s="669"/>
      <c r="HB205" s="669"/>
      <c r="HC205" s="669"/>
      <c r="HD205" s="669"/>
      <c r="HE205" s="669"/>
      <c r="HF205" s="669"/>
      <c r="HG205" s="669"/>
      <c r="HH205" s="670"/>
      <c r="HI205" s="670"/>
      <c r="HJ205" s="671"/>
      <c r="HK205" s="669"/>
      <c r="HL205" s="665"/>
      <c r="HM205" s="665"/>
      <c r="HP205" s="670"/>
      <c r="HQ205" s="671"/>
      <c r="HR205" s="671"/>
      <c r="HS205" s="671"/>
      <c r="HT205" s="805"/>
      <c r="HU205" s="671"/>
      <c r="HV205" s="671"/>
      <c r="HW205" s="671"/>
      <c r="HX205" s="671"/>
      <c r="HY205" s="671"/>
      <c r="HZ205" s="671"/>
      <c r="IA205" s="671"/>
      <c r="IB205" s="671"/>
      <c r="IC205" s="671"/>
      <c r="ID205" s="671"/>
      <c r="IE205" s="671"/>
      <c r="IF205" s="671"/>
      <c r="IG205" s="671"/>
      <c r="IH205" s="671"/>
      <c r="II205" s="671"/>
      <c r="IJ205" s="671"/>
      <c r="IK205" s="671"/>
      <c r="IL205" s="671"/>
      <c r="IM205" s="671"/>
      <c r="IN205" s="671"/>
      <c r="IO205" s="671"/>
      <c r="IP205" s="671"/>
      <c r="IQ205" s="671"/>
      <c r="IR205" s="671"/>
      <c r="IS205" s="671"/>
      <c r="IT205" s="671"/>
      <c r="IU205" s="671"/>
      <c r="IV205" s="671"/>
      <c r="IW205" s="671"/>
      <c r="IX205" s="671"/>
      <c r="IY205" s="671"/>
      <c r="IZ205" s="671"/>
      <c r="JA205" s="671"/>
      <c r="JB205" s="671"/>
      <c r="JC205" s="671"/>
      <c r="JD205" s="671"/>
      <c r="JE205" s="671"/>
      <c r="JF205" s="671"/>
      <c r="JG205" s="671"/>
      <c r="JH205" s="671"/>
      <c r="JI205" s="671"/>
      <c r="JJ205" s="671"/>
      <c r="JK205" s="671"/>
      <c r="JL205" s="671"/>
      <c r="JM205" s="671"/>
      <c r="JN205" s="671"/>
      <c r="JO205" s="671"/>
      <c r="JP205" s="671"/>
      <c r="JQ205" s="671"/>
      <c r="JR205" s="671"/>
      <c r="JS205" s="671"/>
      <c r="JT205" s="671"/>
      <c r="JU205" s="671"/>
      <c r="JV205" s="671"/>
      <c r="JW205" s="671"/>
      <c r="JX205" s="671"/>
      <c r="JY205" s="671"/>
      <c r="JZ205" s="671"/>
      <c r="KA205" s="671"/>
      <c r="KB205" s="671"/>
      <c r="KC205" s="671"/>
      <c r="KD205" s="671"/>
      <c r="KE205" s="671"/>
      <c r="KF205" s="671"/>
      <c r="KG205" s="671"/>
      <c r="KH205" s="671"/>
      <c r="KI205" s="671"/>
      <c r="KJ205" s="671"/>
      <c r="KL205" s="669"/>
      <c r="KM205" s="669"/>
      <c r="KQ205" s="672"/>
      <c r="KR205" s="673"/>
      <c r="KS205" s="672"/>
      <c r="KT205" s="673"/>
      <c r="KU205" s="672"/>
      <c r="KV205" s="673"/>
      <c r="KW205" s="672"/>
      <c r="KX205" s="673"/>
      <c r="KY205" s="672"/>
      <c r="KZ205" s="673"/>
    </row>
    <row r="206" s="628" customFormat="1" spans="2:312">
      <c r="B206" s="659"/>
      <c r="C206" s="662"/>
      <c r="E206" s="665"/>
      <c r="F206" s="665"/>
      <c r="G206" s="666"/>
      <c r="H206" s="666"/>
      <c r="I206" s="667"/>
      <c r="J206" s="667"/>
      <c r="K206" s="667"/>
      <c r="L206" s="667"/>
      <c r="M206" s="667"/>
      <c r="N206" s="667"/>
      <c r="O206" s="667"/>
      <c r="P206" s="667"/>
      <c r="Q206" s="667"/>
      <c r="R206" s="667"/>
      <c r="S206" s="667"/>
      <c r="T206" s="667"/>
      <c r="U206" s="667"/>
      <c r="V206" s="667"/>
      <c r="W206" s="667"/>
      <c r="X206" s="667"/>
      <c r="Y206" s="667"/>
      <c r="Z206" s="667"/>
      <c r="AA206" s="667"/>
      <c r="AB206" s="667"/>
      <c r="FJ206" s="668"/>
      <c r="FK206" s="668"/>
      <c r="FL206" s="668"/>
      <c r="FM206" s="668"/>
      <c r="FN206" s="668"/>
      <c r="FO206" s="668"/>
      <c r="FV206" s="669"/>
      <c r="FZ206" s="669"/>
      <c r="GA206" s="669"/>
      <c r="GB206" s="669"/>
      <c r="GC206" s="669"/>
      <c r="GD206" s="665"/>
      <c r="GF206" s="669"/>
      <c r="GG206" s="669"/>
      <c r="GH206" s="669"/>
      <c r="GI206" s="669"/>
      <c r="GJ206" s="669"/>
      <c r="GK206" s="669"/>
      <c r="GL206" s="669"/>
      <c r="GM206" s="669"/>
      <c r="GN206" s="669"/>
      <c r="GO206" s="669"/>
      <c r="GP206" s="669"/>
      <c r="GQ206" s="669"/>
      <c r="GR206" s="669"/>
      <c r="GS206" s="669"/>
      <c r="GT206" s="669"/>
      <c r="GU206" s="669"/>
      <c r="GV206" s="669"/>
      <c r="GW206" s="669"/>
      <c r="GX206" s="669"/>
      <c r="GY206" s="669"/>
      <c r="GZ206" s="669"/>
      <c r="HA206" s="669"/>
      <c r="HB206" s="669"/>
      <c r="HC206" s="669"/>
      <c r="HD206" s="669"/>
      <c r="HE206" s="669"/>
      <c r="HF206" s="669"/>
      <c r="HG206" s="669"/>
      <c r="HH206" s="670"/>
      <c r="HI206" s="670"/>
      <c r="HJ206" s="671"/>
      <c r="HK206" s="669"/>
      <c r="HL206" s="665"/>
      <c r="HM206" s="665"/>
      <c r="HP206" s="670"/>
      <c r="HQ206" s="671"/>
      <c r="HR206" s="671"/>
      <c r="HS206" s="671"/>
      <c r="HT206" s="805"/>
      <c r="HU206" s="671"/>
      <c r="HV206" s="671"/>
      <c r="HW206" s="671"/>
      <c r="HX206" s="671"/>
      <c r="HY206" s="671"/>
      <c r="HZ206" s="671"/>
      <c r="IA206" s="671"/>
      <c r="IB206" s="671"/>
      <c r="IC206" s="671"/>
      <c r="ID206" s="671"/>
      <c r="IE206" s="671"/>
      <c r="IF206" s="671"/>
      <c r="IG206" s="671"/>
      <c r="IH206" s="671"/>
      <c r="II206" s="671"/>
      <c r="IJ206" s="671"/>
      <c r="IK206" s="671"/>
      <c r="IL206" s="671"/>
      <c r="IM206" s="671"/>
      <c r="IN206" s="671"/>
      <c r="IO206" s="671"/>
      <c r="IP206" s="671"/>
      <c r="IQ206" s="671"/>
      <c r="IR206" s="671"/>
      <c r="IS206" s="671"/>
      <c r="IT206" s="671"/>
      <c r="IU206" s="671"/>
      <c r="IV206" s="671"/>
      <c r="IW206" s="671"/>
      <c r="IX206" s="671"/>
      <c r="IY206" s="671"/>
      <c r="IZ206" s="671"/>
      <c r="JA206" s="671"/>
      <c r="JB206" s="671"/>
      <c r="JC206" s="671"/>
      <c r="JD206" s="671"/>
      <c r="JE206" s="671"/>
      <c r="JF206" s="671"/>
      <c r="JG206" s="671"/>
      <c r="JH206" s="671"/>
      <c r="JI206" s="671"/>
      <c r="JJ206" s="671"/>
      <c r="JK206" s="671"/>
      <c r="JL206" s="671"/>
      <c r="JM206" s="671"/>
      <c r="JN206" s="671"/>
      <c r="JO206" s="671"/>
      <c r="JP206" s="671"/>
      <c r="JQ206" s="671"/>
      <c r="JR206" s="671"/>
      <c r="JS206" s="671"/>
      <c r="JT206" s="671"/>
      <c r="JU206" s="671"/>
      <c r="JV206" s="671"/>
      <c r="JW206" s="671"/>
      <c r="JX206" s="671"/>
      <c r="JY206" s="671"/>
      <c r="JZ206" s="671"/>
      <c r="KA206" s="671"/>
      <c r="KB206" s="671"/>
      <c r="KC206" s="671"/>
      <c r="KD206" s="671"/>
      <c r="KE206" s="671"/>
      <c r="KF206" s="671"/>
      <c r="KG206" s="671"/>
      <c r="KH206" s="671"/>
      <c r="KI206" s="671"/>
      <c r="KJ206" s="671"/>
      <c r="KL206" s="669"/>
      <c r="KM206" s="669"/>
      <c r="KQ206" s="672"/>
      <c r="KR206" s="673"/>
      <c r="KS206" s="672"/>
      <c r="KT206" s="673"/>
      <c r="KU206" s="672"/>
      <c r="KV206" s="673"/>
      <c r="KW206" s="672"/>
      <c r="KX206" s="673"/>
      <c r="KY206" s="672"/>
      <c r="KZ206" s="673"/>
    </row>
    <row r="207" s="628" customFormat="1" spans="2:312">
      <c r="B207" s="659"/>
      <c r="C207" s="662"/>
      <c r="E207" s="665"/>
      <c r="F207" s="665"/>
      <c r="G207" s="666"/>
      <c r="H207" s="666"/>
      <c r="I207" s="667"/>
      <c r="J207" s="667"/>
      <c r="K207" s="667"/>
      <c r="L207" s="667"/>
      <c r="M207" s="667"/>
      <c r="N207" s="667"/>
      <c r="O207" s="667"/>
      <c r="P207" s="667"/>
      <c r="Q207" s="667"/>
      <c r="R207" s="667"/>
      <c r="S207" s="667"/>
      <c r="T207" s="667"/>
      <c r="U207" s="667"/>
      <c r="V207" s="667"/>
      <c r="W207" s="667"/>
      <c r="X207" s="667"/>
      <c r="Y207" s="667"/>
      <c r="Z207" s="667"/>
      <c r="AA207" s="667"/>
      <c r="AB207" s="667"/>
      <c r="FJ207" s="668"/>
      <c r="FK207" s="668"/>
      <c r="FL207" s="668"/>
      <c r="FM207" s="668"/>
      <c r="FN207" s="668"/>
      <c r="FO207" s="668"/>
      <c r="FV207" s="669"/>
      <c r="FZ207" s="669"/>
      <c r="GA207" s="669"/>
      <c r="GB207" s="669"/>
      <c r="GC207" s="669"/>
      <c r="GD207" s="665"/>
      <c r="GF207" s="669"/>
      <c r="GG207" s="669"/>
      <c r="GH207" s="669"/>
      <c r="GI207" s="669"/>
      <c r="GJ207" s="669"/>
      <c r="GK207" s="669"/>
      <c r="GL207" s="669"/>
      <c r="GM207" s="669"/>
      <c r="GN207" s="669"/>
      <c r="GO207" s="669"/>
      <c r="GP207" s="669"/>
      <c r="GQ207" s="669"/>
      <c r="GR207" s="669"/>
      <c r="GS207" s="669"/>
      <c r="GT207" s="669"/>
      <c r="GU207" s="669"/>
      <c r="GV207" s="669"/>
      <c r="GW207" s="669"/>
      <c r="GX207" s="669"/>
      <c r="GY207" s="669"/>
      <c r="GZ207" s="669"/>
      <c r="HA207" s="669"/>
      <c r="HB207" s="669"/>
      <c r="HC207" s="669"/>
      <c r="HD207" s="669"/>
      <c r="HE207" s="669"/>
      <c r="HF207" s="669"/>
      <c r="HG207" s="669"/>
      <c r="HH207" s="670"/>
      <c r="HI207" s="670"/>
      <c r="HJ207" s="671"/>
      <c r="HK207" s="669"/>
      <c r="HL207" s="665"/>
      <c r="HM207" s="665"/>
      <c r="HP207" s="670"/>
      <c r="HQ207" s="671"/>
      <c r="HR207" s="671"/>
      <c r="HS207" s="671"/>
      <c r="HT207" s="805"/>
      <c r="HU207" s="671"/>
      <c r="HV207" s="671"/>
      <c r="HW207" s="671"/>
      <c r="HX207" s="671"/>
      <c r="HY207" s="671"/>
      <c r="HZ207" s="671"/>
      <c r="IA207" s="671"/>
      <c r="IB207" s="671"/>
      <c r="IC207" s="671"/>
      <c r="ID207" s="671"/>
      <c r="IE207" s="671"/>
      <c r="IF207" s="671"/>
      <c r="IG207" s="671"/>
      <c r="IH207" s="671"/>
      <c r="II207" s="671"/>
      <c r="IJ207" s="671"/>
      <c r="IK207" s="671"/>
      <c r="IL207" s="671"/>
      <c r="IM207" s="671"/>
      <c r="IN207" s="671"/>
      <c r="IO207" s="671"/>
      <c r="IP207" s="671"/>
      <c r="IQ207" s="671"/>
      <c r="IR207" s="671"/>
      <c r="IS207" s="671"/>
      <c r="IT207" s="671"/>
      <c r="IU207" s="671"/>
      <c r="IV207" s="671"/>
      <c r="IW207" s="671"/>
      <c r="IX207" s="671"/>
      <c r="IY207" s="671"/>
      <c r="IZ207" s="671"/>
      <c r="JA207" s="671"/>
      <c r="JB207" s="671"/>
      <c r="JC207" s="671"/>
      <c r="JD207" s="671"/>
      <c r="JE207" s="671"/>
      <c r="JF207" s="671"/>
      <c r="JG207" s="671"/>
      <c r="JH207" s="671"/>
      <c r="JI207" s="671"/>
      <c r="JJ207" s="671"/>
      <c r="JK207" s="671"/>
      <c r="JL207" s="671"/>
      <c r="JM207" s="671"/>
      <c r="JN207" s="671"/>
      <c r="JO207" s="671"/>
      <c r="JP207" s="671"/>
      <c r="JQ207" s="671"/>
      <c r="JR207" s="671"/>
      <c r="JS207" s="671"/>
      <c r="JT207" s="671"/>
      <c r="JU207" s="671"/>
      <c r="JV207" s="671"/>
      <c r="JW207" s="671"/>
      <c r="JX207" s="671"/>
      <c r="JY207" s="671"/>
      <c r="JZ207" s="671"/>
      <c r="KA207" s="671"/>
      <c r="KB207" s="671"/>
      <c r="KC207" s="671"/>
      <c r="KD207" s="671"/>
      <c r="KE207" s="671"/>
      <c r="KF207" s="671"/>
      <c r="KG207" s="671"/>
      <c r="KH207" s="671"/>
      <c r="KI207" s="671"/>
      <c r="KJ207" s="671"/>
      <c r="KL207" s="669"/>
      <c r="KM207" s="669"/>
      <c r="KQ207" s="672"/>
      <c r="KR207" s="673"/>
      <c r="KS207" s="672"/>
      <c r="KT207" s="673"/>
      <c r="KU207" s="672"/>
      <c r="KV207" s="673"/>
      <c r="KW207" s="672"/>
      <c r="KX207" s="673"/>
      <c r="KY207" s="672"/>
      <c r="KZ207" s="673"/>
    </row>
    <row r="208" s="628" customFormat="1" spans="2:312">
      <c r="B208" s="659"/>
      <c r="C208" s="662"/>
      <c r="E208" s="665"/>
      <c r="F208" s="665"/>
      <c r="G208" s="666"/>
      <c r="H208" s="666"/>
      <c r="I208" s="667"/>
      <c r="J208" s="667"/>
      <c r="K208" s="667"/>
      <c r="L208" s="667"/>
      <c r="M208" s="667"/>
      <c r="N208" s="667"/>
      <c r="O208" s="667"/>
      <c r="P208" s="667"/>
      <c r="Q208" s="667"/>
      <c r="R208" s="667"/>
      <c r="S208" s="667"/>
      <c r="T208" s="667"/>
      <c r="U208" s="667"/>
      <c r="V208" s="667"/>
      <c r="W208" s="667"/>
      <c r="X208" s="667"/>
      <c r="Y208" s="667"/>
      <c r="Z208" s="667"/>
      <c r="AA208" s="667"/>
      <c r="AB208" s="667"/>
      <c r="FJ208" s="668"/>
      <c r="FK208" s="668"/>
      <c r="FL208" s="668"/>
      <c r="FM208" s="668"/>
      <c r="FN208" s="668"/>
      <c r="FO208" s="668"/>
      <c r="FV208" s="669"/>
      <c r="FZ208" s="669"/>
      <c r="GA208" s="669"/>
      <c r="GB208" s="669"/>
      <c r="GC208" s="669"/>
      <c r="GD208" s="665"/>
      <c r="GF208" s="669"/>
      <c r="GG208" s="669"/>
      <c r="GH208" s="669"/>
      <c r="GI208" s="669"/>
      <c r="GJ208" s="669"/>
      <c r="GK208" s="669"/>
      <c r="GL208" s="669"/>
      <c r="GM208" s="669"/>
      <c r="GN208" s="669"/>
      <c r="GO208" s="669"/>
      <c r="GP208" s="669"/>
      <c r="GQ208" s="669"/>
      <c r="GR208" s="669"/>
      <c r="GS208" s="669"/>
      <c r="GT208" s="669"/>
      <c r="GU208" s="669"/>
      <c r="GV208" s="669"/>
      <c r="GW208" s="669"/>
      <c r="GX208" s="669"/>
      <c r="GY208" s="669"/>
      <c r="GZ208" s="669"/>
      <c r="HA208" s="669"/>
      <c r="HB208" s="669"/>
      <c r="HC208" s="669"/>
      <c r="HD208" s="669"/>
      <c r="HE208" s="669"/>
      <c r="HF208" s="669"/>
      <c r="HG208" s="669"/>
      <c r="HH208" s="670"/>
      <c r="HI208" s="670"/>
      <c r="HJ208" s="671"/>
      <c r="HK208" s="669"/>
      <c r="HL208" s="665"/>
      <c r="HM208" s="665"/>
      <c r="HP208" s="670"/>
      <c r="HQ208" s="671"/>
      <c r="HR208" s="671"/>
      <c r="HS208" s="671"/>
      <c r="HT208" s="805"/>
      <c r="HU208" s="671"/>
      <c r="HV208" s="671"/>
      <c r="HW208" s="671"/>
      <c r="HX208" s="671"/>
      <c r="HY208" s="671"/>
      <c r="HZ208" s="671"/>
      <c r="IA208" s="671"/>
      <c r="IB208" s="671"/>
      <c r="IC208" s="671"/>
      <c r="ID208" s="671"/>
      <c r="IE208" s="671"/>
      <c r="IF208" s="671"/>
      <c r="IG208" s="671"/>
      <c r="IH208" s="671"/>
      <c r="II208" s="671"/>
      <c r="IJ208" s="671"/>
      <c r="IK208" s="671"/>
      <c r="IL208" s="671"/>
      <c r="IM208" s="671"/>
      <c r="IN208" s="671"/>
      <c r="IO208" s="671"/>
      <c r="IP208" s="671"/>
      <c r="IQ208" s="671"/>
      <c r="IR208" s="671"/>
      <c r="IS208" s="671"/>
      <c r="IT208" s="671"/>
      <c r="IU208" s="671"/>
      <c r="IV208" s="671"/>
      <c r="IW208" s="671"/>
      <c r="IX208" s="671"/>
      <c r="IY208" s="671"/>
      <c r="IZ208" s="671"/>
      <c r="JA208" s="671"/>
      <c r="JB208" s="671"/>
      <c r="JC208" s="671"/>
      <c r="JD208" s="671"/>
      <c r="JE208" s="671"/>
      <c r="JF208" s="671"/>
      <c r="JG208" s="671"/>
      <c r="JH208" s="671"/>
      <c r="JI208" s="671"/>
      <c r="JJ208" s="671"/>
      <c r="JK208" s="671"/>
      <c r="JL208" s="671"/>
      <c r="JM208" s="671"/>
      <c r="JN208" s="671"/>
      <c r="JO208" s="671"/>
      <c r="JP208" s="671"/>
      <c r="JQ208" s="671"/>
      <c r="JR208" s="671"/>
      <c r="JS208" s="671"/>
      <c r="JT208" s="671"/>
      <c r="JU208" s="671"/>
      <c r="JV208" s="671"/>
      <c r="JW208" s="671"/>
      <c r="JX208" s="671"/>
      <c r="JY208" s="671"/>
      <c r="JZ208" s="671"/>
      <c r="KA208" s="671"/>
      <c r="KB208" s="671"/>
      <c r="KC208" s="671"/>
      <c r="KD208" s="671"/>
      <c r="KE208" s="671"/>
      <c r="KF208" s="671"/>
      <c r="KG208" s="671"/>
      <c r="KH208" s="671"/>
      <c r="KI208" s="671"/>
      <c r="KJ208" s="671"/>
      <c r="KL208" s="669"/>
      <c r="KM208" s="669"/>
      <c r="KQ208" s="672"/>
      <c r="KR208" s="673"/>
      <c r="KS208" s="672"/>
      <c r="KT208" s="673"/>
      <c r="KU208" s="672"/>
      <c r="KV208" s="673"/>
      <c r="KW208" s="672"/>
      <c r="KX208" s="673"/>
      <c r="KY208" s="672"/>
      <c r="KZ208" s="673"/>
    </row>
    <row r="209" s="628" customFormat="1" spans="2:312">
      <c r="B209" s="659"/>
      <c r="C209" s="662"/>
      <c r="E209" s="665"/>
      <c r="F209" s="665"/>
      <c r="G209" s="666"/>
      <c r="H209" s="666"/>
      <c r="I209" s="667"/>
      <c r="J209" s="667"/>
      <c r="K209" s="667"/>
      <c r="L209" s="667"/>
      <c r="M209" s="667"/>
      <c r="N209" s="667"/>
      <c r="O209" s="667"/>
      <c r="P209" s="667"/>
      <c r="Q209" s="667"/>
      <c r="R209" s="667"/>
      <c r="S209" s="667"/>
      <c r="T209" s="667"/>
      <c r="U209" s="667"/>
      <c r="V209" s="667"/>
      <c r="W209" s="667"/>
      <c r="X209" s="667"/>
      <c r="Y209" s="667"/>
      <c r="Z209" s="667"/>
      <c r="AA209" s="667"/>
      <c r="AB209" s="667"/>
      <c r="FJ209" s="668"/>
      <c r="FK209" s="668"/>
      <c r="FL209" s="668"/>
      <c r="FM209" s="668"/>
      <c r="FN209" s="668"/>
      <c r="FO209" s="668"/>
      <c r="FV209" s="669"/>
      <c r="FZ209" s="669"/>
      <c r="GA209" s="669"/>
      <c r="GB209" s="669"/>
      <c r="GC209" s="669"/>
      <c r="GD209" s="665"/>
      <c r="GF209" s="669"/>
      <c r="GG209" s="669"/>
      <c r="GH209" s="669"/>
      <c r="GI209" s="669"/>
      <c r="GJ209" s="669"/>
      <c r="GK209" s="669"/>
      <c r="GL209" s="669"/>
      <c r="GM209" s="669"/>
      <c r="GN209" s="669"/>
      <c r="GO209" s="669"/>
      <c r="GP209" s="669"/>
      <c r="GQ209" s="669"/>
      <c r="GR209" s="669"/>
      <c r="GS209" s="669"/>
      <c r="GT209" s="669"/>
      <c r="GU209" s="669"/>
      <c r="GV209" s="669"/>
      <c r="GW209" s="669"/>
      <c r="GX209" s="669"/>
      <c r="GY209" s="669"/>
      <c r="GZ209" s="669"/>
      <c r="HA209" s="669"/>
      <c r="HB209" s="669"/>
      <c r="HC209" s="669"/>
      <c r="HD209" s="669"/>
      <c r="HE209" s="669"/>
      <c r="HF209" s="669"/>
      <c r="HG209" s="669"/>
      <c r="HH209" s="670"/>
      <c r="HI209" s="670"/>
      <c r="HJ209" s="671"/>
      <c r="HK209" s="669"/>
      <c r="HL209" s="665"/>
      <c r="HM209" s="665"/>
      <c r="HP209" s="670"/>
      <c r="HQ209" s="671"/>
      <c r="HR209" s="671"/>
      <c r="HS209" s="671"/>
      <c r="HT209" s="805"/>
      <c r="HU209" s="671"/>
      <c r="HV209" s="671"/>
      <c r="HW209" s="671"/>
      <c r="HX209" s="671"/>
      <c r="HY209" s="671"/>
      <c r="HZ209" s="671"/>
      <c r="IA209" s="671"/>
      <c r="IB209" s="671"/>
      <c r="IC209" s="671"/>
      <c r="ID209" s="671"/>
      <c r="IE209" s="671"/>
      <c r="IF209" s="671"/>
      <c r="IG209" s="671"/>
      <c r="IH209" s="671"/>
      <c r="II209" s="671"/>
      <c r="IJ209" s="671"/>
      <c r="IK209" s="671"/>
      <c r="IL209" s="671"/>
      <c r="IM209" s="671"/>
      <c r="IN209" s="671"/>
      <c r="IO209" s="671"/>
      <c r="IP209" s="671"/>
      <c r="IQ209" s="671"/>
      <c r="IR209" s="671"/>
      <c r="IS209" s="671"/>
      <c r="IT209" s="671"/>
      <c r="IU209" s="671"/>
      <c r="IV209" s="671"/>
      <c r="IW209" s="671"/>
      <c r="IX209" s="671"/>
      <c r="IY209" s="671"/>
      <c r="IZ209" s="671"/>
      <c r="JA209" s="671"/>
      <c r="JB209" s="671"/>
      <c r="JC209" s="671"/>
      <c r="JD209" s="671"/>
      <c r="JE209" s="671"/>
      <c r="JF209" s="671"/>
      <c r="JG209" s="671"/>
      <c r="JH209" s="671"/>
      <c r="JI209" s="671"/>
      <c r="JJ209" s="671"/>
      <c r="JK209" s="671"/>
      <c r="JL209" s="671"/>
      <c r="JM209" s="671"/>
      <c r="JN209" s="671"/>
      <c r="JO209" s="671"/>
      <c r="JP209" s="671"/>
      <c r="JQ209" s="671"/>
      <c r="JR209" s="671"/>
      <c r="JS209" s="671"/>
      <c r="JT209" s="671"/>
      <c r="JU209" s="671"/>
      <c r="JV209" s="671"/>
      <c r="JW209" s="671"/>
      <c r="JX209" s="671"/>
      <c r="JY209" s="671"/>
      <c r="JZ209" s="671"/>
      <c r="KA209" s="671"/>
      <c r="KB209" s="671"/>
      <c r="KC209" s="671"/>
      <c r="KD209" s="671"/>
      <c r="KE209" s="671"/>
      <c r="KF209" s="671"/>
      <c r="KG209" s="671"/>
      <c r="KH209" s="671"/>
      <c r="KI209" s="671"/>
      <c r="KJ209" s="671"/>
      <c r="KL209" s="669"/>
      <c r="KM209" s="669"/>
      <c r="KQ209" s="672"/>
      <c r="KR209" s="673"/>
      <c r="KS209" s="672"/>
      <c r="KT209" s="673"/>
      <c r="KU209" s="672"/>
      <c r="KV209" s="673"/>
      <c r="KW209" s="672"/>
      <c r="KX209" s="673"/>
      <c r="KY209" s="672"/>
      <c r="KZ209" s="673"/>
    </row>
    <row r="210" s="628" customFormat="1" spans="2:312">
      <c r="B210" s="659"/>
      <c r="C210" s="662"/>
      <c r="E210" s="665"/>
      <c r="F210" s="665"/>
      <c r="G210" s="666"/>
      <c r="H210" s="666"/>
      <c r="I210" s="667"/>
      <c r="J210" s="667"/>
      <c r="K210" s="667"/>
      <c r="L210" s="667"/>
      <c r="M210" s="667"/>
      <c r="N210" s="667"/>
      <c r="O210" s="667"/>
      <c r="P210" s="667"/>
      <c r="Q210" s="667"/>
      <c r="R210" s="667"/>
      <c r="S210" s="667"/>
      <c r="T210" s="667"/>
      <c r="U210" s="667"/>
      <c r="V210" s="667"/>
      <c r="W210" s="667"/>
      <c r="X210" s="667"/>
      <c r="Y210" s="667"/>
      <c r="Z210" s="667"/>
      <c r="AA210" s="667"/>
      <c r="AB210" s="667"/>
      <c r="FJ210" s="668"/>
      <c r="FK210" s="668"/>
      <c r="FL210" s="668"/>
      <c r="FM210" s="668"/>
      <c r="FN210" s="668"/>
      <c r="FO210" s="668"/>
      <c r="FV210" s="669"/>
      <c r="FZ210" s="669"/>
      <c r="GA210" s="669"/>
      <c r="GB210" s="669"/>
      <c r="GC210" s="669"/>
      <c r="GD210" s="665"/>
      <c r="GF210" s="669"/>
      <c r="GG210" s="669"/>
      <c r="GH210" s="669"/>
      <c r="GI210" s="669"/>
      <c r="GJ210" s="669"/>
      <c r="GK210" s="669"/>
      <c r="GL210" s="669"/>
      <c r="GM210" s="669"/>
      <c r="GN210" s="669"/>
      <c r="GO210" s="669"/>
      <c r="GP210" s="669"/>
      <c r="GQ210" s="669"/>
      <c r="GR210" s="669"/>
      <c r="GS210" s="669"/>
      <c r="GT210" s="669"/>
      <c r="GU210" s="669"/>
      <c r="GV210" s="669"/>
      <c r="GW210" s="669"/>
      <c r="GX210" s="669"/>
      <c r="GY210" s="669"/>
      <c r="GZ210" s="669"/>
      <c r="HA210" s="669"/>
      <c r="HB210" s="669"/>
      <c r="HC210" s="669"/>
      <c r="HD210" s="669"/>
      <c r="HE210" s="669"/>
      <c r="HF210" s="669"/>
      <c r="HG210" s="669"/>
      <c r="HH210" s="670"/>
      <c r="HI210" s="670"/>
      <c r="HJ210" s="671"/>
      <c r="HK210" s="669"/>
      <c r="HL210" s="665"/>
      <c r="HM210" s="665"/>
      <c r="HP210" s="670"/>
      <c r="HQ210" s="671"/>
      <c r="HR210" s="671"/>
      <c r="HS210" s="671"/>
      <c r="HT210" s="671"/>
      <c r="HU210" s="671"/>
      <c r="HV210" s="671"/>
      <c r="HW210" s="671"/>
      <c r="HX210" s="671"/>
      <c r="HY210" s="671"/>
      <c r="HZ210" s="671"/>
      <c r="IA210" s="671"/>
      <c r="IB210" s="671"/>
      <c r="IC210" s="671"/>
      <c r="ID210" s="671"/>
      <c r="IE210" s="671"/>
      <c r="IF210" s="671"/>
      <c r="IG210" s="671"/>
      <c r="IH210" s="671"/>
      <c r="II210" s="671"/>
      <c r="IJ210" s="671"/>
      <c r="IK210" s="671"/>
      <c r="IL210" s="671"/>
      <c r="IM210" s="671"/>
      <c r="IN210" s="671"/>
      <c r="IO210" s="671"/>
      <c r="IP210" s="671"/>
      <c r="IQ210" s="671"/>
      <c r="IR210" s="671"/>
      <c r="IS210" s="671"/>
      <c r="IT210" s="671"/>
      <c r="IU210" s="671"/>
      <c r="IV210" s="671"/>
      <c r="IW210" s="671"/>
      <c r="IX210" s="671"/>
      <c r="IY210" s="671"/>
      <c r="IZ210" s="671"/>
      <c r="JA210" s="671"/>
      <c r="JB210" s="671"/>
      <c r="JC210" s="671"/>
      <c r="JD210" s="671"/>
      <c r="JE210" s="671"/>
      <c r="JF210" s="671"/>
      <c r="JG210" s="671"/>
      <c r="JH210" s="671"/>
      <c r="JI210" s="671"/>
      <c r="JJ210" s="671"/>
      <c r="JK210" s="671"/>
      <c r="JL210" s="671"/>
      <c r="JM210" s="671"/>
      <c r="JN210" s="671"/>
      <c r="JO210" s="671"/>
      <c r="JP210" s="671"/>
      <c r="JQ210" s="671"/>
      <c r="JR210" s="671"/>
      <c r="JS210" s="671"/>
      <c r="JT210" s="671"/>
      <c r="JU210" s="671"/>
      <c r="JV210" s="671"/>
      <c r="JW210" s="671"/>
      <c r="JX210" s="671"/>
      <c r="JY210" s="671"/>
      <c r="JZ210" s="671"/>
      <c r="KA210" s="671"/>
      <c r="KB210" s="671"/>
      <c r="KC210" s="671"/>
      <c r="KD210" s="671"/>
      <c r="KE210" s="671"/>
      <c r="KF210" s="671"/>
      <c r="KG210" s="671"/>
      <c r="KH210" s="671"/>
      <c r="KI210" s="671"/>
      <c r="KJ210" s="671"/>
      <c r="KL210" s="669"/>
      <c r="KM210" s="669"/>
      <c r="KQ210" s="672"/>
      <c r="KR210" s="673"/>
      <c r="KS210" s="672"/>
      <c r="KT210" s="673"/>
      <c r="KU210" s="672"/>
      <c r="KV210" s="673"/>
      <c r="KW210" s="672"/>
      <c r="KX210" s="673"/>
      <c r="KY210" s="672"/>
      <c r="KZ210" s="673"/>
    </row>
    <row r="211" s="628" customFormat="1" spans="2:312">
      <c r="B211" s="659"/>
      <c r="C211" s="662"/>
      <c r="E211" s="665"/>
      <c r="F211" s="665"/>
      <c r="G211" s="666"/>
      <c r="H211" s="666"/>
      <c r="I211" s="667"/>
      <c r="J211" s="667"/>
      <c r="K211" s="667"/>
      <c r="L211" s="667"/>
      <c r="M211" s="667"/>
      <c r="N211" s="667"/>
      <c r="O211" s="667"/>
      <c r="P211" s="667"/>
      <c r="Q211" s="667"/>
      <c r="R211" s="667"/>
      <c r="S211" s="667"/>
      <c r="T211" s="667"/>
      <c r="U211" s="667"/>
      <c r="V211" s="667"/>
      <c r="W211" s="667"/>
      <c r="X211" s="667"/>
      <c r="Y211" s="667"/>
      <c r="Z211" s="667"/>
      <c r="AA211" s="667"/>
      <c r="AB211" s="667"/>
      <c r="FJ211" s="668"/>
      <c r="FK211" s="668"/>
      <c r="FL211" s="668"/>
      <c r="FM211" s="668"/>
      <c r="FN211" s="668"/>
      <c r="FO211" s="668"/>
      <c r="FV211" s="669"/>
      <c r="FZ211" s="669"/>
      <c r="GA211" s="669"/>
      <c r="GB211" s="669"/>
      <c r="GC211" s="669"/>
      <c r="GD211" s="665"/>
      <c r="GF211" s="669"/>
      <c r="GG211" s="669"/>
      <c r="GH211" s="669"/>
      <c r="GI211" s="669"/>
      <c r="GJ211" s="669"/>
      <c r="GK211" s="669"/>
      <c r="GL211" s="669"/>
      <c r="GM211" s="669"/>
      <c r="GN211" s="669"/>
      <c r="GO211" s="669"/>
      <c r="GP211" s="669"/>
      <c r="GQ211" s="669"/>
      <c r="GR211" s="669"/>
      <c r="GS211" s="669"/>
      <c r="GT211" s="669"/>
      <c r="GU211" s="669"/>
      <c r="GV211" s="669"/>
      <c r="GW211" s="669"/>
      <c r="GX211" s="669"/>
      <c r="GY211" s="669"/>
      <c r="GZ211" s="669"/>
      <c r="HA211" s="669"/>
      <c r="HB211" s="669"/>
      <c r="HC211" s="669"/>
      <c r="HD211" s="669"/>
      <c r="HE211" s="669"/>
      <c r="HF211" s="669"/>
      <c r="HG211" s="669"/>
      <c r="HH211" s="670"/>
      <c r="HI211" s="670"/>
      <c r="HJ211" s="671"/>
      <c r="HK211" s="669"/>
      <c r="HL211" s="665"/>
      <c r="HM211" s="665"/>
      <c r="HP211" s="670"/>
      <c r="HQ211" s="671"/>
      <c r="HR211" s="671"/>
      <c r="HS211" s="671"/>
      <c r="HT211" s="671"/>
      <c r="HU211" s="671"/>
      <c r="HV211" s="671"/>
      <c r="HW211" s="671"/>
      <c r="HX211" s="671"/>
      <c r="HY211" s="671"/>
      <c r="HZ211" s="671"/>
      <c r="IA211" s="671"/>
      <c r="IB211" s="671"/>
      <c r="IC211" s="671"/>
      <c r="ID211" s="671"/>
      <c r="IE211" s="671"/>
      <c r="IF211" s="671"/>
      <c r="IG211" s="671"/>
      <c r="IH211" s="671"/>
      <c r="II211" s="671"/>
      <c r="IJ211" s="671"/>
      <c r="IK211" s="671"/>
      <c r="IL211" s="671"/>
      <c r="IM211" s="671"/>
      <c r="IN211" s="671"/>
      <c r="IO211" s="671"/>
      <c r="IP211" s="671"/>
      <c r="IQ211" s="671"/>
      <c r="IR211" s="671"/>
      <c r="IS211" s="671"/>
      <c r="IT211" s="671"/>
      <c r="IU211" s="671"/>
      <c r="IV211" s="671"/>
      <c r="IW211" s="671"/>
      <c r="IX211" s="671"/>
      <c r="IY211" s="671"/>
      <c r="IZ211" s="671"/>
      <c r="JA211" s="671"/>
      <c r="JB211" s="671"/>
      <c r="JC211" s="671"/>
      <c r="JD211" s="671"/>
      <c r="JE211" s="671"/>
      <c r="JF211" s="671"/>
      <c r="JG211" s="671"/>
      <c r="JH211" s="671"/>
      <c r="JI211" s="671"/>
      <c r="JJ211" s="671"/>
      <c r="JK211" s="671"/>
      <c r="JL211" s="671"/>
      <c r="JM211" s="671"/>
      <c r="JN211" s="671"/>
      <c r="JO211" s="671"/>
      <c r="JP211" s="671"/>
      <c r="JQ211" s="671"/>
      <c r="JR211" s="671"/>
      <c r="JS211" s="671"/>
      <c r="JT211" s="671"/>
      <c r="JU211" s="671"/>
      <c r="JV211" s="671"/>
      <c r="JW211" s="671"/>
      <c r="JX211" s="671"/>
      <c r="JY211" s="671"/>
      <c r="JZ211" s="671"/>
      <c r="KA211" s="671"/>
      <c r="KB211" s="671"/>
      <c r="KC211" s="671"/>
      <c r="KD211" s="671"/>
      <c r="KE211" s="671"/>
      <c r="KF211" s="671"/>
      <c r="KG211" s="671"/>
      <c r="KH211" s="671"/>
      <c r="KI211" s="671"/>
      <c r="KJ211" s="671"/>
      <c r="KL211" s="669"/>
      <c r="KM211" s="669"/>
      <c r="KQ211" s="672"/>
      <c r="KR211" s="673"/>
      <c r="KS211" s="672"/>
      <c r="KT211" s="673"/>
      <c r="KU211" s="672"/>
      <c r="KV211" s="673"/>
      <c r="KW211" s="672"/>
      <c r="KX211" s="673"/>
      <c r="KY211" s="672"/>
      <c r="KZ211" s="673"/>
    </row>
    <row r="212" s="628" customFormat="1" spans="2:312">
      <c r="B212" s="659"/>
      <c r="C212" s="662"/>
      <c r="E212" s="665"/>
      <c r="F212" s="665"/>
      <c r="G212" s="666"/>
      <c r="H212" s="666"/>
      <c r="I212" s="667"/>
      <c r="J212" s="667"/>
      <c r="K212" s="667"/>
      <c r="L212" s="667"/>
      <c r="M212" s="667"/>
      <c r="N212" s="667"/>
      <c r="O212" s="667"/>
      <c r="P212" s="667"/>
      <c r="Q212" s="667"/>
      <c r="R212" s="667"/>
      <c r="S212" s="667"/>
      <c r="T212" s="667"/>
      <c r="U212" s="667"/>
      <c r="V212" s="667"/>
      <c r="W212" s="667"/>
      <c r="X212" s="667"/>
      <c r="Y212" s="667"/>
      <c r="Z212" s="667"/>
      <c r="AA212" s="667"/>
      <c r="AB212" s="667"/>
      <c r="FJ212" s="668"/>
      <c r="FK212" s="668"/>
      <c r="FL212" s="668"/>
      <c r="FM212" s="668"/>
      <c r="FN212" s="668"/>
      <c r="FO212" s="668"/>
      <c r="FV212" s="669"/>
      <c r="FZ212" s="669"/>
      <c r="GA212" s="669"/>
      <c r="GB212" s="669"/>
      <c r="GC212" s="669"/>
      <c r="GD212" s="665"/>
      <c r="GF212" s="669"/>
      <c r="GG212" s="669"/>
      <c r="GH212" s="669"/>
      <c r="GI212" s="669"/>
      <c r="GJ212" s="669"/>
      <c r="GK212" s="669"/>
      <c r="GL212" s="669"/>
      <c r="GM212" s="669"/>
      <c r="GN212" s="669"/>
      <c r="GO212" s="669"/>
      <c r="GP212" s="669"/>
      <c r="GQ212" s="669"/>
      <c r="GR212" s="669"/>
      <c r="GS212" s="669"/>
      <c r="GT212" s="669"/>
      <c r="GU212" s="669"/>
      <c r="GV212" s="669"/>
      <c r="GW212" s="669"/>
      <c r="GX212" s="669"/>
      <c r="GY212" s="669"/>
      <c r="GZ212" s="669"/>
      <c r="HA212" s="669"/>
      <c r="HB212" s="669"/>
      <c r="HC212" s="669"/>
      <c r="HD212" s="669"/>
      <c r="HE212" s="669"/>
      <c r="HF212" s="669"/>
      <c r="HG212" s="669"/>
      <c r="HH212" s="670"/>
      <c r="HI212" s="670"/>
      <c r="HJ212" s="671"/>
      <c r="HK212" s="669"/>
      <c r="HL212" s="665"/>
      <c r="HM212" s="665"/>
      <c r="HP212" s="670"/>
      <c r="HQ212" s="671"/>
      <c r="HR212" s="671"/>
      <c r="HS212" s="671"/>
      <c r="HT212" s="671"/>
      <c r="HU212" s="671"/>
      <c r="HV212" s="671"/>
      <c r="HW212" s="671"/>
      <c r="HX212" s="671"/>
      <c r="HY212" s="671"/>
      <c r="HZ212" s="671"/>
      <c r="IA212" s="671"/>
      <c r="IB212" s="671"/>
      <c r="IC212" s="671"/>
      <c r="ID212" s="671"/>
      <c r="IE212" s="671"/>
      <c r="IF212" s="671"/>
      <c r="IG212" s="671"/>
      <c r="IH212" s="671"/>
      <c r="II212" s="671"/>
      <c r="IJ212" s="671"/>
      <c r="IK212" s="671"/>
      <c r="IL212" s="671"/>
      <c r="IM212" s="671"/>
      <c r="IN212" s="671"/>
      <c r="IO212" s="671"/>
      <c r="IP212" s="671"/>
      <c r="IQ212" s="671"/>
      <c r="IR212" s="671"/>
      <c r="IS212" s="671"/>
      <c r="IT212" s="671"/>
      <c r="IU212" s="671"/>
      <c r="IV212" s="671"/>
      <c r="IW212" s="671"/>
      <c r="IX212" s="671"/>
      <c r="IY212" s="671"/>
      <c r="IZ212" s="671"/>
      <c r="JA212" s="671"/>
      <c r="JB212" s="671"/>
      <c r="JC212" s="671"/>
      <c r="JD212" s="671"/>
      <c r="JE212" s="671"/>
      <c r="JF212" s="671"/>
      <c r="JG212" s="671"/>
      <c r="JH212" s="671"/>
      <c r="JI212" s="671"/>
      <c r="JJ212" s="671"/>
      <c r="JK212" s="671"/>
      <c r="JL212" s="671"/>
      <c r="JM212" s="671"/>
      <c r="JN212" s="671"/>
      <c r="JO212" s="671"/>
      <c r="JP212" s="671"/>
      <c r="JQ212" s="671"/>
      <c r="JR212" s="671"/>
      <c r="JS212" s="671"/>
      <c r="JT212" s="671"/>
      <c r="JU212" s="671"/>
      <c r="JV212" s="671"/>
      <c r="JW212" s="671"/>
      <c r="JX212" s="671"/>
      <c r="JY212" s="671"/>
      <c r="JZ212" s="671"/>
      <c r="KA212" s="671"/>
      <c r="KB212" s="671"/>
      <c r="KC212" s="671"/>
      <c r="KD212" s="671"/>
      <c r="KE212" s="671"/>
      <c r="KF212" s="671"/>
      <c r="KG212" s="671"/>
      <c r="KH212" s="671"/>
      <c r="KI212" s="671"/>
      <c r="KJ212" s="671"/>
      <c r="KL212" s="669"/>
      <c r="KM212" s="669"/>
      <c r="KQ212" s="672"/>
      <c r="KR212" s="673"/>
      <c r="KS212" s="672"/>
      <c r="KT212" s="673"/>
      <c r="KU212" s="672"/>
      <c r="KV212" s="673"/>
      <c r="KW212" s="672"/>
      <c r="KX212" s="673"/>
      <c r="KY212" s="672"/>
      <c r="KZ212" s="673"/>
    </row>
    <row r="213" s="628" customFormat="1" spans="2:312">
      <c r="B213" s="659"/>
      <c r="C213" s="662"/>
      <c r="E213" s="665"/>
      <c r="F213" s="665"/>
      <c r="G213" s="666"/>
      <c r="H213" s="666"/>
      <c r="I213" s="667"/>
      <c r="J213" s="667"/>
      <c r="K213" s="667"/>
      <c r="L213" s="667"/>
      <c r="M213" s="667"/>
      <c r="N213" s="667"/>
      <c r="O213" s="667"/>
      <c r="P213" s="667"/>
      <c r="Q213" s="667"/>
      <c r="R213" s="667"/>
      <c r="S213" s="667"/>
      <c r="T213" s="667"/>
      <c r="U213" s="667"/>
      <c r="V213" s="667"/>
      <c r="W213" s="667"/>
      <c r="X213" s="667"/>
      <c r="Y213" s="667"/>
      <c r="Z213" s="667"/>
      <c r="AA213" s="667"/>
      <c r="AB213" s="667"/>
      <c r="FJ213" s="668"/>
      <c r="FK213" s="668"/>
      <c r="FL213" s="668"/>
      <c r="FM213" s="668"/>
      <c r="FN213" s="668"/>
      <c r="FO213" s="668"/>
      <c r="FV213" s="669"/>
      <c r="FZ213" s="669"/>
      <c r="GA213" s="669"/>
      <c r="GB213" s="669"/>
      <c r="GC213" s="669"/>
      <c r="GD213" s="665"/>
      <c r="GF213" s="669"/>
      <c r="GG213" s="669"/>
      <c r="GH213" s="669"/>
      <c r="GI213" s="669"/>
      <c r="GJ213" s="669"/>
      <c r="GK213" s="669"/>
      <c r="GL213" s="669"/>
      <c r="GM213" s="669"/>
      <c r="GN213" s="669"/>
      <c r="GO213" s="669"/>
      <c r="GP213" s="669"/>
      <c r="GQ213" s="669"/>
      <c r="GR213" s="669"/>
      <c r="GS213" s="669"/>
      <c r="GT213" s="669"/>
      <c r="GU213" s="669"/>
      <c r="GV213" s="669"/>
      <c r="GW213" s="669"/>
      <c r="GX213" s="669"/>
      <c r="GY213" s="669"/>
      <c r="GZ213" s="669"/>
      <c r="HA213" s="669"/>
      <c r="HB213" s="669"/>
      <c r="HC213" s="669"/>
      <c r="HD213" s="669"/>
      <c r="HE213" s="669"/>
      <c r="HF213" s="669"/>
      <c r="HG213" s="669"/>
      <c r="HH213" s="670"/>
      <c r="HI213" s="670"/>
      <c r="HJ213" s="671"/>
      <c r="HK213" s="669"/>
      <c r="HL213" s="665"/>
      <c r="HM213" s="665"/>
      <c r="HP213" s="670"/>
      <c r="HQ213" s="671"/>
      <c r="HR213" s="671"/>
      <c r="HS213" s="671"/>
      <c r="HT213" s="671"/>
      <c r="HU213" s="671"/>
      <c r="HV213" s="671"/>
      <c r="HW213" s="671"/>
      <c r="HX213" s="671"/>
      <c r="HY213" s="671"/>
      <c r="HZ213" s="671"/>
      <c r="IA213" s="671"/>
      <c r="IB213" s="671"/>
      <c r="IC213" s="671"/>
      <c r="ID213" s="671"/>
      <c r="IE213" s="671"/>
      <c r="IF213" s="671"/>
      <c r="IG213" s="671"/>
      <c r="IH213" s="671"/>
      <c r="II213" s="671"/>
      <c r="IJ213" s="671"/>
      <c r="IK213" s="671"/>
      <c r="IL213" s="671"/>
      <c r="IM213" s="671"/>
      <c r="IN213" s="671"/>
      <c r="IO213" s="671"/>
      <c r="IP213" s="671"/>
      <c r="IQ213" s="671"/>
      <c r="IR213" s="671"/>
      <c r="IS213" s="671"/>
      <c r="IT213" s="671"/>
      <c r="IU213" s="671"/>
      <c r="IV213" s="671"/>
      <c r="IW213" s="671"/>
      <c r="IX213" s="671"/>
      <c r="IY213" s="671"/>
      <c r="IZ213" s="671"/>
      <c r="JA213" s="671"/>
      <c r="JB213" s="671"/>
      <c r="JC213" s="671"/>
      <c r="JD213" s="671"/>
      <c r="JE213" s="671"/>
      <c r="JF213" s="671"/>
      <c r="JG213" s="671"/>
      <c r="JH213" s="671"/>
      <c r="JI213" s="671"/>
      <c r="JJ213" s="671"/>
      <c r="JK213" s="671"/>
      <c r="JL213" s="671"/>
      <c r="JM213" s="671"/>
      <c r="JN213" s="671"/>
      <c r="JO213" s="671"/>
      <c r="JP213" s="671"/>
      <c r="JQ213" s="671"/>
      <c r="JR213" s="671"/>
      <c r="JS213" s="671"/>
      <c r="JT213" s="671"/>
      <c r="JU213" s="671"/>
      <c r="JV213" s="671"/>
      <c r="JW213" s="671"/>
      <c r="JX213" s="671"/>
      <c r="JY213" s="671"/>
      <c r="JZ213" s="671"/>
      <c r="KA213" s="671"/>
      <c r="KB213" s="671"/>
      <c r="KC213" s="671"/>
      <c r="KD213" s="671"/>
      <c r="KE213" s="671"/>
      <c r="KF213" s="671"/>
      <c r="KG213" s="671"/>
      <c r="KH213" s="671"/>
      <c r="KI213" s="671"/>
      <c r="KJ213" s="671"/>
      <c r="KL213" s="669"/>
      <c r="KM213" s="669"/>
      <c r="KQ213" s="672"/>
      <c r="KR213" s="673"/>
      <c r="KS213" s="672"/>
      <c r="KT213" s="673"/>
      <c r="KU213" s="672"/>
      <c r="KV213" s="673"/>
      <c r="KW213" s="672"/>
      <c r="KX213" s="673"/>
      <c r="KY213" s="672"/>
      <c r="KZ213" s="673"/>
    </row>
    <row r="214" s="628" customFormat="1" spans="2:312">
      <c r="B214" s="659"/>
      <c r="C214" s="662"/>
      <c r="E214" s="665"/>
      <c r="F214" s="665"/>
      <c r="G214" s="666"/>
      <c r="H214" s="666"/>
      <c r="I214" s="667"/>
      <c r="J214" s="667"/>
      <c r="K214" s="667"/>
      <c r="L214" s="667"/>
      <c r="M214" s="667"/>
      <c r="N214" s="667"/>
      <c r="O214" s="667"/>
      <c r="P214" s="667"/>
      <c r="Q214" s="667"/>
      <c r="R214" s="667"/>
      <c r="S214" s="667"/>
      <c r="T214" s="667"/>
      <c r="U214" s="667"/>
      <c r="V214" s="667"/>
      <c r="W214" s="667"/>
      <c r="X214" s="667"/>
      <c r="Y214" s="667"/>
      <c r="Z214" s="667"/>
      <c r="AA214" s="667"/>
      <c r="AB214" s="667"/>
      <c r="FJ214" s="668"/>
      <c r="FK214" s="668"/>
      <c r="FL214" s="668"/>
      <c r="FM214" s="668"/>
      <c r="FN214" s="668"/>
      <c r="FO214" s="668"/>
      <c r="FV214" s="669"/>
      <c r="FZ214" s="669"/>
      <c r="GA214" s="669"/>
      <c r="GB214" s="669"/>
      <c r="GC214" s="669"/>
      <c r="GD214" s="665"/>
      <c r="GF214" s="669"/>
      <c r="GG214" s="669"/>
      <c r="GH214" s="669"/>
      <c r="GI214" s="669"/>
      <c r="GJ214" s="669"/>
      <c r="GK214" s="669"/>
      <c r="GL214" s="669"/>
      <c r="GM214" s="669"/>
      <c r="GN214" s="669"/>
      <c r="GO214" s="669"/>
      <c r="GP214" s="669"/>
      <c r="GQ214" s="669"/>
      <c r="GR214" s="669"/>
      <c r="GS214" s="669"/>
      <c r="GT214" s="669"/>
      <c r="GU214" s="669"/>
      <c r="GV214" s="669"/>
      <c r="GW214" s="669"/>
      <c r="GX214" s="669"/>
      <c r="GY214" s="669"/>
      <c r="GZ214" s="669"/>
      <c r="HA214" s="669"/>
      <c r="HB214" s="669"/>
      <c r="HC214" s="669"/>
      <c r="HD214" s="669"/>
      <c r="HE214" s="669"/>
      <c r="HF214" s="669"/>
      <c r="HG214" s="669"/>
      <c r="HH214" s="670"/>
      <c r="HI214" s="670"/>
      <c r="HJ214" s="671"/>
      <c r="HK214" s="669"/>
      <c r="HL214" s="665"/>
      <c r="HM214" s="665"/>
      <c r="HP214" s="670"/>
      <c r="HQ214" s="671"/>
      <c r="HR214" s="671"/>
      <c r="HS214" s="671"/>
      <c r="HT214" s="671"/>
      <c r="HU214" s="671"/>
      <c r="HV214" s="671"/>
      <c r="HW214" s="671"/>
      <c r="HX214" s="671"/>
      <c r="HY214" s="671"/>
      <c r="HZ214" s="671"/>
      <c r="IA214" s="671"/>
      <c r="IB214" s="671"/>
      <c r="IC214" s="671"/>
      <c r="ID214" s="671"/>
      <c r="IE214" s="671"/>
      <c r="IF214" s="671"/>
      <c r="IG214" s="671"/>
      <c r="IH214" s="671"/>
      <c r="II214" s="671"/>
      <c r="IJ214" s="671"/>
      <c r="IK214" s="671"/>
      <c r="IL214" s="671"/>
      <c r="IM214" s="671"/>
      <c r="IN214" s="671"/>
      <c r="IO214" s="671"/>
      <c r="IP214" s="671"/>
      <c r="IQ214" s="671"/>
      <c r="IR214" s="671"/>
      <c r="IS214" s="671"/>
      <c r="IT214" s="671"/>
      <c r="IU214" s="671"/>
      <c r="IV214" s="671"/>
      <c r="IW214" s="671"/>
      <c r="IX214" s="671"/>
      <c r="IY214" s="671"/>
      <c r="IZ214" s="671"/>
      <c r="JA214" s="671"/>
      <c r="JB214" s="671"/>
      <c r="JC214" s="671"/>
      <c r="JD214" s="671"/>
      <c r="JE214" s="671"/>
      <c r="JF214" s="671"/>
      <c r="JG214" s="671"/>
      <c r="JH214" s="671"/>
      <c r="JI214" s="671"/>
      <c r="JJ214" s="671"/>
      <c r="JK214" s="671"/>
      <c r="JL214" s="671"/>
      <c r="JM214" s="671"/>
      <c r="JN214" s="671"/>
      <c r="JO214" s="671"/>
      <c r="JP214" s="671"/>
      <c r="JQ214" s="671"/>
      <c r="JR214" s="671"/>
      <c r="JS214" s="671"/>
      <c r="JT214" s="671"/>
      <c r="JU214" s="671"/>
      <c r="JV214" s="671"/>
      <c r="JW214" s="671"/>
      <c r="JX214" s="671"/>
      <c r="JY214" s="671"/>
      <c r="JZ214" s="671"/>
      <c r="KA214" s="671"/>
      <c r="KB214" s="671"/>
      <c r="KC214" s="671"/>
      <c r="KD214" s="671"/>
      <c r="KE214" s="671"/>
      <c r="KF214" s="671"/>
      <c r="KG214" s="671"/>
      <c r="KH214" s="671"/>
      <c r="KI214" s="671"/>
      <c r="KJ214" s="671"/>
      <c r="KL214" s="669"/>
      <c r="KM214" s="669"/>
      <c r="KQ214" s="672"/>
      <c r="KR214" s="673"/>
      <c r="KS214" s="672"/>
      <c r="KT214" s="673"/>
      <c r="KU214" s="672"/>
      <c r="KV214" s="673"/>
      <c r="KW214" s="672"/>
      <c r="KX214" s="673"/>
      <c r="KY214" s="672"/>
      <c r="KZ214" s="673"/>
    </row>
    <row r="215" s="628" customFormat="1" spans="2:312">
      <c r="B215" s="659"/>
      <c r="C215" s="662"/>
      <c r="E215" s="665"/>
      <c r="F215" s="665"/>
      <c r="G215" s="666"/>
      <c r="H215" s="666"/>
      <c r="I215" s="667"/>
      <c r="J215" s="667"/>
      <c r="K215" s="667"/>
      <c r="L215" s="667"/>
      <c r="M215" s="667"/>
      <c r="N215" s="667"/>
      <c r="O215" s="667"/>
      <c r="P215" s="667"/>
      <c r="Q215" s="667"/>
      <c r="R215" s="667"/>
      <c r="S215" s="667"/>
      <c r="T215" s="667"/>
      <c r="U215" s="667"/>
      <c r="V215" s="667"/>
      <c r="W215" s="667"/>
      <c r="X215" s="667"/>
      <c r="Y215" s="667"/>
      <c r="Z215" s="667"/>
      <c r="AA215" s="667"/>
      <c r="AB215" s="667"/>
      <c r="FJ215" s="668"/>
      <c r="FK215" s="668"/>
      <c r="FL215" s="668"/>
      <c r="FM215" s="668"/>
      <c r="FN215" s="668"/>
      <c r="FO215" s="668"/>
      <c r="FV215" s="669"/>
      <c r="FZ215" s="669"/>
      <c r="GA215" s="669"/>
      <c r="GB215" s="669"/>
      <c r="GC215" s="669"/>
      <c r="GD215" s="665"/>
      <c r="GF215" s="669"/>
      <c r="GG215" s="669"/>
      <c r="GH215" s="669"/>
      <c r="GI215" s="669"/>
      <c r="GJ215" s="669"/>
      <c r="GK215" s="669"/>
      <c r="GL215" s="669"/>
      <c r="GM215" s="669"/>
      <c r="GN215" s="669"/>
      <c r="GO215" s="669"/>
      <c r="GP215" s="669"/>
      <c r="GQ215" s="669"/>
      <c r="GR215" s="669"/>
      <c r="GS215" s="669"/>
      <c r="GT215" s="669"/>
      <c r="GU215" s="669"/>
      <c r="GV215" s="669"/>
      <c r="GW215" s="669"/>
      <c r="GX215" s="669"/>
      <c r="GY215" s="669"/>
      <c r="GZ215" s="669"/>
      <c r="HA215" s="669"/>
      <c r="HB215" s="669"/>
      <c r="HC215" s="669"/>
      <c r="HD215" s="669"/>
      <c r="HE215" s="669"/>
      <c r="HF215" s="669"/>
      <c r="HG215" s="669"/>
      <c r="HH215" s="670"/>
      <c r="HI215" s="670"/>
      <c r="HJ215" s="671"/>
      <c r="HK215" s="669"/>
      <c r="HL215" s="665"/>
      <c r="HM215" s="665"/>
      <c r="HP215" s="670"/>
      <c r="HQ215" s="671"/>
      <c r="HR215" s="671"/>
      <c r="HS215" s="671"/>
      <c r="HT215" s="671"/>
      <c r="HU215" s="671"/>
      <c r="HV215" s="671"/>
      <c r="HW215" s="671"/>
      <c r="HX215" s="671"/>
      <c r="HY215" s="671"/>
      <c r="HZ215" s="671"/>
      <c r="IA215" s="671"/>
      <c r="IB215" s="671"/>
      <c r="IC215" s="671"/>
      <c r="ID215" s="671"/>
      <c r="IE215" s="671"/>
      <c r="IF215" s="671"/>
      <c r="IG215" s="671"/>
      <c r="IH215" s="671"/>
      <c r="II215" s="671"/>
      <c r="IJ215" s="671"/>
      <c r="IK215" s="671"/>
      <c r="IL215" s="671"/>
      <c r="IM215" s="671"/>
      <c r="IN215" s="671"/>
      <c r="IO215" s="671"/>
      <c r="IP215" s="671"/>
      <c r="IQ215" s="671"/>
      <c r="IR215" s="671"/>
      <c r="IS215" s="671"/>
      <c r="IT215" s="671"/>
      <c r="IU215" s="671"/>
      <c r="IV215" s="671"/>
      <c r="IW215" s="671"/>
      <c r="IX215" s="671"/>
      <c r="IY215" s="671"/>
      <c r="IZ215" s="671"/>
      <c r="JA215" s="671"/>
      <c r="JB215" s="671"/>
      <c r="JC215" s="671"/>
      <c r="JD215" s="671"/>
      <c r="JE215" s="671"/>
      <c r="JF215" s="671"/>
      <c r="JG215" s="671"/>
      <c r="JH215" s="671"/>
      <c r="JI215" s="671"/>
      <c r="JJ215" s="671"/>
      <c r="JK215" s="671"/>
      <c r="JL215" s="671"/>
      <c r="JM215" s="671"/>
      <c r="JN215" s="671"/>
      <c r="JO215" s="671"/>
      <c r="JP215" s="671"/>
      <c r="JQ215" s="671"/>
      <c r="JR215" s="671"/>
      <c r="JS215" s="671"/>
      <c r="JT215" s="671"/>
      <c r="JU215" s="671"/>
      <c r="JV215" s="671"/>
      <c r="JW215" s="671"/>
      <c r="JX215" s="671"/>
      <c r="JY215" s="671"/>
      <c r="JZ215" s="671"/>
      <c r="KA215" s="671"/>
      <c r="KB215" s="671"/>
      <c r="KC215" s="671"/>
      <c r="KD215" s="671"/>
      <c r="KE215" s="671"/>
      <c r="KF215" s="671"/>
      <c r="KG215" s="671"/>
      <c r="KH215" s="671"/>
      <c r="KI215" s="671"/>
      <c r="KJ215" s="671"/>
      <c r="KL215" s="669"/>
      <c r="KM215" s="669"/>
      <c r="KQ215" s="672"/>
      <c r="KR215" s="673"/>
      <c r="KS215" s="672"/>
      <c r="KT215" s="673"/>
      <c r="KU215" s="672"/>
      <c r="KV215" s="673"/>
      <c r="KW215" s="672"/>
      <c r="KX215" s="673"/>
      <c r="KY215" s="672"/>
      <c r="KZ215" s="673"/>
    </row>
    <row r="216" s="628" customFormat="1" spans="2:312">
      <c r="B216" s="659"/>
      <c r="C216" s="662"/>
      <c r="E216" s="665"/>
      <c r="F216" s="665"/>
      <c r="G216" s="666"/>
      <c r="H216" s="666"/>
      <c r="I216" s="667"/>
      <c r="J216" s="667"/>
      <c r="K216" s="667"/>
      <c r="L216" s="667"/>
      <c r="M216" s="667"/>
      <c r="N216" s="667"/>
      <c r="O216" s="667"/>
      <c r="P216" s="667"/>
      <c r="Q216" s="667"/>
      <c r="R216" s="667"/>
      <c r="S216" s="667"/>
      <c r="T216" s="667"/>
      <c r="U216" s="667"/>
      <c r="V216" s="667"/>
      <c r="W216" s="667"/>
      <c r="X216" s="667"/>
      <c r="Y216" s="667"/>
      <c r="Z216" s="667"/>
      <c r="AA216" s="667"/>
      <c r="AB216" s="667"/>
      <c r="FJ216" s="668"/>
      <c r="FK216" s="668"/>
      <c r="FL216" s="668"/>
      <c r="FM216" s="668"/>
      <c r="FN216" s="668"/>
      <c r="FO216" s="668"/>
      <c r="FV216" s="669"/>
      <c r="FZ216" s="669"/>
      <c r="GA216" s="669"/>
      <c r="GB216" s="669"/>
      <c r="GC216" s="669"/>
      <c r="GD216" s="665"/>
      <c r="GF216" s="669"/>
      <c r="GG216" s="669"/>
      <c r="GH216" s="669"/>
      <c r="GI216" s="669"/>
      <c r="GJ216" s="669"/>
      <c r="GK216" s="669"/>
      <c r="GL216" s="669"/>
      <c r="GM216" s="669"/>
      <c r="GN216" s="669"/>
      <c r="GO216" s="669"/>
      <c r="GP216" s="669"/>
      <c r="GQ216" s="669"/>
      <c r="GR216" s="669"/>
      <c r="GS216" s="669"/>
      <c r="GT216" s="669"/>
      <c r="GU216" s="669"/>
      <c r="GV216" s="669"/>
      <c r="GW216" s="669"/>
      <c r="GX216" s="669"/>
      <c r="GY216" s="669"/>
      <c r="GZ216" s="669"/>
      <c r="HA216" s="669"/>
      <c r="HB216" s="669"/>
      <c r="HC216" s="669"/>
      <c r="HD216" s="669"/>
      <c r="HE216" s="669"/>
      <c r="HF216" s="669"/>
      <c r="HG216" s="669"/>
      <c r="HH216" s="670"/>
      <c r="HI216" s="670"/>
      <c r="HJ216" s="671"/>
      <c r="HK216" s="669"/>
      <c r="HL216" s="665"/>
      <c r="HM216" s="665"/>
      <c r="HP216" s="670"/>
      <c r="HQ216" s="671"/>
      <c r="HR216" s="671"/>
      <c r="HS216" s="671"/>
      <c r="HT216" s="671"/>
      <c r="HU216" s="671"/>
      <c r="HV216" s="671"/>
      <c r="HW216" s="671"/>
      <c r="HX216" s="671"/>
      <c r="HY216" s="671"/>
      <c r="HZ216" s="671"/>
      <c r="IA216" s="671"/>
      <c r="IB216" s="671"/>
      <c r="IC216" s="671"/>
      <c r="ID216" s="671"/>
      <c r="IE216" s="671"/>
      <c r="IF216" s="671"/>
      <c r="IG216" s="671"/>
      <c r="IH216" s="671"/>
      <c r="II216" s="671"/>
      <c r="IJ216" s="671"/>
      <c r="IK216" s="671"/>
      <c r="IL216" s="671"/>
      <c r="IM216" s="671"/>
      <c r="IN216" s="671"/>
      <c r="IO216" s="671"/>
      <c r="IP216" s="671"/>
      <c r="IQ216" s="671"/>
      <c r="IR216" s="671"/>
      <c r="IS216" s="671"/>
      <c r="IT216" s="671"/>
      <c r="IU216" s="671"/>
      <c r="IV216" s="671"/>
      <c r="IW216" s="671"/>
      <c r="IX216" s="671"/>
      <c r="IY216" s="671"/>
      <c r="IZ216" s="671"/>
      <c r="JA216" s="671"/>
      <c r="JB216" s="671"/>
      <c r="JC216" s="671"/>
      <c r="JD216" s="671"/>
      <c r="JE216" s="671"/>
      <c r="JF216" s="671"/>
      <c r="JG216" s="671"/>
      <c r="JH216" s="671"/>
      <c r="JI216" s="671"/>
      <c r="JJ216" s="671"/>
      <c r="JK216" s="671"/>
      <c r="JL216" s="671"/>
      <c r="JM216" s="671"/>
      <c r="JN216" s="671"/>
      <c r="JO216" s="671"/>
      <c r="JP216" s="671"/>
      <c r="JQ216" s="671"/>
      <c r="JR216" s="671"/>
      <c r="JS216" s="671"/>
      <c r="JT216" s="671"/>
      <c r="JU216" s="671"/>
      <c r="JV216" s="671"/>
      <c r="JW216" s="671"/>
      <c r="JX216" s="671"/>
      <c r="JY216" s="671"/>
      <c r="JZ216" s="671"/>
      <c r="KA216" s="671"/>
      <c r="KB216" s="671"/>
      <c r="KC216" s="671"/>
      <c r="KD216" s="671"/>
      <c r="KE216" s="671"/>
      <c r="KF216" s="671"/>
      <c r="KG216" s="671"/>
      <c r="KH216" s="671"/>
      <c r="KI216" s="671"/>
      <c r="KJ216" s="671"/>
      <c r="KL216" s="669"/>
      <c r="KM216" s="669"/>
      <c r="KQ216" s="672"/>
      <c r="KR216" s="673"/>
      <c r="KS216" s="672"/>
      <c r="KT216" s="673"/>
      <c r="KU216" s="672"/>
      <c r="KV216" s="673"/>
      <c r="KW216" s="672"/>
      <c r="KX216" s="673"/>
      <c r="KY216" s="672"/>
      <c r="KZ216" s="673"/>
    </row>
    <row r="217" s="628" customFormat="1" spans="2:312">
      <c r="B217" s="659"/>
      <c r="C217" s="662"/>
      <c r="E217" s="665"/>
      <c r="F217" s="665"/>
      <c r="G217" s="666"/>
      <c r="H217" s="666"/>
      <c r="I217" s="667"/>
      <c r="J217" s="667"/>
      <c r="K217" s="667"/>
      <c r="L217" s="667"/>
      <c r="M217" s="667"/>
      <c r="N217" s="667"/>
      <c r="O217" s="667"/>
      <c r="P217" s="667"/>
      <c r="Q217" s="667"/>
      <c r="R217" s="667"/>
      <c r="S217" s="667"/>
      <c r="T217" s="667"/>
      <c r="U217" s="667"/>
      <c r="V217" s="667"/>
      <c r="W217" s="667"/>
      <c r="X217" s="667"/>
      <c r="Y217" s="667"/>
      <c r="Z217" s="667"/>
      <c r="AA217" s="667"/>
      <c r="AB217" s="667"/>
      <c r="FJ217" s="668"/>
      <c r="FK217" s="668"/>
      <c r="FL217" s="668"/>
      <c r="FM217" s="668"/>
      <c r="FN217" s="668"/>
      <c r="FO217" s="668"/>
      <c r="FV217" s="669"/>
      <c r="FZ217" s="669"/>
      <c r="GA217" s="669"/>
      <c r="GB217" s="669"/>
      <c r="GC217" s="669"/>
      <c r="GD217" s="665"/>
      <c r="GF217" s="669"/>
      <c r="GG217" s="669"/>
      <c r="GH217" s="669"/>
      <c r="GI217" s="669"/>
      <c r="GJ217" s="669"/>
      <c r="GK217" s="669"/>
      <c r="GL217" s="669"/>
      <c r="GM217" s="669"/>
      <c r="GN217" s="669"/>
      <c r="GO217" s="669"/>
      <c r="GP217" s="669"/>
      <c r="GQ217" s="669"/>
      <c r="GR217" s="669"/>
      <c r="GS217" s="669"/>
      <c r="GT217" s="669"/>
      <c r="GU217" s="669"/>
      <c r="GV217" s="669"/>
      <c r="GW217" s="669"/>
      <c r="GX217" s="669"/>
      <c r="GY217" s="669"/>
      <c r="GZ217" s="669"/>
      <c r="HA217" s="669"/>
      <c r="HB217" s="669"/>
      <c r="HC217" s="669"/>
      <c r="HD217" s="669"/>
      <c r="HE217" s="669"/>
      <c r="HF217" s="669"/>
      <c r="HG217" s="669"/>
      <c r="HH217" s="670"/>
      <c r="HI217" s="670"/>
      <c r="HJ217" s="671"/>
      <c r="HK217" s="669"/>
      <c r="HL217" s="665"/>
      <c r="HM217" s="665"/>
      <c r="HP217" s="670"/>
      <c r="HQ217" s="671"/>
      <c r="HR217" s="671"/>
      <c r="HS217" s="671"/>
      <c r="HT217" s="671"/>
      <c r="HU217" s="671"/>
      <c r="HV217" s="671"/>
      <c r="HW217" s="671"/>
      <c r="HX217" s="671"/>
      <c r="HY217" s="671"/>
      <c r="HZ217" s="671"/>
      <c r="IA217" s="671"/>
      <c r="IB217" s="671"/>
      <c r="IC217" s="671"/>
      <c r="ID217" s="671"/>
      <c r="IE217" s="671"/>
      <c r="IF217" s="671"/>
      <c r="IG217" s="671"/>
      <c r="IH217" s="671"/>
      <c r="II217" s="671"/>
      <c r="IJ217" s="671"/>
      <c r="IK217" s="671"/>
      <c r="IL217" s="671"/>
      <c r="IM217" s="671"/>
      <c r="IN217" s="671"/>
      <c r="IO217" s="671"/>
      <c r="IP217" s="671"/>
      <c r="IQ217" s="671"/>
      <c r="IR217" s="671"/>
      <c r="IS217" s="671"/>
      <c r="IT217" s="671"/>
      <c r="IU217" s="671"/>
      <c r="IV217" s="671"/>
      <c r="IW217" s="671"/>
      <c r="IX217" s="671"/>
      <c r="IY217" s="671"/>
      <c r="IZ217" s="671"/>
      <c r="JA217" s="671"/>
      <c r="JB217" s="671"/>
      <c r="JC217" s="671"/>
      <c r="JD217" s="671"/>
      <c r="JE217" s="671"/>
      <c r="JF217" s="671"/>
      <c r="JG217" s="671"/>
      <c r="JH217" s="671"/>
      <c r="JI217" s="671"/>
      <c r="JJ217" s="671"/>
      <c r="JK217" s="671"/>
      <c r="JL217" s="671"/>
      <c r="JM217" s="671"/>
      <c r="JN217" s="671"/>
      <c r="JO217" s="671"/>
      <c r="JP217" s="671"/>
      <c r="JQ217" s="671"/>
      <c r="JR217" s="671"/>
      <c r="JS217" s="671"/>
      <c r="JT217" s="671"/>
      <c r="JU217" s="671"/>
      <c r="JV217" s="671"/>
      <c r="JW217" s="671"/>
      <c r="JX217" s="671"/>
      <c r="JY217" s="671"/>
      <c r="JZ217" s="671"/>
      <c r="KA217" s="671"/>
      <c r="KB217" s="671"/>
      <c r="KC217" s="671"/>
      <c r="KD217" s="671"/>
      <c r="KE217" s="671"/>
      <c r="KF217" s="671"/>
      <c r="KG217" s="671"/>
      <c r="KH217" s="671"/>
      <c r="KI217" s="671"/>
      <c r="KJ217" s="671"/>
      <c r="KL217" s="669"/>
      <c r="KM217" s="669"/>
      <c r="KQ217" s="672"/>
      <c r="KR217" s="673"/>
      <c r="KS217" s="672"/>
      <c r="KT217" s="673"/>
      <c r="KU217" s="672"/>
      <c r="KV217" s="673"/>
      <c r="KW217" s="672"/>
      <c r="KX217" s="673"/>
      <c r="KY217" s="672"/>
      <c r="KZ217" s="673"/>
    </row>
    <row r="218" s="628" customFormat="1" spans="2:312">
      <c r="B218" s="659"/>
      <c r="C218" s="662"/>
      <c r="E218" s="665"/>
      <c r="F218" s="665"/>
      <c r="G218" s="666"/>
      <c r="H218" s="666"/>
      <c r="I218" s="667"/>
      <c r="J218" s="667"/>
      <c r="K218" s="667"/>
      <c r="L218" s="667"/>
      <c r="M218" s="667"/>
      <c r="N218" s="667"/>
      <c r="O218" s="667"/>
      <c r="P218" s="667"/>
      <c r="Q218" s="667"/>
      <c r="R218" s="667"/>
      <c r="S218" s="667"/>
      <c r="T218" s="667"/>
      <c r="U218" s="667"/>
      <c r="V218" s="667"/>
      <c r="W218" s="667"/>
      <c r="X218" s="667"/>
      <c r="Y218" s="667"/>
      <c r="Z218" s="667"/>
      <c r="AA218" s="667"/>
      <c r="AB218" s="667"/>
      <c r="FJ218" s="668"/>
      <c r="FK218" s="668"/>
      <c r="FL218" s="668"/>
      <c r="FM218" s="668"/>
      <c r="FN218" s="668"/>
      <c r="FO218" s="668"/>
      <c r="FV218" s="669"/>
      <c r="FZ218" s="669"/>
      <c r="GA218" s="669"/>
      <c r="GB218" s="669"/>
      <c r="GC218" s="669"/>
      <c r="GD218" s="665"/>
      <c r="GF218" s="669"/>
      <c r="GG218" s="669"/>
      <c r="GH218" s="669"/>
      <c r="GI218" s="669"/>
      <c r="GJ218" s="669"/>
      <c r="GK218" s="669"/>
      <c r="GL218" s="669"/>
      <c r="GM218" s="669"/>
      <c r="GN218" s="669"/>
      <c r="GO218" s="669"/>
      <c r="GP218" s="669"/>
      <c r="GQ218" s="669"/>
      <c r="GR218" s="669"/>
      <c r="GS218" s="669"/>
      <c r="GT218" s="669"/>
      <c r="GU218" s="669"/>
      <c r="GV218" s="669"/>
      <c r="GW218" s="669"/>
      <c r="GX218" s="669"/>
      <c r="GY218" s="669"/>
      <c r="GZ218" s="669"/>
      <c r="HA218" s="669"/>
      <c r="HB218" s="669"/>
      <c r="HC218" s="669"/>
      <c r="HD218" s="669"/>
      <c r="HE218" s="669"/>
      <c r="HF218" s="669"/>
      <c r="HG218" s="669"/>
      <c r="HH218" s="670"/>
      <c r="HI218" s="670"/>
      <c r="HJ218" s="671"/>
      <c r="HK218" s="669"/>
      <c r="HL218" s="665"/>
      <c r="HM218" s="665"/>
      <c r="HP218" s="670"/>
      <c r="HQ218" s="671"/>
      <c r="HR218" s="671"/>
      <c r="HS218" s="671"/>
      <c r="HT218" s="671"/>
      <c r="HU218" s="671"/>
      <c r="HV218" s="671"/>
      <c r="HW218" s="671"/>
      <c r="HX218" s="671"/>
      <c r="HY218" s="671"/>
      <c r="HZ218" s="671"/>
      <c r="IA218" s="671"/>
      <c r="IB218" s="671"/>
      <c r="IC218" s="671"/>
      <c r="ID218" s="671"/>
      <c r="IE218" s="671"/>
      <c r="IF218" s="671"/>
      <c r="IG218" s="671"/>
      <c r="IH218" s="671"/>
      <c r="II218" s="671"/>
      <c r="IJ218" s="671"/>
      <c r="IK218" s="671"/>
      <c r="IL218" s="671"/>
      <c r="IM218" s="671"/>
      <c r="IN218" s="671"/>
      <c r="IO218" s="671"/>
      <c r="IP218" s="671"/>
      <c r="IQ218" s="671"/>
      <c r="IR218" s="671"/>
      <c r="IS218" s="671"/>
      <c r="IT218" s="671"/>
      <c r="IU218" s="671"/>
      <c r="IV218" s="671"/>
      <c r="IW218" s="671"/>
      <c r="IX218" s="671"/>
      <c r="IY218" s="671"/>
      <c r="IZ218" s="671"/>
      <c r="JA218" s="671"/>
      <c r="JB218" s="671"/>
      <c r="JC218" s="671"/>
      <c r="JD218" s="671"/>
      <c r="JE218" s="671"/>
      <c r="JF218" s="671"/>
      <c r="JG218" s="671"/>
      <c r="JH218" s="671"/>
      <c r="JI218" s="671"/>
      <c r="JJ218" s="671"/>
      <c r="JK218" s="671"/>
      <c r="JL218" s="671"/>
      <c r="JM218" s="671"/>
      <c r="JN218" s="671"/>
      <c r="JO218" s="671"/>
      <c r="JP218" s="671"/>
      <c r="JQ218" s="671"/>
      <c r="JR218" s="671"/>
      <c r="JS218" s="671"/>
      <c r="JT218" s="671"/>
      <c r="JU218" s="671"/>
      <c r="JV218" s="671"/>
      <c r="JW218" s="671"/>
      <c r="JX218" s="671"/>
      <c r="JY218" s="671"/>
      <c r="JZ218" s="671"/>
      <c r="KA218" s="671"/>
      <c r="KB218" s="671"/>
      <c r="KC218" s="671"/>
      <c r="KD218" s="671"/>
      <c r="KE218" s="671"/>
      <c r="KF218" s="671"/>
      <c r="KG218" s="671"/>
      <c r="KH218" s="671"/>
      <c r="KI218" s="671"/>
      <c r="KJ218" s="671"/>
      <c r="KL218" s="669"/>
      <c r="KM218" s="669"/>
      <c r="KQ218" s="672"/>
      <c r="KR218" s="673"/>
      <c r="KS218" s="672"/>
      <c r="KT218" s="673"/>
      <c r="KU218" s="672"/>
      <c r="KV218" s="673"/>
      <c r="KW218" s="672"/>
      <c r="KX218" s="673"/>
      <c r="KY218" s="672"/>
      <c r="KZ218" s="673"/>
    </row>
    <row r="219" s="628" customFormat="1" spans="2:312">
      <c r="B219" s="659"/>
      <c r="C219" s="662"/>
      <c r="E219" s="665"/>
      <c r="F219" s="665"/>
      <c r="G219" s="666"/>
      <c r="H219" s="666"/>
      <c r="I219" s="667"/>
      <c r="J219" s="667"/>
      <c r="K219" s="667"/>
      <c r="L219" s="667"/>
      <c r="M219" s="667"/>
      <c r="N219" s="667"/>
      <c r="O219" s="667"/>
      <c r="P219" s="667"/>
      <c r="Q219" s="667"/>
      <c r="R219" s="667"/>
      <c r="S219" s="667"/>
      <c r="T219" s="667"/>
      <c r="U219" s="667"/>
      <c r="V219" s="667"/>
      <c r="W219" s="667"/>
      <c r="X219" s="667"/>
      <c r="Y219" s="667"/>
      <c r="Z219" s="667"/>
      <c r="AA219" s="667"/>
      <c r="AB219" s="667"/>
      <c r="FJ219" s="668"/>
      <c r="FK219" s="668"/>
      <c r="FL219" s="668"/>
      <c r="FM219" s="668"/>
      <c r="FN219" s="668"/>
      <c r="FO219" s="668"/>
      <c r="FV219" s="669"/>
      <c r="FZ219" s="669"/>
      <c r="GA219" s="669"/>
      <c r="GB219" s="669"/>
      <c r="GC219" s="669"/>
      <c r="GD219" s="665"/>
      <c r="GF219" s="669"/>
      <c r="GG219" s="669"/>
      <c r="GH219" s="669"/>
      <c r="GI219" s="669"/>
      <c r="GJ219" s="669"/>
      <c r="GK219" s="669"/>
      <c r="GL219" s="669"/>
      <c r="GM219" s="669"/>
      <c r="GN219" s="669"/>
      <c r="GO219" s="669"/>
      <c r="GP219" s="669"/>
      <c r="GQ219" s="669"/>
      <c r="GR219" s="669"/>
      <c r="GS219" s="669"/>
      <c r="GT219" s="669"/>
      <c r="GU219" s="669"/>
      <c r="GV219" s="669"/>
      <c r="GW219" s="669"/>
      <c r="GX219" s="669"/>
      <c r="GY219" s="669"/>
      <c r="GZ219" s="669"/>
      <c r="HA219" s="669"/>
      <c r="HB219" s="669"/>
      <c r="HC219" s="669"/>
      <c r="HD219" s="669"/>
      <c r="HE219" s="669"/>
      <c r="HF219" s="669"/>
      <c r="HG219" s="669"/>
      <c r="HH219" s="670"/>
      <c r="HI219" s="670"/>
      <c r="HJ219" s="671"/>
      <c r="HK219" s="669"/>
      <c r="HL219" s="665"/>
      <c r="HM219" s="665"/>
      <c r="HP219" s="670"/>
      <c r="HQ219" s="671"/>
      <c r="HR219" s="671"/>
      <c r="HS219" s="671"/>
      <c r="HT219" s="671"/>
      <c r="HU219" s="671"/>
      <c r="HV219" s="671"/>
      <c r="HW219" s="671"/>
      <c r="HX219" s="671"/>
      <c r="HY219" s="671"/>
      <c r="HZ219" s="671"/>
      <c r="IA219" s="671"/>
      <c r="IB219" s="671"/>
      <c r="IC219" s="671"/>
      <c r="ID219" s="671"/>
      <c r="IE219" s="671"/>
      <c r="IF219" s="671"/>
      <c r="IG219" s="671"/>
      <c r="IH219" s="671"/>
      <c r="II219" s="671"/>
      <c r="IJ219" s="671"/>
      <c r="IK219" s="671"/>
      <c r="IL219" s="671"/>
      <c r="IM219" s="671"/>
      <c r="IN219" s="671"/>
      <c r="IO219" s="671"/>
      <c r="IP219" s="671"/>
      <c r="IQ219" s="671"/>
      <c r="IR219" s="671"/>
      <c r="IS219" s="671"/>
      <c r="IT219" s="671"/>
      <c r="IU219" s="671"/>
      <c r="IV219" s="671"/>
      <c r="IW219" s="671"/>
      <c r="IX219" s="671"/>
      <c r="IY219" s="671"/>
      <c r="IZ219" s="671"/>
      <c r="JA219" s="671"/>
      <c r="JB219" s="671"/>
      <c r="JC219" s="671"/>
      <c r="JD219" s="671"/>
      <c r="JE219" s="671"/>
      <c r="JF219" s="671"/>
      <c r="JG219" s="671"/>
      <c r="JH219" s="671"/>
      <c r="JI219" s="671"/>
      <c r="JJ219" s="671"/>
      <c r="JK219" s="671"/>
      <c r="JL219" s="671"/>
      <c r="JM219" s="671"/>
      <c r="JN219" s="671"/>
      <c r="JO219" s="671"/>
      <c r="JP219" s="671"/>
      <c r="JQ219" s="671"/>
      <c r="JR219" s="671"/>
      <c r="JS219" s="671"/>
      <c r="JT219" s="671"/>
      <c r="JU219" s="671"/>
      <c r="JV219" s="671"/>
      <c r="JW219" s="671"/>
      <c r="JX219" s="671"/>
      <c r="JY219" s="671"/>
      <c r="JZ219" s="671"/>
      <c r="KA219" s="671"/>
      <c r="KB219" s="671"/>
      <c r="KC219" s="671"/>
      <c r="KD219" s="671"/>
      <c r="KE219" s="671"/>
      <c r="KF219" s="671"/>
      <c r="KG219" s="671"/>
      <c r="KH219" s="671"/>
      <c r="KI219" s="671"/>
      <c r="KJ219" s="671"/>
      <c r="KL219" s="669"/>
      <c r="KM219" s="669"/>
      <c r="KQ219" s="672"/>
      <c r="KR219" s="673"/>
      <c r="KS219" s="672"/>
      <c r="KT219" s="673"/>
      <c r="KU219" s="672"/>
      <c r="KV219" s="673"/>
      <c r="KW219" s="672"/>
      <c r="KX219" s="673"/>
      <c r="KY219" s="672"/>
      <c r="KZ219" s="673"/>
    </row>
    <row r="220" s="628" customFormat="1" spans="2:312">
      <c r="B220" s="659"/>
      <c r="C220" s="662"/>
      <c r="E220" s="665"/>
      <c r="F220" s="665"/>
      <c r="G220" s="666"/>
      <c r="H220" s="666"/>
      <c r="I220" s="667"/>
      <c r="J220" s="667"/>
      <c r="K220" s="667"/>
      <c r="L220" s="667"/>
      <c r="M220" s="667"/>
      <c r="N220" s="667"/>
      <c r="O220" s="667"/>
      <c r="P220" s="667"/>
      <c r="Q220" s="667"/>
      <c r="R220" s="667"/>
      <c r="S220" s="667"/>
      <c r="T220" s="667"/>
      <c r="U220" s="667"/>
      <c r="V220" s="667"/>
      <c r="W220" s="667"/>
      <c r="X220" s="667"/>
      <c r="Y220" s="667"/>
      <c r="Z220" s="667"/>
      <c r="AA220" s="667"/>
      <c r="AB220" s="667"/>
      <c r="FJ220" s="668"/>
      <c r="FK220" s="668"/>
      <c r="FL220" s="668"/>
      <c r="FM220" s="668"/>
      <c r="FN220" s="668"/>
      <c r="FO220" s="668"/>
      <c r="FV220" s="669"/>
      <c r="FZ220" s="669"/>
      <c r="GA220" s="669"/>
      <c r="GB220" s="669"/>
      <c r="GC220" s="669"/>
      <c r="GD220" s="665"/>
      <c r="GF220" s="669"/>
      <c r="GG220" s="669"/>
      <c r="GH220" s="669"/>
      <c r="GI220" s="669"/>
      <c r="GJ220" s="669"/>
      <c r="GK220" s="669"/>
      <c r="GL220" s="669"/>
      <c r="GM220" s="669"/>
      <c r="GN220" s="669"/>
      <c r="GO220" s="669"/>
      <c r="GP220" s="669"/>
      <c r="GQ220" s="669"/>
      <c r="GR220" s="669"/>
      <c r="GS220" s="669"/>
      <c r="GT220" s="669"/>
      <c r="GU220" s="669"/>
      <c r="GV220" s="669"/>
      <c r="GW220" s="669"/>
      <c r="GX220" s="669"/>
      <c r="GY220" s="669"/>
      <c r="GZ220" s="669"/>
      <c r="HA220" s="669"/>
      <c r="HB220" s="669"/>
      <c r="HC220" s="669"/>
      <c r="HD220" s="669"/>
      <c r="HE220" s="669"/>
      <c r="HF220" s="669"/>
      <c r="HG220" s="669"/>
      <c r="HH220" s="670"/>
      <c r="HI220" s="670"/>
      <c r="HJ220" s="671"/>
      <c r="HK220" s="669"/>
      <c r="HL220" s="665"/>
      <c r="HM220" s="665"/>
      <c r="HP220" s="670"/>
      <c r="HQ220" s="671"/>
      <c r="HR220" s="671"/>
      <c r="HS220" s="671"/>
      <c r="HT220" s="671"/>
      <c r="HU220" s="671"/>
      <c r="HV220" s="671"/>
      <c r="HW220" s="671"/>
      <c r="HX220" s="671"/>
      <c r="HY220" s="671"/>
      <c r="HZ220" s="671"/>
      <c r="IA220" s="671"/>
      <c r="IB220" s="671"/>
      <c r="IC220" s="671"/>
      <c r="ID220" s="671"/>
      <c r="IE220" s="671"/>
      <c r="IF220" s="671"/>
      <c r="IG220" s="671"/>
      <c r="IH220" s="671"/>
      <c r="II220" s="671"/>
      <c r="IJ220" s="671"/>
      <c r="IK220" s="671"/>
      <c r="IL220" s="671"/>
      <c r="IM220" s="671"/>
      <c r="IN220" s="671"/>
      <c r="IO220" s="671"/>
      <c r="IP220" s="671"/>
      <c r="IQ220" s="671"/>
      <c r="IR220" s="671"/>
      <c r="IS220" s="671"/>
      <c r="IT220" s="671"/>
      <c r="IU220" s="671"/>
      <c r="IV220" s="671"/>
      <c r="IW220" s="671"/>
      <c r="IX220" s="671"/>
      <c r="IY220" s="671"/>
      <c r="IZ220" s="671"/>
      <c r="JA220" s="671"/>
      <c r="JB220" s="671"/>
      <c r="JC220" s="671"/>
      <c r="JD220" s="671"/>
      <c r="JE220" s="671"/>
      <c r="JF220" s="671"/>
      <c r="JG220" s="671"/>
      <c r="JH220" s="671"/>
      <c r="JI220" s="671"/>
      <c r="JJ220" s="671"/>
      <c r="JK220" s="671"/>
      <c r="JL220" s="671"/>
      <c r="JM220" s="671"/>
      <c r="JN220" s="671"/>
      <c r="JO220" s="671"/>
      <c r="JP220" s="671"/>
      <c r="JQ220" s="671"/>
      <c r="JR220" s="671"/>
      <c r="JS220" s="671"/>
      <c r="JT220" s="671"/>
      <c r="JU220" s="671"/>
      <c r="JV220" s="671"/>
      <c r="JW220" s="671"/>
      <c r="JX220" s="671"/>
      <c r="JY220" s="671"/>
      <c r="JZ220" s="671"/>
      <c r="KA220" s="671"/>
      <c r="KB220" s="671"/>
      <c r="KC220" s="671"/>
      <c r="KD220" s="671"/>
      <c r="KE220" s="671"/>
      <c r="KF220" s="671"/>
      <c r="KG220" s="671"/>
      <c r="KH220" s="671"/>
      <c r="KI220" s="671"/>
      <c r="KJ220" s="671"/>
      <c r="KL220" s="669"/>
      <c r="KM220" s="669"/>
      <c r="KQ220" s="672"/>
      <c r="KR220" s="673"/>
      <c r="KS220" s="672"/>
      <c r="KT220" s="673"/>
      <c r="KU220" s="672"/>
      <c r="KV220" s="673"/>
      <c r="KW220" s="672"/>
      <c r="KX220" s="673"/>
      <c r="KY220" s="672"/>
      <c r="KZ220" s="673"/>
    </row>
    <row r="221" s="628" customFormat="1" spans="2:312">
      <c r="B221" s="659"/>
      <c r="C221" s="662"/>
      <c r="E221" s="665"/>
      <c r="F221" s="665"/>
      <c r="G221" s="666"/>
      <c r="H221" s="666"/>
      <c r="I221" s="667"/>
      <c r="J221" s="667"/>
      <c r="K221" s="667"/>
      <c r="L221" s="667"/>
      <c r="M221" s="667"/>
      <c r="N221" s="667"/>
      <c r="O221" s="667"/>
      <c r="P221" s="667"/>
      <c r="Q221" s="667"/>
      <c r="R221" s="667"/>
      <c r="S221" s="667"/>
      <c r="T221" s="667"/>
      <c r="U221" s="667"/>
      <c r="V221" s="667"/>
      <c r="W221" s="667"/>
      <c r="X221" s="667"/>
      <c r="Y221" s="667"/>
      <c r="Z221" s="667"/>
      <c r="AA221" s="667"/>
      <c r="AB221" s="667"/>
      <c r="FJ221" s="668"/>
      <c r="FK221" s="668"/>
      <c r="FL221" s="668"/>
      <c r="FM221" s="668"/>
      <c r="FN221" s="668"/>
      <c r="FO221" s="668"/>
      <c r="FV221" s="669"/>
      <c r="FZ221" s="669"/>
      <c r="GA221" s="669"/>
      <c r="GB221" s="669"/>
      <c r="GC221" s="669"/>
      <c r="GD221" s="665"/>
      <c r="GF221" s="669"/>
      <c r="GG221" s="669"/>
      <c r="GH221" s="669"/>
      <c r="GI221" s="669"/>
      <c r="GJ221" s="669"/>
      <c r="GK221" s="669"/>
      <c r="GL221" s="669"/>
      <c r="GM221" s="669"/>
      <c r="GN221" s="669"/>
      <c r="GO221" s="669"/>
      <c r="GP221" s="669"/>
      <c r="GQ221" s="669"/>
      <c r="GR221" s="669"/>
      <c r="GS221" s="669"/>
      <c r="GT221" s="669"/>
      <c r="GU221" s="669"/>
      <c r="GV221" s="669"/>
      <c r="GW221" s="669"/>
      <c r="GX221" s="669"/>
      <c r="GY221" s="669"/>
      <c r="GZ221" s="669"/>
      <c r="HA221" s="669"/>
      <c r="HB221" s="669"/>
      <c r="HC221" s="669"/>
      <c r="HD221" s="669"/>
      <c r="HE221" s="669"/>
      <c r="HF221" s="669"/>
      <c r="HG221" s="669"/>
      <c r="HH221" s="670"/>
      <c r="HI221" s="670"/>
      <c r="HJ221" s="671"/>
      <c r="HK221" s="669"/>
      <c r="HL221" s="665"/>
      <c r="HM221" s="665"/>
      <c r="HP221" s="670"/>
      <c r="HQ221" s="671"/>
      <c r="HR221" s="671"/>
      <c r="HS221" s="671"/>
      <c r="HT221" s="671"/>
      <c r="HU221" s="671"/>
      <c r="HV221" s="671"/>
      <c r="HW221" s="671"/>
      <c r="HX221" s="671"/>
      <c r="HY221" s="671"/>
      <c r="HZ221" s="671"/>
      <c r="IA221" s="671"/>
      <c r="IB221" s="671"/>
      <c r="IC221" s="671"/>
      <c r="ID221" s="671"/>
      <c r="IE221" s="671"/>
      <c r="IF221" s="671"/>
      <c r="IG221" s="671"/>
      <c r="IH221" s="671"/>
      <c r="II221" s="671"/>
      <c r="IJ221" s="671"/>
      <c r="IK221" s="671"/>
      <c r="IL221" s="671"/>
      <c r="IM221" s="671"/>
      <c r="IN221" s="671"/>
      <c r="IO221" s="671"/>
      <c r="IP221" s="671"/>
      <c r="IQ221" s="671"/>
      <c r="IR221" s="671"/>
      <c r="IS221" s="671"/>
      <c r="IT221" s="671"/>
      <c r="IU221" s="671"/>
      <c r="IV221" s="671"/>
      <c r="IW221" s="671"/>
      <c r="IX221" s="671"/>
      <c r="IY221" s="671"/>
      <c r="IZ221" s="671"/>
      <c r="JA221" s="671"/>
      <c r="JB221" s="671"/>
      <c r="JC221" s="671"/>
      <c r="JD221" s="671"/>
      <c r="JE221" s="671"/>
      <c r="JF221" s="671"/>
      <c r="JG221" s="671"/>
      <c r="JH221" s="671"/>
      <c r="JI221" s="671"/>
      <c r="JJ221" s="671"/>
      <c r="JK221" s="671"/>
      <c r="JL221" s="671"/>
      <c r="JM221" s="671"/>
      <c r="JN221" s="671"/>
      <c r="JO221" s="671"/>
      <c r="JP221" s="671"/>
      <c r="JQ221" s="671"/>
      <c r="JR221" s="671"/>
      <c r="JS221" s="671"/>
      <c r="JT221" s="671"/>
      <c r="JU221" s="671"/>
      <c r="JV221" s="671"/>
      <c r="JW221" s="671"/>
      <c r="JX221" s="671"/>
      <c r="JY221" s="671"/>
      <c r="JZ221" s="671"/>
      <c r="KA221" s="671"/>
      <c r="KB221" s="671"/>
      <c r="KC221" s="671"/>
      <c r="KD221" s="671"/>
      <c r="KE221" s="671"/>
      <c r="KF221" s="671"/>
      <c r="KG221" s="671"/>
      <c r="KH221" s="671"/>
      <c r="KI221" s="671"/>
      <c r="KJ221" s="671"/>
      <c r="KL221" s="669"/>
      <c r="KM221" s="669"/>
      <c r="KQ221" s="672"/>
      <c r="KR221" s="673"/>
      <c r="KS221" s="672"/>
      <c r="KT221" s="673"/>
      <c r="KU221" s="672"/>
      <c r="KV221" s="673"/>
      <c r="KW221" s="672"/>
      <c r="KX221" s="673"/>
      <c r="KY221" s="672"/>
      <c r="KZ221" s="673"/>
    </row>
    <row r="222" s="628" customFormat="1" spans="2:312">
      <c r="B222" s="659"/>
      <c r="C222" s="662"/>
      <c r="E222" s="665"/>
      <c r="F222" s="665"/>
      <c r="G222" s="666"/>
      <c r="H222" s="666"/>
      <c r="I222" s="667"/>
      <c r="J222" s="667"/>
      <c r="K222" s="667"/>
      <c r="L222" s="667"/>
      <c r="M222" s="667"/>
      <c r="N222" s="667"/>
      <c r="O222" s="667"/>
      <c r="P222" s="667"/>
      <c r="Q222" s="667"/>
      <c r="R222" s="667"/>
      <c r="S222" s="667"/>
      <c r="T222" s="667"/>
      <c r="U222" s="667"/>
      <c r="V222" s="667"/>
      <c r="W222" s="667"/>
      <c r="X222" s="667"/>
      <c r="Y222" s="667"/>
      <c r="Z222" s="667"/>
      <c r="AA222" s="667"/>
      <c r="AB222" s="667"/>
      <c r="FJ222" s="668"/>
      <c r="FK222" s="668"/>
      <c r="FL222" s="668"/>
      <c r="FM222" s="668"/>
      <c r="FN222" s="668"/>
      <c r="FO222" s="668"/>
      <c r="FV222" s="669"/>
      <c r="FZ222" s="669"/>
      <c r="GA222" s="669"/>
      <c r="GB222" s="669"/>
      <c r="GC222" s="669"/>
      <c r="GD222" s="665"/>
      <c r="GF222" s="669"/>
      <c r="GG222" s="669"/>
      <c r="GH222" s="669"/>
      <c r="GI222" s="669"/>
      <c r="GJ222" s="669"/>
      <c r="GK222" s="669"/>
      <c r="GL222" s="669"/>
      <c r="GM222" s="669"/>
      <c r="GN222" s="669"/>
      <c r="GO222" s="669"/>
      <c r="GP222" s="669"/>
      <c r="GQ222" s="669"/>
      <c r="GR222" s="669"/>
      <c r="GS222" s="669"/>
      <c r="GT222" s="669"/>
      <c r="GU222" s="669"/>
      <c r="GV222" s="669"/>
      <c r="GW222" s="669"/>
      <c r="GX222" s="669"/>
      <c r="GY222" s="669"/>
      <c r="GZ222" s="669"/>
      <c r="HA222" s="669"/>
      <c r="HB222" s="669"/>
      <c r="HC222" s="669"/>
      <c r="HD222" s="669"/>
      <c r="HE222" s="669"/>
      <c r="HF222" s="669"/>
      <c r="HG222" s="669"/>
      <c r="HH222" s="670"/>
      <c r="HI222" s="670"/>
      <c r="HJ222" s="671"/>
      <c r="HK222" s="669"/>
      <c r="HL222" s="665"/>
      <c r="HM222" s="665"/>
      <c r="HP222" s="670"/>
      <c r="HQ222" s="671"/>
      <c r="HR222" s="671"/>
      <c r="HS222" s="671"/>
      <c r="HT222" s="671"/>
      <c r="HU222" s="671"/>
      <c r="HV222" s="671"/>
      <c r="HW222" s="671"/>
      <c r="HX222" s="671"/>
      <c r="HY222" s="671"/>
      <c r="HZ222" s="671"/>
      <c r="IA222" s="671"/>
      <c r="IB222" s="671"/>
      <c r="IC222" s="671"/>
      <c r="ID222" s="671"/>
      <c r="IE222" s="671"/>
      <c r="IF222" s="671"/>
      <c r="IG222" s="671"/>
      <c r="IH222" s="671"/>
      <c r="II222" s="671"/>
      <c r="IJ222" s="671"/>
      <c r="IK222" s="671"/>
      <c r="IL222" s="671"/>
      <c r="IM222" s="671"/>
      <c r="IN222" s="671"/>
      <c r="IO222" s="671"/>
      <c r="IP222" s="671"/>
      <c r="IQ222" s="671"/>
      <c r="IR222" s="671"/>
      <c r="IS222" s="671"/>
      <c r="IT222" s="671"/>
      <c r="IU222" s="671"/>
      <c r="IV222" s="671"/>
      <c r="IW222" s="671"/>
      <c r="IX222" s="671"/>
      <c r="IY222" s="671"/>
      <c r="IZ222" s="671"/>
      <c r="JA222" s="671"/>
      <c r="JB222" s="671"/>
      <c r="JC222" s="671"/>
      <c r="JD222" s="671"/>
      <c r="JE222" s="671"/>
      <c r="JF222" s="671"/>
      <c r="JG222" s="671"/>
      <c r="JH222" s="671"/>
      <c r="JI222" s="671"/>
      <c r="JJ222" s="671"/>
      <c r="JK222" s="671"/>
      <c r="JL222" s="671"/>
      <c r="JM222" s="671"/>
      <c r="JN222" s="671"/>
      <c r="JO222" s="671"/>
      <c r="JP222" s="671"/>
      <c r="JQ222" s="671"/>
      <c r="JR222" s="671"/>
      <c r="JS222" s="671"/>
      <c r="JT222" s="671"/>
      <c r="JU222" s="671"/>
      <c r="JV222" s="671"/>
      <c r="JW222" s="671"/>
      <c r="JX222" s="671"/>
      <c r="JY222" s="671"/>
      <c r="JZ222" s="671"/>
      <c r="KA222" s="671"/>
      <c r="KB222" s="671"/>
      <c r="KC222" s="671"/>
      <c r="KD222" s="671"/>
      <c r="KE222" s="671"/>
      <c r="KF222" s="671"/>
      <c r="KG222" s="671"/>
      <c r="KH222" s="671"/>
      <c r="KI222" s="671"/>
      <c r="KJ222" s="671"/>
      <c r="KL222" s="669"/>
      <c r="KM222" s="669"/>
      <c r="KQ222" s="672"/>
      <c r="KR222" s="673"/>
      <c r="KS222" s="672"/>
      <c r="KT222" s="673"/>
      <c r="KU222" s="672"/>
      <c r="KV222" s="673"/>
      <c r="KW222" s="672"/>
      <c r="KX222" s="673"/>
      <c r="KY222" s="672"/>
      <c r="KZ222" s="673"/>
    </row>
    <row r="223" s="628" customFormat="1" spans="2:312">
      <c r="B223" s="659"/>
      <c r="C223" s="662"/>
      <c r="E223" s="665"/>
      <c r="F223" s="665"/>
      <c r="G223" s="666"/>
      <c r="H223" s="666"/>
      <c r="I223" s="667"/>
      <c r="J223" s="667"/>
      <c r="K223" s="667"/>
      <c r="L223" s="667"/>
      <c r="M223" s="667"/>
      <c r="N223" s="667"/>
      <c r="O223" s="667"/>
      <c r="P223" s="667"/>
      <c r="Q223" s="667"/>
      <c r="R223" s="667"/>
      <c r="S223" s="667"/>
      <c r="T223" s="667"/>
      <c r="U223" s="667"/>
      <c r="V223" s="667"/>
      <c r="W223" s="667"/>
      <c r="X223" s="667"/>
      <c r="Y223" s="667"/>
      <c r="Z223" s="667"/>
      <c r="AA223" s="667"/>
      <c r="AB223" s="667"/>
      <c r="FJ223" s="668"/>
      <c r="FK223" s="668"/>
      <c r="FL223" s="668"/>
      <c r="FM223" s="668"/>
      <c r="FN223" s="668"/>
      <c r="FO223" s="668"/>
      <c r="FV223" s="669"/>
      <c r="FZ223" s="669"/>
      <c r="GA223" s="669"/>
      <c r="GB223" s="669"/>
      <c r="GC223" s="669"/>
      <c r="GD223" s="665"/>
      <c r="GF223" s="669"/>
      <c r="GG223" s="669"/>
      <c r="GH223" s="669"/>
      <c r="GI223" s="669"/>
      <c r="GJ223" s="669"/>
      <c r="GK223" s="669"/>
      <c r="GL223" s="669"/>
      <c r="GM223" s="669"/>
      <c r="GN223" s="669"/>
      <c r="GO223" s="669"/>
      <c r="GP223" s="669"/>
      <c r="GQ223" s="669"/>
      <c r="GR223" s="669"/>
      <c r="GS223" s="669"/>
      <c r="GT223" s="669"/>
      <c r="GU223" s="669"/>
      <c r="GV223" s="669"/>
      <c r="GW223" s="669"/>
      <c r="GX223" s="669"/>
      <c r="GY223" s="669"/>
      <c r="GZ223" s="669"/>
      <c r="HA223" s="669"/>
      <c r="HB223" s="669"/>
      <c r="HC223" s="669"/>
      <c r="HD223" s="669"/>
      <c r="HE223" s="669"/>
      <c r="HF223" s="669"/>
      <c r="HG223" s="669"/>
      <c r="HH223" s="670"/>
      <c r="HI223" s="670"/>
      <c r="HJ223" s="671"/>
      <c r="HK223" s="669"/>
      <c r="HL223" s="665"/>
      <c r="HM223" s="665"/>
      <c r="HP223" s="670"/>
      <c r="HQ223" s="671"/>
      <c r="HR223" s="671"/>
      <c r="HS223" s="671"/>
      <c r="HT223" s="671"/>
      <c r="HU223" s="671"/>
      <c r="HV223" s="671"/>
      <c r="HW223" s="671"/>
      <c r="HX223" s="671"/>
      <c r="HY223" s="671"/>
      <c r="HZ223" s="671"/>
      <c r="IA223" s="671"/>
      <c r="IB223" s="671"/>
      <c r="IC223" s="671"/>
      <c r="ID223" s="671"/>
      <c r="IE223" s="671"/>
      <c r="IF223" s="671"/>
      <c r="IG223" s="671"/>
      <c r="IH223" s="671"/>
      <c r="II223" s="671"/>
      <c r="IJ223" s="671"/>
      <c r="IK223" s="671"/>
      <c r="IL223" s="671"/>
      <c r="IM223" s="671"/>
      <c r="IN223" s="671"/>
      <c r="IO223" s="671"/>
      <c r="IP223" s="671"/>
      <c r="IQ223" s="671"/>
      <c r="IR223" s="671"/>
      <c r="IS223" s="671"/>
      <c r="IT223" s="671"/>
      <c r="IU223" s="671"/>
      <c r="IV223" s="671"/>
      <c r="IW223" s="671"/>
      <c r="IX223" s="671"/>
      <c r="IY223" s="671"/>
      <c r="IZ223" s="671"/>
      <c r="JA223" s="671"/>
      <c r="JB223" s="671"/>
      <c r="JC223" s="671"/>
      <c r="JD223" s="671"/>
      <c r="JE223" s="671"/>
      <c r="JF223" s="671"/>
      <c r="JG223" s="671"/>
      <c r="JH223" s="671"/>
      <c r="JI223" s="671"/>
      <c r="JJ223" s="671"/>
      <c r="JK223" s="671"/>
      <c r="JL223" s="671"/>
      <c r="JM223" s="671"/>
      <c r="JN223" s="671"/>
      <c r="JO223" s="671"/>
      <c r="JP223" s="671"/>
      <c r="JQ223" s="671"/>
      <c r="JR223" s="671"/>
      <c r="JS223" s="671"/>
      <c r="JT223" s="671"/>
      <c r="JU223" s="671"/>
      <c r="JV223" s="671"/>
      <c r="JW223" s="671"/>
      <c r="JX223" s="671"/>
      <c r="JY223" s="671"/>
      <c r="JZ223" s="671"/>
      <c r="KA223" s="671"/>
      <c r="KB223" s="671"/>
      <c r="KC223" s="671"/>
      <c r="KD223" s="671"/>
      <c r="KE223" s="671"/>
      <c r="KF223" s="671"/>
      <c r="KG223" s="671"/>
      <c r="KH223" s="671"/>
      <c r="KI223" s="671"/>
      <c r="KJ223" s="671"/>
      <c r="KL223" s="669"/>
      <c r="KM223" s="669"/>
      <c r="KQ223" s="672"/>
      <c r="KR223" s="673"/>
      <c r="KS223" s="672"/>
      <c r="KT223" s="673"/>
      <c r="KU223" s="672"/>
      <c r="KV223" s="673"/>
      <c r="KW223" s="672"/>
      <c r="KX223" s="673"/>
      <c r="KY223" s="672"/>
      <c r="KZ223" s="673"/>
    </row>
    <row r="224" s="628" customFormat="1" spans="2:312">
      <c r="B224" s="659"/>
      <c r="C224" s="662"/>
      <c r="E224" s="665"/>
      <c r="F224" s="665"/>
      <c r="G224" s="666"/>
      <c r="H224" s="666"/>
      <c r="I224" s="667"/>
      <c r="J224" s="667"/>
      <c r="K224" s="667"/>
      <c r="L224" s="667"/>
      <c r="M224" s="667"/>
      <c r="N224" s="667"/>
      <c r="O224" s="667"/>
      <c r="P224" s="667"/>
      <c r="Q224" s="667"/>
      <c r="R224" s="667"/>
      <c r="S224" s="667"/>
      <c r="T224" s="667"/>
      <c r="U224" s="667"/>
      <c r="V224" s="667"/>
      <c r="W224" s="667"/>
      <c r="X224" s="667"/>
      <c r="Y224" s="667"/>
      <c r="Z224" s="667"/>
      <c r="AA224" s="667"/>
      <c r="AB224" s="667"/>
      <c r="FJ224" s="668"/>
      <c r="FK224" s="668"/>
      <c r="FL224" s="668"/>
      <c r="FM224" s="668"/>
      <c r="FN224" s="668"/>
      <c r="FO224" s="668"/>
      <c r="FV224" s="669"/>
      <c r="FZ224" s="669"/>
      <c r="GA224" s="669"/>
      <c r="GB224" s="669"/>
      <c r="GC224" s="669"/>
      <c r="GD224" s="665"/>
      <c r="GF224" s="669"/>
      <c r="GG224" s="669"/>
      <c r="GH224" s="669"/>
      <c r="GI224" s="669"/>
      <c r="GJ224" s="669"/>
      <c r="GK224" s="669"/>
      <c r="GL224" s="669"/>
      <c r="GM224" s="669"/>
      <c r="GN224" s="669"/>
      <c r="GO224" s="669"/>
      <c r="GP224" s="669"/>
      <c r="GQ224" s="669"/>
      <c r="GR224" s="669"/>
      <c r="GS224" s="669"/>
      <c r="GT224" s="669"/>
      <c r="GU224" s="669"/>
      <c r="GV224" s="669"/>
      <c r="GW224" s="669"/>
      <c r="GX224" s="669"/>
      <c r="GY224" s="669"/>
      <c r="GZ224" s="669"/>
      <c r="HA224" s="669"/>
      <c r="HB224" s="669"/>
      <c r="HC224" s="669"/>
      <c r="HD224" s="669"/>
      <c r="HE224" s="669"/>
      <c r="HF224" s="669"/>
      <c r="HG224" s="669"/>
      <c r="HH224" s="670"/>
      <c r="HI224" s="670"/>
      <c r="HJ224" s="671"/>
      <c r="HK224" s="669"/>
      <c r="HL224" s="665"/>
      <c r="HM224" s="665"/>
      <c r="HP224" s="670"/>
      <c r="HQ224" s="671"/>
      <c r="HR224" s="671"/>
      <c r="HS224" s="671"/>
      <c r="HT224" s="671"/>
      <c r="HU224" s="671"/>
      <c r="HV224" s="671"/>
      <c r="HW224" s="671"/>
      <c r="HX224" s="671"/>
      <c r="HY224" s="671"/>
      <c r="HZ224" s="671"/>
      <c r="IA224" s="671"/>
      <c r="IB224" s="671"/>
      <c r="IC224" s="671"/>
      <c r="ID224" s="671"/>
      <c r="IE224" s="671"/>
      <c r="IF224" s="671"/>
      <c r="IG224" s="671"/>
      <c r="IH224" s="671"/>
      <c r="II224" s="671"/>
      <c r="IJ224" s="671"/>
      <c r="IK224" s="671"/>
      <c r="IL224" s="671"/>
      <c r="IM224" s="671"/>
      <c r="IN224" s="671"/>
      <c r="IO224" s="671"/>
      <c r="IP224" s="671"/>
      <c r="IQ224" s="671"/>
      <c r="IR224" s="671"/>
      <c r="IS224" s="671"/>
      <c r="IT224" s="671"/>
      <c r="IU224" s="671"/>
      <c r="IV224" s="671"/>
      <c r="IW224" s="671"/>
      <c r="IX224" s="671"/>
      <c r="IY224" s="671"/>
      <c r="IZ224" s="671"/>
      <c r="JA224" s="671"/>
      <c r="JB224" s="671"/>
      <c r="JC224" s="671"/>
      <c r="JD224" s="671"/>
      <c r="JE224" s="671"/>
      <c r="JF224" s="671"/>
      <c r="JG224" s="671"/>
      <c r="JH224" s="671"/>
      <c r="JI224" s="671"/>
      <c r="JJ224" s="671"/>
      <c r="JK224" s="671"/>
      <c r="JL224" s="671"/>
      <c r="JM224" s="671"/>
      <c r="JN224" s="671"/>
      <c r="JO224" s="671"/>
      <c r="JP224" s="671"/>
      <c r="JQ224" s="671"/>
      <c r="JR224" s="671"/>
      <c r="JS224" s="671"/>
      <c r="JT224" s="671"/>
      <c r="JU224" s="671"/>
      <c r="JV224" s="671"/>
      <c r="JW224" s="671"/>
      <c r="JX224" s="671"/>
      <c r="JY224" s="671"/>
      <c r="JZ224" s="671"/>
      <c r="KA224" s="671"/>
      <c r="KB224" s="671"/>
      <c r="KC224" s="671"/>
      <c r="KD224" s="671"/>
      <c r="KE224" s="671"/>
      <c r="KF224" s="671"/>
      <c r="KG224" s="671"/>
      <c r="KH224" s="671"/>
      <c r="KI224" s="671"/>
      <c r="KJ224" s="671"/>
      <c r="KL224" s="669"/>
      <c r="KM224" s="669"/>
      <c r="KQ224" s="672"/>
      <c r="KR224" s="673"/>
      <c r="KS224" s="672"/>
      <c r="KT224" s="673"/>
      <c r="KU224" s="672"/>
      <c r="KV224" s="673"/>
      <c r="KW224" s="672"/>
      <c r="KX224" s="673"/>
      <c r="KY224" s="672"/>
      <c r="KZ224" s="673"/>
    </row>
    <row r="225" s="628" customFormat="1" spans="2:312">
      <c r="B225" s="659"/>
      <c r="C225" s="662"/>
      <c r="E225" s="665"/>
      <c r="F225" s="665"/>
      <c r="G225" s="666"/>
      <c r="H225" s="666"/>
      <c r="I225" s="667"/>
      <c r="J225" s="667"/>
      <c r="K225" s="667"/>
      <c r="L225" s="667"/>
      <c r="M225" s="667"/>
      <c r="N225" s="667"/>
      <c r="O225" s="667"/>
      <c r="P225" s="667"/>
      <c r="Q225" s="667"/>
      <c r="R225" s="667"/>
      <c r="S225" s="667"/>
      <c r="T225" s="667"/>
      <c r="U225" s="667"/>
      <c r="V225" s="667"/>
      <c r="W225" s="667"/>
      <c r="X225" s="667"/>
      <c r="Y225" s="667"/>
      <c r="Z225" s="667"/>
      <c r="AA225" s="667"/>
      <c r="AB225" s="667"/>
      <c r="FJ225" s="668"/>
      <c r="FK225" s="668"/>
      <c r="FL225" s="668"/>
      <c r="FM225" s="668"/>
      <c r="FN225" s="668"/>
      <c r="FO225" s="668"/>
      <c r="FV225" s="669"/>
      <c r="FZ225" s="669"/>
      <c r="GA225" s="669"/>
      <c r="GB225" s="669"/>
      <c r="GC225" s="669"/>
      <c r="GD225" s="665"/>
      <c r="GF225" s="669"/>
      <c r="GG225" s="669"/>
      <c r="GH225" s="669"/>
      <c r="GI225" s="669"/>
      <c r="GJ225" s="669"/>
      <c r="GK225" s="669"/>
      <c r="GL225" s="669"/>
      <c r="GM225" s="669"/>
      <c r="GN225" s="669"/>
      <c r="GO225" s="669"/>
      <c r="GP225" s="669"/>
      <c r="GQ225" s="669"/>
      <c r="GR225" s="669"/>
      <c r="GS225" s="669"/>
      <c r="GT225" s="669"/>
      <c r="GU225" s="669"/>
      <c r="GV225" s="669"/>
      <c r="GW225" s="669"/>
      <c r="GX225" s="669"/>
      <c r="GY225" s="669"/>
      <c r="GZ225" s="669"/>
      <c r="HA225" s="669"/>
      <c r="HB225" s="669"/>
      <c r="HC225" s="669"/>
      <c r="HD225" s="669"/>
      <c r="HE225" s="669"/>
      <c r="HF225" s="669"/>
      <c r="HG225" s="669"/>
      <c r="HH225" s="670"/>
      <c r="HI225" s="670"/>
      <c r="HJ225" s="671"/>
      <c r="HK225" s="669"/>
      <c r="HL225" s="665"/>
      <c r="HM225" s="665"/>
      <c r="HP225" s="670"/>
      <c r="HQ225" s="671"/>
      <c r="HR225" s="671"/>
      <c r="HS225" s="671"/>
      <c r="HT225" s="671"/>
      <c r="HU225" s="671"/>
      <c r="HV225" s="671"/>
      <c r="HW225" s="671"/>
      <c r="HX225" s="671"/>
      <c r="HY225" s="671"/>
      <c r="HZ225" s="671"/>
      <c r="IA225" s="671"/>
      <c r="IB225" s="671"/>
      <c r="IC225" s="671"/>
      <c r="ID225" s="671"/>
      <c r="IE225" s="671"/>
      <c r="IF225" s="671"/>
      <c r="IG225" s="671"/>
      <c r="IH225" s="671"/>
      <c r="II225" s="671"/>
      <c r="IJ225" s="671"/>
      <c r="IK225" s="671"/>
      <c r="IL225" s="671"/>
      <c r="IM225" s="671"/>
      <c r="IN225" s="671"/>
      <c r="IO225" s="671"/>
      <c r="IP225" s="671"/>
      <c r="IQ225" s="671"/>
      <c r="IR225" s="671"/>
      <c r="IS225" s="671"/>
      <c r="IT225" s="671"/>
      <c r="IU225" s="671"/>
      <c r="IV225" s="671"/>
      <c r="IW225" s="671"/>
      <c r="IX225" s="671"/>
      <c r="IY225" s="671"/>
      <c r="IZ225" s="671"/>
      <c r="JA225" s="671"/>
      <c r="JB225" s="671"/>
      <c r="JC225" s="671"/>
      <c r="JD225" s="671"/>
      <c r="JE225" s="671"/>
      <c r="JF225" s="671"/>
      <c r="JG225" s="671"/>
      <c r="JH225" s="671"/>
      <c r="JI225" s="671"/>
      <c r="JJ225" s="671"/>
      <c r="JK225" s="671"/>
      <c r="JL225" s="671"/>
      <c r="JM225" s="671"/>
      <c r="JN225" s="671"/>
      <c r="JO225" s="671"/>
      <c r="JP225" s="671"/>
      <c r="JQ225" s="671"/>
      <c r="JR225" s="671"/>
      <c r="JS225" s="671"/>
      <c r="JT225" s="671"/>
      <c r="JU225" s="671"/>
      <c r="JV225" s="671"/>
      <c r="JW225" s="671"/>
      <c r="JX225" s="671"/>
      <c r="JY225" s="671"/>
      <c r="JZ225" s="671"/>
      <c r="KA225" s="671"/>
      <c r="KB225" s="671"/>
      <c r="KC225" s="671"/>
      <c r="KD225" s="671"/>
      <c r="KE225" s="671"/>
      <c r="KF225" s="671"/>
      <c r="KG225" s="671"/>
      <c r="KH225" s="671"/>
      <c r="KI225" s="671"/>
      <c r="KJ225" s="671"/>
      <c r="KL225" s="669"/>
      <c r="KM225" s="669"/>
      <c r="KQ225" s="672"/>
      <c r="KR225" s="673"/>
      <c r="KS225" s="672"/>
      <c r="KT225" s="673"/>
      <c r="KU225" s="672"/>
      <c r="KV225" s="673"/>
      <c r="KW225" s="672"/>
      <c r="KX225" s="673"/>
      <c r="KY225" s="672"/>
      <c r="KZ225" s="673"/>
    </row>
    <row r="226" s="628" customFormat="1" spans="2:312">
      <c r="B226" s="659"/>
      <c r="C226" s="662"/>
      <c r="E226" s="665"/>
      <c r="F226" s="665"/>
      <c r="G226" s="666"/>
      <c r="H226" s="666"/>
      <c r="I226" s="667"/>
      <c r="J226" s="667"/>
      <c r="K226" s="667"/>
      <c r="L226" s="667"/>
      <c r="M226" s="667"/>
      <c r="N226" s="667"/>
      <c r="O226" s="667"/>
      <c r="P226" s="667"/>
      <c r="Q226" s="667"/>
      <c r="R226" s="667"/>
      <c r="S226" s="667"/>
      <c r="T226" s="667"/>
      <c r="U226" s="667"/>
      <c r="V226" s="667"/>
      <c r="W226" s="667"/>
      <c r="X226" s="667"/>
      <c r="Y226" s="667"/>
      <c r="Z226" s="667"/>
      <c r="AA226" s="667"/>
      <c r="AB226" s="667"/>
      <c r="FJ226" s="668"/>
      <c r="FK226" s="668"/>
      <c r="FL226" s="668"/>
      <c r="FM226" s="668"/>
      <c r="FN226" s="668"/>
      <c r="FO226" s="668"/>
      <c r="FV226" s="669"/>
      <c r="FZ226" s="669"/>
      <c r="GA226" s="669"/>
      <c r="GB226" s="669"/>
      <c r="GC226" s="669"/>
      <c r="GD226" s="665"/>
      <c r="GF226" s="669"/>
      <c r="GG226" s="669"/>
      <c r="GH226" s="669"/>
      <c r="GI226" s="669"/>
      <c r="GJ226" s="669"/>
      <c r="GK226" s="669"/>
      <c r="GL226" s="669"/>
      <c r="GM226" s="669"/>
      <c r="GN226" s="669"/>
      <c r="GO226" s="669"/>
      <c r="GP226" s="669"/>
      <c r="GQ226" s="669"/>
      <c r="GR226" s="669"/>
      <c r="GS226" s="669"/>
      <c r="GT226" s="669"/>
      <c r="GU226" s="669"/>
      <c r="GV226" s="669"/>
      <c r="GW226" s="669"/>
      <c r="GX226" s="669"/>
      <c r="GY226" s="669"/>
      <c r="GZ226" s="669"/>
      <c r="HA226" s="669"/>
      <c r="HB226" s="669"/>
      <c r="HC226" s="669"/>
      <c r="HD226" s="669"/>
      <c r="HE226" s="669"/>
      <c r="HF226" s="669"/>
      <c r="HG226" s="669"/>
      <c r="HH226" s="670"/>
      <c r="HI226" s="670"/>
      <c r="HJ226" s="671"/>
      <c r="HK226" s="669"/>
      <c r="HL226" s="665"/>
      <c r="HM226" s="665"/>
      <c r="HP226" s="670"/>
      <c r="HQ226" s="671"/>
      <c r="HR226" s="671"/>
      <c r="HS226" s="671"/>
      <c r="HT226" s="671"/>
      <c r="HU226" s="671"/>
      <c r="HV226" s="671"/>
      <c r="HW226" s="671"/>
      <c r="HX226" s="671"/>
      <c r="HY226" s="671"/>
      <c r="HZ226" s="671"/>
      <c r="IA226" s="671"/>
      <c r="IB226" s="671"/>
      <c r="IC226" s="671"/>
      <c r="ID226" s="671"/>
      <c r="IE226" s="671"/>
      <c r="IF226" s="671"/>
      <c r="IG226" s="671"/>
      <c r="IH226" s="671"/>
      <c r="II226" s="671"/>
      <c r="IJ226" s="671"/>
      <c r="IK226" s="671"/>
      <c r="IL226" s="671"/>
      <c r="IM226" s="671"/>
      <c r="IN226" s="671"/>
      <c r="IO226" s="671"/>
      <c r="IP226" s="671"/>
      <c r="IQ226" s="671"/>
      <c r="IR226" s="671"/>
      <c r="IS226" s="671"/>
      <c r="IT226" s="671"/>
      <c r="IU226" s="671"/>
      <c r="IV226" s="671"/>
      <c r="IW226" s="671"/>
      <c r="IX226" s="671"/>
      <c r="IY226" s="671"/>
      <c r="IZ226" s="671"/>
      <c r="JA226" s="671"/>
      <c r="JB226" s="671"/>
      <c r="JC226" s="671"/>
      <c r="JD226" s="671"/>
      <c r="JE226" s="671"/>
      <c r="JF226" s="671"/>
      <c r="JG226" s="671"/>
      <c r="JH226" s="671"/>
      <c r="JI226" s="671"/>
      <c r="JJ226" s="671"/>
      <c r="JK226" s="671"/>
      <c r="JL226" s="671"/>
      <c r="JM226" s="671"/>
      <c r="JN226" s="671"/>
      <c r="JO226" s="671"/>
      <c r="JP226" s="671"/>
      <c r="JQ226" s="671"/>
      <c r="JR226" s="671"/>
      <c r="JS226" s="671"/>
      <c r="JT226" s="671"/>
      <c r="JU226" s="671"/>
      <c r="JV226" s="671"/>
      <c r="JW226" s="671"/>
      <c r="JX226" s="671"/>
      <c r="JY226" s="671"/>
      <c r="JZ226" s="671"/>
      <c r="KA226" s="671"/>
      <c r="KB226" s="671"/>
      <c r="KC226" s="671"/>
      <c r="KD226" s="671"/>
      <c r="KE226" s="671"/>
      <c r="KF226" s="671"/>
      <c r="KG226" s="671"/>
      <c r="KH226" s="671"/>
      <c r="KI226" s="671"/>
      <c r="KJ226" s="671"/>
      <c r="KL226" s="669"/>
      <c r="KM226" s="669"/>
      <c r="KQ226" s="672"/>
      <c r="KR226" s="673"/>
      <c r="KS226" s="672"/>
      <c r="KT226" s="673"/>
      <c r="KU226" s="672"/>
      <c r="KV226" s="673"/>
      <c r="KW226" s="672"/>
      <c r="KX226" s="673"/>
      <c r="KY226" s="672"/>
      <c r="KZ226" s="673"/>
    </row>
    <row r="227" s="628" customFormat="1" spans="2:312">
      <c r="B227" s="659"/>
      <c r="C227" s="662"/>
      <c r="E227" s="665"/>
      <c r="F227" s="665"/>
      <c r="G227" s="666"/>
      <c r="H227" s="666"/>
      <c r="I227" s="667"/>
      <c r="J227" s="667"/>
      <c r="K227" s="667"/>
      <c r="L227" s="667"/>
      <c r="M227" s="667"/>
      <c r="N227" s="667"/>
      <c r="O227" s="667"/>
      <c r="P227" s="667"/>
      <c r="Q227" s="667"/>
      <c r="R227" s="667"/>
      <c r="S227" s="667"/>
      <c r="T227" s="667"/>
      <c r="U227" s="667"/>
      <c r="V227" s="667"/>
      <c r="W227" s="667"/>
      <c r="X227" s="667"/>
      <c r="Y227" s="667"/>
      <c r="Z227" s="667"/>
      <c r="AA227" s="667"/>
      <c r="AB227" s="667"/>
      <c r="FJ227" s="668"/>
      <c r="FK227" s="668"/>
      <c r="FL227" s="668"/>
      <c r="FM227" s="668"/>
      <c r="FN227" s="668"/>
      <c r="FO227" s="668"/>
      <c r="FV227" s="669"/>
      <c r="FZ227" s="669"/>
      <c r="GA227" s="669"/>
      <c r="GB227" s="669"/>
      <c r="GC227" s="669"/>
      <c r="GD227" s="665"/>
      <c r="GF227" s="669"/>
      <c r="GG227" s="669"/>
      <c r="GH227" s="669"/>
      <c r="GI227" s="669"/>
      <c r="GJ227" s="669"/>
      <c r="GK227" s="669"/>
      <c r="GL227" s="669"/>
      <c r="GM227" s="669"/>
      <c r="GN227" s="669"/>
      <c r="GO227" s="669"/>
      <c r="GP227" s="669"/>
      <c r="GQ227" s="669"/>
      <c r="GR227" s="669"/>
      <c r="GS227" s="669"/>
      <c r="GT227" s="669"/>
      <c r="GU227" s="669"/>
      <c r="GV227" s="669"/>
      <c r="GW227" s="669"/>
      <c r="GX227" s="669"/>
      <c r="GY227" s="669"/>
      <c r="GZ227" s="669"/>
      <c r="HA227" s="669"/>
      <c r="HB227" s="669"/>
      <c r="HC227" s="669"/>
      <c r="HD227" s="669"/>
      <c r="HE227" s="669"/>
      <c r="HF227" s="669"/>
      <c r="HG227" s="669"/>
      <c r="HH227" s="670"/>
      <c r="HI227" s="670"/>
      <c r="HJ227" s="671"/>
      <c r="HK227" s="669"/>
      <c r="HL227" s="665"/>
      <c r="HM227" s="665"/>
      <c r="HP227" s="670"/>
      <c r="HQ227" s="671"/>
      <c r="HR227" s="671"/>
      <c r="HS227" s="671"/>
      <c r="HT227" s="671"/>
      <c r="HU227" s="671"/>
      <c r="HV227" s="671"/>
      <c r="HW227" s="671"/>
      <c r="HX227" s="671"/>
      <c r="HY227" s="671"/>
      <c r="HZ227" s="671"/>
      <c r="IA227" s="671"/>
      <c r="IB227" s="671"/>
      <c r="IC227" s="671"/>
      <c r="ID227" s="671"/>
      <c r="IE227" s="671"/>
      <c r="IF227" s="671"/>
      <c r="IG227" s="671"/>
      <c r="IH227" s="671"/>
      <c r="II227" s="671"/>
      <c r="IJ227" s="671"/>
      <c r="IK227" s="671"/>
      <c r="IL227" s="671"/>
      <c r="IM227" s="671"/>
      <c r="IN227" s="671"/>
      <c r="IO227" s="671"/>
      <c r="IP227" s="671"/>
      <c r="IQ227" s="671"/>
      <c r="IR227" s="671"/>
      <c r="IS227" s="671"/>
      <c r="IT227" s="671"/>
      <c r="IU227" s="671"/>
      <c r="IV227" s="671"/>
      <c r="IW227" s="671"/>
      <c r="IX227" s="671"/>
      <c r="IY227" s="671"/>
      <c r="IZ227" s="671"/>
      <c r="JA227" s="671"/>
      <c r="JB227" s="671"/>
      <c r="JC227" s="671"/>
      <c r="JD227" s="671"/>
      <c r="JE227" s="671"/>
      <c r="JF227" s="671"/>
      <c r="JG227" s="671"/>
      <c r="JH227" s="671"/>
      <c r="JI227" s="671"/>
      <c r="JJ227" s="671"/>
      <c r="JK227" s="671"/>
      <c r="JL227" s="671"/>
      <c r="JM227" s="671"/>
      <c r="JN227" s="671"/>
      <c r="JO227" s="671"/>
      <c r="JP227" s="671"/>
      <c r="JQ227" s="671"/>
      <c r="JR227" s="671"/>
      <c r="JS227" s="671"/>
      <c r="JT227" s="671"/>
      <c r="JU227" s="671"/>
      <c r="JV227" s="671"/>
      <c r="JW227" s="671"/>
      <c r="JX227" s="671"/>
      <c r="JY227" s="671"/>
      <c r="JZ227" s="671"/>
      <c r="KA227" s="671"/>
      <c r="KB227" s="671"/>
      <c r="KC227" s="671"/>
      <c r="KD227" s="671"/>
      <c r="KE227" s="671"/>
      <c r="KF227" s="671"/>
      <c r="KG227" s="671"/>
      <c r="KH227" s="671"/>
      <c r="KI227" s="671"/>
      <c r="KJ227" s="671"/>
      <c r="KL227" s="669"/>
      <c r="KM227" s="669"/>
      <c r="KQ227" s="672"/>
      <c r="KR227" s="673"/>
      <c r="KS227" s="672"/>
      <c r="KT227" s="673"/>
      <c r="KU227" s="672"/>
      <c r="KV227" s="673"/>
      <c r="KW227" s="672"/>
      <c r="KX227" s="673"/>
      <c r="KY227" s="672"/>
      <c r="KZ227" s="673"/>
    </row>
    <row r="228" s="628" customFormat="1" spans="2:312">
      <c r="B228" s="659"/>
      <c r="C228" s="662"/>
      <c r="E228" s="665"/>
      <c r="F228" s="665"/>
      <c r="G228" s="666"/>
      <c r="H228" s="666"/>
      <c r="I228" s="667"/>
      <c r="J228" s="667"/>
      <c r="K228" s="667"/>
      <c r="L228" s="667"/>
      <c r="M228" s="667"/>
      <c r="N228" s="667"/>
      <c r="O228" s="667"/>
      <c r="P228" s="667"/>
      <c r="Q228" s="667"/>
      <c r="R228" s="667"/>
      <c r="S228" s="667"/>
      <c r="T228" s="667"/>
      <c r="U228" s="667"/>
      <c r="V228" s="667"/>
      <c r="W228" s="667"/>
      <c r="X228" s="667"/>
      <c r="Y228" s="667"/>
      <c r="Z228" s="667"/>
      <c r="AA228" s="667"/>
      <c r="AB228" s="667"/>
      <c r="FJ228" s="668"/>
      <c r="FK228" s="668"/>
      <c r="FL228" s="668"/>
      <c r="FM228" s="668"/>
      <c r="FN228" s="668"/>
      <c r="FO228" s="668"/>
      <c r="FV228" s="669"/>
      <c r="FZ228" s="669"/>
      <c r="GA228" s="669"/>
      <c r="GB228" s="669"/>
      <c r="GC228" s="669"/>
      <c r="GD228" s="665"/>
      <c r="GF228" s="669"/>
      <c r="GG228" s="669"/>
      <c r="GH228" s="669"/>
      <c r="GI228" s="669"/>
      <c r="GJ228" s="669"/>
      <c r="GK228" s="669"/>
      <c r="GL228" s="669"/>
      <c r="GM228" s="669"/>
      <c r="GN228" s="669"/>
      <c r="GO228" s="669"/>
      <c r="GP228" s="669"/>
      <c r="GQ228" s="669"/>
      <c r="GR228" s="669"/>
      <c r="GS228" s="669"/>
      <c r="GT228" s="669"/>
      <c r="GU228" s="669"/>
      <c r="GV228" s="669"/>
      <c r="GW228" s="669"/>
      <c r="GX228" s="669"/>
      <c r="GY228" s="669"/>
      <c r="GZ228" s="669"/>
      <c r="HA228" s="669"/>
      <c r="HB228" s="669"/>
      <c r="HC228" s="669"/>
      <c r="HD228" s="669"/>
      <c r="HE228" s="669"/>
      <c r="HF228" s="669"/>
      <c r="HG228" s="669"/>
      <c r="HH228" s="670"/>
      <c r="HI228" s="670"/>
      <c r="HJ228" s="671"/>
      <c r="HK228" s="669"/>
      <c r="HL228" s="665"/>
      <c r="HM228" s="665"/>
      <c r="HP228" s="670"/>
      <c r="HQ228" s="671"/>
      <c r="HR228" s="671"/>
      <c r="HS228" s="671"/>
      <c r="HT228" s="671"/>
      <c r="HU228" s="671"/>
      <c r="HV228" s="671"/>
      <c r="HW228" s="671"/>
      <c r="HX228" s="671"/>
      <c r="HY228" s="671"/>
      <c r="HZ228" s="671"/>
      <c r="IA228" s="671"/>
      <c r="IB228" s="671"/>
      <c r="IC228" s="671"/>
      <c r="ID228" s="671"/>
      <c r="IE228" s="671"/>
      <c r="IF228" s="671"/>
      <c r="IG228" s="671"/>
      <c r="IH228" s="671"/>
      <c r="II228" s="671"/>
      <c r="IJ228" s="671"/>
      <c r="IK228" s="671"/>
      <c r="IL228" s="671"/>
      <c r="IM228" s="671"/>
      <c r="IN228" s="671"/>
      <c r="IO228" s="671"/>
      <c r="IP228" s="671"/>
      <c r="IQ228" s="671"/>
      <c r="IR228" s="671"/>
      <c r="IS228" s="671"/>
      <c r="IT228" s="671"/>
      <c r="IU228" s="671"/>
      <c r="IV228" s="671"/>
      <c r="IW228" s="671"/>
      <c r="IX228" s="671"/>
      <c r="IY228" s="671"/>
      <c r="IZ228" s="671"/>
      <c r="JA228" s="671"/>
      <c r="JB228" s="671"/>
      <c r="JC228" s="671"/>
      <c r="JD228" s="671"/>
      <c r="JE228" s="671"/>
      <c r="JF228" s="671"/>
      <c r="JG228" s="671"/>
      <c r="JH228" s="671"/>
      <c r="JI228" s="671"/>
      <c r="JJ228" s="671"/>
      <c r="JK228" s="671"/>
      <c r="JL228" s="671"/>
      <c r="JM228" s="671"/>
      <c r="JN228" s="671"/>
      <c r="JO228" s="671"/>
      <c r="JP228" s="671"/>
      <c r="JQ228" s="671"/>
      <c r="JR228" s="671"/>
      <c r="JS228" s="671"/>
      <c r="JT228" s="671"/>
      <c r="JU228" s="671"/>
      <c r="JV228" s="671"/>
      <c r="JW228" s="671"/>
      <c r="JX228" s="671"/>
      <c r="JY228" s="671"/>
      <c r="JZ228" s="671"/>
      <c r="KA228" s="671"/>
      <c r="KB228" s="671"/>
      <c r="KC228" s="671"/>
      <c r="KD228" s="671"/>
      <c r="KE228" s="671"/>
      <c r="KF228" s="671"/>
      <c r="KG228" s="671"/>
      <c r="KH228" s="671"/>
      <c r="KI228" s="671"/>
      <c r="KJ228" s="671"/>
      <c r="KL228" s="669"/>
      <c r="KM228" s="669"/>
      <c r="KQ228" s="672"/>
      <c r="KR228" s="673"/>
      <c r="KS228" s="672"/>
      <c r="KT228" s="673"/>
      <c r="KU228" s="672"/>
      <c r="KV228" s="673"/>
      <c r="KW228" s="672"/>
      <c r="KX228" s="673"/>
      <c r="KY228" s="672"/>
      <c r="KZ228" s="673"/>
    </row>
    <row r="229" s="628" customFormat="1" spans="2:312">
      <c r="B229" s="659"/>
      <c r="C229" s="662"/>
      <c r="E229" s="665"/>
      <c r="F229" s="665"/>
      <c r="G229" s="666"/>
      <c r="H229" s="666"/>
      <c r="I229" s="667"/>
      <c r="J229" s="667"/>
      <c r="K229" s="667"/>
      <c r="L229" s="667"/>
      <c r="M229" s="667"/>
      <c r="N229" s="667"/>
      <c r="O229" s="667"/>
      <c r="P229" s="667"/>
      <c r="Q229" s="667"/>
      <c r="R229" s="667"/>
      <c r="S229" s="667"/>
      <c r="T229" s="667"/>
      <c r="U229" s="667"/>
      <c r="V229" s="667"/>
      <c r="W229" s="667"/>
      <c r="X229" s="667"/>
      <c r="Y229" s="667"/>
      <c r="Z229" s="667"/>
      <c r="AA229" s="667"/>
      <c r="AB229" s="667"/>
      <c r="FJ229" s="668"/>
      <c r="FK229" s="668"/>
      <c r="FL229" s="668"/>
      <c r="FM229" s="668"/>
      <c r="FN229" s="668"/>
      <c r="FO229" s="668"/>
      <c r="FV229" s="669"/>
      <c r="FZ229" s="669"/>
      <c r="GA229" s="669"/>
      <c r="GB229" s="669"/>
      <c r="GC229" s="669"/>
      <c r="GD229" s="665"/>
      <c r="GF229" s="669"/>
      <c r="GG229" s="669"/>
      <c r="GH229" s="669"/>
      <c r="GI229" s="669"/>
      <c r="GJ229" s="669"/>
      <c r="GK229" s="669"/>
      <c r="GL229" s="669"/>
      <c r="GM229" s="669"/>
      <c r="GN229" s="669"/>
      <c r="GO229" s="669"/>
      <c r="GP229" s="669"/>
      <c r="GQ229" s="669"/>
      <c r="GR229" s="669"/>
      <c r="GS229" s="669"/>
      <c r="GT229" s="669"/>
      <c r="GU229" s="669"/>
      <c r="GV229" s="669"/>
      <c r="GW229" s="669"/>
      <c r="GX229" s="669"/>
      <c r="GY229" s="669"/>
      <c r="GZ229" s="669"/>
      <c r="HA229" s="669"/>
      <c r="HB229" s="669"/>
      <c r="HC229" s="669"/>
      <c r="HD229" s="669"/>
      <c r="HE229" s="669"/>
      <c r="HF229" s="669"/>
      <c r="HG229" s="669"/>
      <c r="HH229" s="670"/>
      <c r="HI229" s="670"/>
      <c r="HJ229" s="671"/>
      <c r="HK229" s="669"/>
      <c r="HL229" s="665"/>
      <c r="HM229" s="665"/>
      <c r="HP229" s="670"/>
      <c r="HQ229" s="671"/>
      <c r="HR229" s="671"/>
      <c r="HS229" s="671"/>
      <c r="HT229" s="671"/>
      <c r="HU229" s="671"/>
      <c r="HV229" s="671"/>
      <c r="HW229" s="671"/>
      <c r="HX229" s="671"/>
      <c r="HY229" s="671"/>
      <c r="HZ229" s="671"/>
      <c r="IA229" s="671"/>
      <c r="IB229" s="671"/>
      <c r="IC229" s="671"/>
      <c r="ID229" s="671"/>
      <c r="IE229" s="671"/>
      <c r="IF229" s="671"/>
      <c r="IG229" s="671"/>
      <c r="IH229" s="671"/>
      <c r="II229" s="671"/>
      <c r="IJ229" s="671"/>
      <c r="IK229" s="671"/>
      <c r="IL229" s="671"/>
      <c r="IM229" s="671"/>
      <c r="IN229" s="671"/>
      <c r="IO229" s="671"/>
      <c r="IP229" s="671"/>
      <c r="IQ229" s="671"/>
      <c r="IR229" s="671"/>
      <c r="IS229" s="671"/>
      <c r="IT229" s="671"/>
      <c r="IU229" s="671"/>
      <c r="IV229" s="671"/>
      <c r="IW229" s="671"/>
      <c r="IX229" s="671"/>
      <c r="IY229" s="671"/>
      <c r="IZ229" s="671"/>
      <c r="JA229" s="671"/>
      <c r="JB229" s="671"/>
      <c r="JC229" s="671"/>
      <c r="JD229" s="671"/>
      <c r="JE229" s="671"/>
      <c r="JF229" s="671"/>
      <c r="JG229" s="671"/>
      <c r="JH229" s="671"/>
      <c r="JI229" s="671"/>
      <c r="JJ229" s="671"/>
      <c r="JK229" s="671"/>
      <c r="JL229" s="671"/>
      <c r="JM229" s="671"/>
      <c r="JN229" s="671"/>
      <c r="JO229" s="671"/>
      <c r="JP229" s="671"/>
      <c r="JQ229" s="671"/>
      <c r="JR229" s="671"/>
      <c r="JS229" s="671"/>
      <c r="JT229" s="671"/>
      <c r="JU229" s="671"/>
      <c r="JV229" s="671"/>
      <c r="JW229" s="671"/>
      <c r="JX229" s="671"/>
      <c r="JY229" s="671"/>
      <c r="JZ229" s="671"/>
      <c r="KA229" s="671"/>
      <c r="KB229" s="671"/>
      <c r="KC229" s="671"/>
      <c r="KD229" s="671"/>
      <c r="KE229" s="671"/>
      <c r="KF229" s="671"/>
      <c r="KG229" s="671"/>
      <c r="KH229" s="671"/>
      <c r="KI229" s="671"/>
      <c r="KJ229" s="671"/>
      <c r="KL229" s="669"/>
      <c r="KM229" s="669"/>
      <c r="KQ229" s="672"/>
      <c r="KR229" s="673"/>
      <c r="KS229" s="672"/>
      <c r="KT229" s="673"/>
      <c r="KU229" s="672"/>
      <c r="KV229" s="673"/>
      <c r="KW229" s="672"/>
      <c r="KX229" s="673"/>
      <c r="KY229" s="672"/>
      <c r="KZ229" s="673"/>
    </row>
    <row r="230" s="628" customFormat="1" spans="2:312">
      <c r="B230" s="659"/>
      <c r="C230" s="662"/>
      <c r="E230" s="665"/>
      <c r="F230" s="665"/>
      <c r="G230" s="666"/>
      <c r="H230" s="666"/>
      <c r="I230" s="667"/>
      <c r="J230" s="667"/>
      <c r="K230" s="667"/>
      <c r="L230" s="667"/>
      <c r="M230" s="667"/>
      <c r="N230" s="667"/>
      <c r="O230" s="667"/>
      <c r="P230" s="667"/>
      <c r="Q230" s="667"/>
      <c r="R230" s="667"/>
      <c r="S230" s="667"/>
      <c r="T230" s="667"/>
      <c r="U230" s="667"/>
      <c r="V230" s="667"/>
      <c r="W230" s="667"/>
      <c r="X230" s="667"/>
      <c r="Y230" s="667"/>
      <c r="Z230" s="667"/>
      <c r="AA230" s="667"/>
      <c r="AB230" s="667"/>
      <c r="FJ230" s="668"/>
      <c r="FK230" s="668"/>
      <c r="FL230" s="668"/>
      <c r="FM230" s="668"/>
      <c r="FN230" s="668"/>
      <c r="FO230" s="668"/>
      <c r="FV230" s="669"/>
      <c r="FZ230" s="669"/>
      <c r="GA230" s="669"/>
      <c r="GB230" s="669"/>
      <c r="GC230" s="669"/>
      <c r="GD230" s="665"/>
      <c r="GF230" s="669"/>
      <c r="GG230" s="669"/>
      <c r="GH230" s="669"/>
      <c r="GI230" s="669"/>
      <c r="GJ230" s="669"/>
      <c r="GK230" s="669"/>
      <c r="GL230" s="669"/>
      <c r="GM230" s="669"/>
      <c r="GN230" s="669"/>
      <c r="GO230" s="669"/>
      <c r="GP230" s="669"/>
      <c r="GQ230" s="669"/>
      <c r="GR230" s="669"/>
      <c r="GS230" s="669"/>
      <c r="GT230" s="669"/>
      <c r="GU230" s="669"/>
      <c r="GV230" s="669"/>
      <c r="GW230" s="669"/>
      <c r="GX230" s="669"/>
      <c r="GY230" s="669"/>
      <c r="GZ230" s="669"/>
      <c r="HA230" s="669"/>
      <c r="HB230" s="669"/>
      <c r="HC230" s="669"/>
      <c r="HD230" s="669"/>
      <c r="HE230" s="669"/>
      <c r="HF230" s="669"/>
      <c r="HG230" s="669"/>
      <c r="HH230" s="670"/>
      <c r="HI230" s="670"/>
      <c r="HJ230" s="671"/>
      <c r="HK230" s="669"/>
      <c r="HL230" s="665"/>
      <c r="HM230" s="665"/>
      <c r="HP230" s="670"/>
      <c r="HQ230" s="671"/>
      <c r="HR230" s="671"/>
      <c r="HS230" s="671"/>
      <c r="HT230" s="671"/>
      <c r="HU230" s="671"/>
      <c r="HV230" s="671"/>
      <c r="HW230" s="671"/>
      <c r="HX230" s="671"/>
      <c r="HY230" s="671"/>
      <c r="HZ230" s="671"/>
      <c r="IA230" s="671"/>
      <c r="IB230" s="671"/>
      <c r="IC230" s="671"/>
      <c r="ID230" s="671"/>
      <c r="IE230" s="671"/>
      <c r="IF230" s="671"/>
      <c r="IG230" s="671"/>
      <c r="IH230" s="671"/>
      <c r="II230" s="671"/>
      <c r="IJ230" s="671"/>
      <c r="IK230" s="671"/>
      <c r="IL230" s="671"/>
      <c r="IM230" s="671"/>
      <c r="IN230" s="671"/>
      <c r="IO230" s="671"/>
      <c r="IP230" s="671"/>
      <c r="IQ230" s="671"/>
      <c r="IR230" s="671"/>
      <c r="IS230" s="671"/>
      <c r="IT230" s="671"/>
      <c r="IU230" s="671"/>
      <c r="IV230" s="671"/>
      <c r="IW230" s="671"/>
      <c r="IX230" s="671"/>
      <c r="IY230" s="671"/>
      <c r="IZ230" s="671"/>
      <c r="JA230" s="671"/>
      <c r="JB230" s="671"/>
      <c r="JC230" s="671"/>
      <c r="JD230" s="671"/>
      <c r="JE230" s="671"/>
      <c r="JF230" s="671"/>
      <c r="JG230" s="671"/>
      <c r="JH230" s="671"/>
      <c r="JI230" s="671"/>
      <c r="JJ230" s="671"/>
      <c r="JK230" s="671"/>
      <c r="JL230" s="671"/>
      <c r="JM230" s="671"/>
      <c r="JN230" s="671"/>
      <c r="JO230" s="671"/>
      <c r="JP230" s="671"/>
      <c r="JQ230" s="671"/>
      <c r="JR230" s="671"/>
      <c r="JS230" s="671"/>
      <c r="JT230" s="671"/>
      <c r="JU230" s="671"/>
      <c r="JV230" s="671"/>
      <c r="JW230" s="671"/>
      <c r="JX230" s="671"/>
      <c r="JY230" s="671"/>
      <c r="JZ230" s="671"/>
      <c r="KA230" s="671"/>
      <c r="KB230" s="671"/>
      <c r="KC230" s="671"/>
      <c r="KD230" s="671"/>
      <c r="KE230" s="671"/>
      <c r="KF230" s="671"/>
      <c r="KG230" s="671"/>
      <c r="KH230" s="671"/>
      <c r="KI230" s="671"/>
      <c r="KJ230" s="671"/>
      <c r="KL230" s="669"/>
      <c r="KM230" s="669"/>
      <c r="KQ230" s="672"/>
      <c r="KR230" s="673"/>
      <c r="KS230" s="672"/>
      <c r="KT230" s="673"/>
      <c r="KU230" s="672"/>
      <c r="KV230" s="673"/>
      <c r="KW230" s="672"/>
      <c r="KX230" s="673"/>
      <c r="KY230" s="672"/>
      <c r="KZ230" s="673"/>
    </row>
    <row r="231" s="628" customFormat="1" spans="2:312">
      <c r="B231" s="659"/>
      <c r="C231" s="662"/>
      <c r="E231" s="665"/>
      <c r="F231" s="665"/>
      <c r="G231" s="666"/>
      <c r="H231" s="666"/>
      <c r="I231" s="667"/>
      <c r="J231" s="667"/>
      <c r="K231" s="667"/>
      <c r="L231" s="667"/>
      <c r="M231" s="667"/>
      <c r="N231" s="667"/>
      <c r="O231" s="667"/>
      <c r="P231" s="667"/>
      <c r="Q231" s="667"/>
      <c r="R231" s="667"/>
      <c r="S231" s="667"/>
      <c r="T231" s="667"/>
      <c r="U231" s="667"/>
      <c r="V231" s="667"/>
      <c r="W231" s="667"/>
      <c r="X231" s="667"/>
      <c r="Y231" s="667"/>
      <c r="Z231" s="667"/>
      <c r="AA231" s="667"/>
      <c r="AB231" s="667"/>
      <c r="FJ231" s="668"/>
      <c r="FK231" s="668"/>
      <c r="FL231" s="668"/>
      <c r="FM231" s="668"/>
      <c r="FN231" s="668"/>
      <c r="FO231" s="668"/>
      <c r="FV231" s="669"/>
      <c r="FZ231" s="669"/>
      <c r="GA231" s="669"/>
      <c r="GB231" s="669"/>
      <c r="GC231" s="669"/>
      <c r="GD231" s="665"/>
      <c r="GF231" s="669"/>
      <c r="GG231" s="669"/>
      <c r="GH231" s="669"/>
      <c r="GI231" s="669"/>
      <c r="GJ231" s="669"/>
      <c r="GK231" s="669"/>
      <c r="GL231" s="669"/>
      <c r="GM231" s="669"/>
      <c r="GN231" s="669"/>
      <c r="GO231" s="669"/>
      <c r="GP231" s="669"/>
      <c r="GQ231" s="669"/>
      <c r="GR231" s="669"/>
      <c r="GS231" s="669"/>
      <c r="GT231" s="669"/>
      <c r="GU231" s="669"/>
      <c r="GV231" s="669"/>
      <c r="GW231" s="669"/>
      <c r="GX231" s="669"/>
      <c r="GY231" s="669"/>
      <c r="GZ231" s="669"/>
      <c r="HA231" s="669"/>
      <c r="HB231" s="669"/>
      <c r="HC231" s="669"/>
      <c r="HD231" s="669"/>
      <c r="HE231" s="669"/>
      <c r="HF231" s="669"/>
      <c r="HG231" s="669"/>
      <c r="HH231" s="670"/>
      <c r="HI231" s="670"/>
      <c r="HJ231" s="671"/>
      <c r="HK231" s="669"/>
      <c r="HL231" s="665"/>
      <c r="HM231" s="665"/>
      <c r="HP231" s="670"/>
      <c r="HQ231" s="671"/>
      <c r="HR231" s="671"/>
      <c r="HS231" s="671"/>
      <c r="HT231" s="671"/>
      <c r="HU231" s="671"/>
      <c r="HV231" s="671"/>
      <c r="HW231" s="671"/>
      <c r="HX231" s="671"/>
      <c r="HY231" s="671"/>
      <c r="HZ231" s="671"/>
      <c r="IA231" s="671"/>
      <c r="IB231" s="671"/>
      <c r="IC231" s="671"/>
      <c r="ID231" s="671"/>
      <c r="IE231" s="671"/>
      <c r="IF231" s="671"/>
      <c r="IG231" s="671"/>
      <c r="IH231" s="671"/>
      <c r="II231" s="671"/>
      <c r="IJ231" s="671"/>
      <c r="IK231" s="671"/>
      <c r="IL231" s="671"/>
      <c r="IM231" s="671"/>
      <c r="IN231" s="671"/>
      <c r="IO231" s="671"/>
      <c r="IP231" s="671"/>
      <c r="IQ231" s="671"/>
      <c r="IR231" s="671"/>
      <c r="IS231" s="671"/>
      <c r="IT231" s="671"/>
      <c r="IU231" s="671"/>
      <c r="IV231" s="671"/>
      <c r="IW231" s="671"/>
      <c r="IX231" s="671"/>
      <c r="IY231" s="671"/>
      <c r="IZ231" s="671"/>
      <c r="JA231" s="671"/>
      <c r="JB231" s="671"/>
      <c r="JC231" s="671"/>
      <c r="JD231" s="671"/>
      <c r="JE231" s="671"/>
      <c r="JF231" s="671"/>
      <c r="JG231" s="671"/>
      <c r="JH231" s="671"/>
      <c r="JI231" s="671"/>
      <c r="JJ231" s="671"/>
      <c r="JK231" s="671"/>
      <c r="JL231" s="671"/>
      <c r="JM231" s="671"/>
      <c r="JN231" s="671"/>
      <c r="JO231" s="671"/>
      <c r="JP231" s="671"/>
      <c r="JQ231" s="671"/>
      <c r="JR231" s="671"/>
      <c r="JS231" s="671"/>
      <c r="JT231" s="671"/>
      <c r="JU231" s="671"/>
      <c r="JV231" s="671"/>
      <c r="JW231" s="671"/>
      <c r="JX231" s="671"/>
      <c r="JY231" s="671"/>
      <c r="JZ231" s="671"/>
      <c r="KA231" s="671"/>
      <c r="KB231" s="671"/>
      <c r="KC231" s="671"/>
      <c r="KD231" s="671"/>
      <c r="KE231" s="671"/>
      <c r="KF231" s="671"/>
      <c r="KG231" s="671"/>
      <c r="KH231" s="671"/>
      <c r="KI231" s="671"/>
      <c r="KJ231" s="671"/>
      <c r="KL231" s="669"/>
      <c r="KM231" s="669"/>
      <c r="KQ231" s="672"/>
      <c r="KR231" s="673"/>
      <c r="KS231" s="672"/>
      <c r="KT231" s="673"/>
      <c r="KU231" s="672"/>
      <c r="KV231" s="673"/>
      <c r="KW231" s="672"/>
      <c r="KX231" s="673"/>
      <c r="KY231" s="672"/>
      <c r="KZ231" s="673"/>
    </row>
    <row r="232" s="628" customFormat="1" spans="2:312">
      <c r="B232" s="659"/>
      <c r="C232" s="662"/>
      <c r="E232" s="665"/>
      <c r="F232" s="665"/>
      <c r="G232" s="666"/>
      <c r="H232" s="666"/>
      <c r="I232" s="667"/>
      <c r="J232" s="667"/>
      <c r="K232" s="667"/>
      <c r="L232" s="667"/>
      <c r="M232" s="667"/>
      <c r="N232" s="667"/>
      <c r="O232" s="667"/>
      <c r="P232" s="667"/>
      <c r="Q232" s="667"/>
      <c r="R232" s="667"/>
      <c r="S232" s="667"/>
      <c r="T232" s="667"/>
      <c r="U232" s="667"/>
      <c r="V232" s="667"/>
      <c r="W232" s="667"/>
      <c r="X232" s="667"/>
      <c r="Y232" s="667"/>
      <c r="Z232" s="667"/>
      <c r="AA232" s="667"/>
      <c r="AB232" s="667"/>
      <c r="FJ232" s="668"/>
      <c r="FK232" s="668"/>
      <c r="FL232" s="668"/>
      <c r="FM232" s="668"/>
      <c r="FN232" s="668"/>
      <c r="FO232" s="668"/>
      <c r="FV232" s="669"/>
      <c r="FZ232" s="669"/>
      <c r="GA232" s="669"/>
      <c r="GB232" s="669"/>
      <c r="GC232" s="669"/>
      <c r="GD232" s="665"/>
      <c r="GF232" s="669"/>
      <c r="GG232" s="669"/>
      <c r="GH232" s="669"/>
      <c r="GI232" s="669"/>
      <c r="GJ232" s="669"/>
      <c r="GK232" s="669"/>
      <c r="GL232" s="669"/>
      <c r="GM232" s="669"/>
      <c r="GN232" s="669"/>
      <c r="GO232" s="669"/>
      <c r="GP232" s="669"/>
      <c r="GQ232" s="669"/>
      <c r="GR232" s="669"/>
      <c r="GS232" s="669"/>
      <c r="GT232" s="669"/>
      <c r="GU232" s="669"/>
      <c r="GV232" s="669"/>
      <c r="GW232" s="669"/>
      <c r="GX232" s="669"/>
      <c r="GY232" s="669"/>
      <c r="GZ232" s="669"/>
      <c r="HA232" s="669"/>
      <c r="HB232" s="669"/>
      <c r="HC232" s="669"/>
      <c r="HD232" s="669"/>
      <c r="HE232" s="669"/>
      <c r="HF232" s="669"/>
      <c r="HG232" s="669"/>
      <c r="HH232" s="670"/>
      <c r="HI232" s="670"/>
      <c r="HJ232" s="671"/>
      <c r="HK232" s="669"/>
      <c r="HL232" s="665"/>
      <c r="HM232" s="665"/>
      <c r="HP232" s="670"/>
      <c r="HQ232" s="671"/>
      <c r="HR232" s="671"/>
      <c r="HS232" s="671"/>
      <c r="HT232" s="671"/>
      <c r="HU232" s="671"/>
      <c r="HV232" s="671"/>
      <c r="HW232" s="671"/>
      <c r="HX232" s="671"/>
      <c r="HY232" s="671"/>
      <c r="HZ232" s="671"/>
      <c r="IA232" s="671"/>
      <c r="IB232" s="671"/>
      <c r="IC232" s="671"/>
      <c r="ID232" s="671"/>
      <c r="IE232" s="671"/>
      <c r="IF232" s="671"/>
      <c r="IG232" s="671"/>
      <c r="IH232" s="671"/>
      <c r="II232" s="671"/>
      <c r="IJ232" s="671"/>
      <c r="IK232" s="671"/>
      <c r="IL232" s="671"/>
      <c r="IM232" s="671"/>
      <c r="IN232" s="671"/>
      <c r="IO232" s="671"/>
      <c r="IP232" s="671"/>
      <c r="IQ232" s="671"/>
      <c r="IR232" s="671"/>
      <c r="IS232" s="671"/>
      <c r="IT232" s="671"/>
      <c r="IU232" s="671"/>
      <c r="IV232" s="671"/>
      <c r="IW232" s="671"/>
      <c r="IX232" s="671"/>
      <c r="IY232" s="671"/>
      <c r="IZ232" s="671"/>
      <c r="JA232" s="671"/>
      <c r="JB232" s="671"/>
      <c r="JC232" s="671"/>
      <c r="JD232" s="671"/>
      <c r="JE232" s="671"/>
      <c r="JF232" s="671"/>
      <c r="JG232" s="671"/>
      <c r="JH232" s="671"/>
      <c r="JI232" s="671"/>
      <c r="JJ232" s="671"/>
      <c r="JK232" s="671"/>
      <c r="JL232" s="671"/>
      <c r="JM232" s="671"/>
      <c r="JN232" s="671"/>
      <c r="JO232" s="671"/>
      <c r="JP232" s="671"/>
      <c r="JQ232" s="671"/>
      <c r="JR232" s="671"/>
      <c r="JS232" s="671"/>
      <c r="JT232" s="671"/>
      <c r="JU232" s="671"/>
      <c r="JV232" s="671"/>
      <c r="JW232" s="671"/>
      <c r="JX232" s="671"/>
      <c r="JY232" s="671"/>
      <c r="JZ232" s="671"/>
      <c r="KA232" s="671"/>
      <c r="KB232" s="671"/>
      <c r="KC232" s="671"/>
      <c r="KD232" s="671"/>
      <c r="KE232" s="671"/>
      <c r="KF232" s="671"/>
      <c r="KG232" s="671"/>
      <c r="KH232" s="671"/>
      <c r="KI232" s="671"/>
      <c r="KJ232" s="671"/>
      <c r="KL232" s="669"/>
      <c r="KM232" s="669"/>
      <c r="KQ232" s="672"/>
      <c r="KR232" s="673"/>
      <c r="KS232" s="672"/>
      <c r="KT232" s="673"/>
      <c r="KU232" s="672"/>
      <c r="KV232" s="673"/>
      <c r="KW232" s="672"/>
      <c r="KX232" s="673"/>
      <c r="KY232" s="672"/>
      <c r="KZ232" s="673"/>
    </row>
    <row r="233" s="628" customFormat="1" spans="2:312">
      <c r="B233" s="659"/>
      <c r="C233" s="662"/>
      <c r="E233" s="665"/>
      <c r="F233" s="665"/>
      <c r="G233" s="666"/>
      <c r="H233" s="666"/>
      <c r="I233" s="667"/>
      <c r="J233" s="667"/>
      <c r="K233" s="667"/>
      <c r="L233" s="667"/>
      <c r="M233" s="667"/>
      <c r="N233" s="667"/>
      <c r="O233" s="667"/>
      <c r="P233" s="667"/>
      <c r="Q233" s="667"/>
      <c r="R233" s="667"/>
      <c r="S233" s="667"/>
      <c r="T233" s="667"/>
      <c r="U233" s="667"/>
      <c r="V233" s="667"/>
      <c r="W233" s="667"/>
      <c r="X233" s="667"/>
      <c r="Y233" s="667"/>
      <c r="Z233" s="667"/>
      <c r="AA233" s="667"/>
      <c r="AB233" s="667"/>
      <c r="FJ233" s="668"/>
      <c r="FK233" s="668"/>
      <c r="FL233" s="668"/>
      <c r="FM233" s="668"/>
      <c r="FN233" s="668"/>
      <c r="FO233" s="668"/>
      <c r="FV233" s="669"/>
      <c r="FZ233" s="669"/>
      <c r="GA233" s="669"/>
      <c r="GB233" s="669"/>
      <c r="GC233" s="669"/>
      <c r="GD233" s="665"/>
      <c r="GF233" s="669"/>
      <c r="GG233" s="669"/>
      <c r="GH233" s="669"/>
      <c r="GI233" s="669"/>
      <c r="GJ233" s="669"/>
      <c r="GK233" s="669"/>
      <c r="GL233" s="669"/>
      <c r="GM233" s="669"/>
      <c r="GN233" s="669"/>
      <c r="GO233" s="669"/>
      <c r="GP233" s="669"/>
      <c r="GQ233" s="669"/>
      <c r="GR233" s="669"/>
      <c r="GS233" s="669"/>
      <c r="GT233" s="669"/>
      <c r="GU233" s="669"/>
      <c r="GV233" s="669"/>
      <c r="GW233" s="669"/>
      <c r="GX233" s="669"/>
      <c r="GY233" s="669"/>
      <c r="GZ233" s="669"/>
      <c r="HA233" s="669"/>
      <c r="HB233" s="669"/>
      <c r="HC233" s="669"/>
      <c r="HD233" s="669"/>
      <c r="HE233" s="669"/>
      <c r="HF233" s="669"/>
      <c r="HG233" s="669"/>
      <c r="HH233" s="670"/>
      <c r="HI233" s="670"/>
      <c r="HJ233" s="671"/>
      <c r="HK233" s="669"/>
      <c r="HL233" s="665"/>
      <c r="HM233" s="665"/>
      <c r="HP233" s="670"/>
      <c r="HQ233" s="671"/>
      <c r="HR233" s="671"/>
      <c r="HS233" s="671"/>
      <c r="HT233" s="671"/>
      <c r="HU233" s="671"/>
      <c r="HV233" s="671"/>
      <c r="HW233" s="671"/>
      <c r="HX233" s="671"/>
      <c r="HY233" s="671"/>
      <c r="HZ233" s="671"/>
      <c r="IA233" s="671"/>
      <c r="IB233" s="671"/>
      <c r="IC233" s="671"/>
      <c r="ID233" s="671"/>
      <c r="IE233" s="671"/>
      <c r="IF233" s="671"/>
      <c r="IG233" s="671"/>
      <c r="IH233" s="671"/>
      <c r="II233" s="671"/>
      <c r="IJ233" s="671"/>
      <c r="IK233" s="671"/>
      <c r="IL233" s="671"/>
      <c r="IM233" s="671"/>
      <c r="IN233" s="671"/>
      <c r="IO233" s="671"/>
      <c r="IP233" s="671"/>
      <c r="IQ233" s="671"/>
      <c r="IR233" s="671"/>
      <c r="IS233" s="671"/>
      <c r="IT233" s="671"/>
      <c r="IU233" s="671"/>
      <c r="IV233" s="671"/>
      <c r="IW233" s="671"/>
      <c r="IX233" s="671"/>
      <c r="IY233" s="671"/>
      <c r="IZ233" s="671"/>
      <c r="JA233" s="671"/>
      <c r="JB233" s="671"/>
      <c r="JC233" s="671"/>
      <c r="JD233" s="671"/>
      <c r="JE233" s="671"/>
      <c r="JF233" s="671"/>
      <c r="JG233" s="671"/>
      <c r="JH233" s="671"/>
      <c r="JI233" s="671"/>
      <c r="JJ233" s="671"/>
      <c r="JK233" s="671"/>
      <c r="JL233" s="671"/>
      <c r="JM233" s="671"/>
      <c r="JN233" s="671"/>
      <c r="JO233" s="671"/>
      <c r="JP233" s="671"/>
      <c r="JQ233" s="671"/>
      <c r="JR233" s="671"/>
      <c r="JS233" s="671"/>
      <c r="JT233" s="671"/>
      <c r="JU233" s="671"/>
      <c r="JV233" s="671"/>
      <c r="JW233" s="671"/>
      <c r="JX233" s="671"/>
      <c r="JY233" s="671"/>
      <c r="JZ233" s="671"/>
      <c r="KA233" s="671"/>
      <c r="KB233" s="671"/>
      <c r="KC233" s="671"/>
      <c r="KD233" s="671"/>
      <c r="KE233" s="671"/>
      <c r="KF233" s="671"/>
      <c r="KG233" s="671"/>
      <c r="KH233" s="671"/>
      <c r="KI233" s="671"/>
      <c r="KJ233" s="671"/>
      <c r="KL233" s="669"/>
      <c r="KM233" s="669"/>
      <c r="KQ233" s="672"/>
      <c r="KR233" s="673"/>
      <c r="KS233" s="672"/>
      <c r="KT233" s="673"/>
      <c r="KU233" s="672"/>
      <c r="KV233" s="673"/>
      <c r="KW233" s="672"/>
      <c r="KX233" s="673"/>
      <c r="KY233" s="672"/>
      <c r="KZ233" s="673"/>
    </row>
    <row r="234" s="628" customFormat="1" spans="2:312">
      <c r="B234" s="659"/>
      <c r="C234" s="662"/>
      <c r="E234" s="665"/>
      <c r="F234" s="665"/>
      <c r="G234" s="666"/>
      <c r="H234" s="666"/>
      <c r="I234" s="667"/>
      <c r="J234" s="667"/>
      <c r="K234" s="667"/>
      <c r="L234" s="667"/>
      <c r="M234" s="667"/>
      <c r="N234" s="667"/>
      <c r="O234" s="667"/>
      <c r="P234" s="667"/>
      <c r="Q234" s="667"/>
      <c r="R234" s="667"/>
      <c r="S234" s="667"/>
      <c r="T234" s="667"/>
      <c r="U234" s="667"/>
      <c r="V234" s="667"/>
      <c r="W234" s="667"/>
      <c r="X234" s="667"/>
      <c r="Y234" s="667"/>
      <c r="Z234" s="667"/>
      <c r="AA234" s="667"/>
      <c r="AB234" s="667"/>
      <c r="FJ234" s="668"/>
      <c r="FK234" s="668"/>
      <c r="FL234" s="668"/>
      <c r="FM234" s="668"/>
      <c r="FN234" s="668"/>
      <c r="FO234" s="668"/>
      <c r="FV234" s="669"/>
      <c r="FZ234" s="669"/>
      <c r="GA234" s="669"/>
      <c r="GB234" s="669"/>
      <c r="GC234" s="669"/>
      <c r="GD234" s="665"/>
      <c r="GF234" s="669"/>
      <c r="GG234" s="669"/>
      <c r="GH234" s="669"/>
      <c r="GI234" s="669"/>
      <c r="GJ234" s="669"/>
      <c r="GK234" s="669"/>
      <c r="GL234" s="669"/>
      <c r="GM234" s="669"/>
      <c r="GN234" s="669"/>
      <c r="GO234" s="669"/>
      <c r="GP234" s="669"/>
      <c r="GQ234" s="669"/>
      <c r="GR234" s="669"/>
      <c r="GS234" s="669"/>
      <c r="GT234" s="669"/>
      <c r="GU234" s="669"/>
      <c r="GV234" s="669"/>
      <c r="GW234" s="669"/>
      <c r="GX234" s="669"/>
      <c r="GY234" s="669"/>
      <c r="GZ234" s="669"/>
      <c r="HA234" s="669"/>
      <c r="HB234" s="669"/>
      <c r="HC234" s="669"/>
      <c r="HD234" s="669"/>
      <c r="HE234" s="669"/>
      <c r="HF234" s="669"/>
      <c r="HG234" s="669"/>
      <c r="HH234" s="670"/>
      <c r="HI234" s="670"/>
      <c r="HJ234" s="671"/>
      <c r="HK234" s="669"/>
      <c r="HL234" s="665"/>
      <c r="HM234" s="665"/>
      <c r="HP234" s="670"/>
      <c r="HQ234" s="671"/>
      <c r="HR234" s="671"/>
      <c r="HS234" s="671"/>
      <c r="HT234" s="671"/>
      <c r="HU234" s="671"/>
      <c r="HV234" s="671"/>
      <c r="HW234" s="671"/>
      <c r="HX234" s="671"/>
      <c r="HY234" s="671"/>
      <c r="HZ234" s="671"/>
      <c r="IA234" s="671"/>
      <c r="IB234" s="671"/>
      <c r="IC234" s="671"/>
      <c r="ID234" s="671"/>
      <c r="IE234" s="671"/>
      <c r="IF234" s="671"/>
      <c r="IG234" s="671"/>
      <c r="IH234" s="671"/>
      <c r="II234" s="671"/>
      <c r="IJ234" s="671"/>
      <c r="IK234" s="671"/>
      <c r="IL234" s="671"/>
      <c r="IM234" s="671"/>
      <c r="IN234" s="671"/>
      <c r="IO234" s="671"/>
      <c r="IP234" s="671"/>
      <c r="IQ234" s="671"/>
      <c r="IR234" s="671"/>
      <c r="IS234" s="671"/>
      <c r="IT234" s="671"/>
      <c r="IU234" s="671"/>
      <c r="IV234" s="671"/>
      <c r="IW234" s="671"/>
      <c r="IX234" s="671"/>
      <c r="IY234" s="671"/>
      <c r="IZ234" s="671"/>
      <c r="JA234" s="671"/>
      <c r="JB234" s="671"/>
      <c r="JC234" s="671"/>
      <c r="JD234" s="671"/>
      <c r="JE234" s="671"/>
      <c r="JF234" s="671"/>
      <c r="JG234" s="671"/>
      <c r="JH234" s="671"/>
      <c r="JI234" s="671"/>
      <c r="JJ234" s="671"/>
      <c r="JK234" s="671"/>
      <c r="JL234" s="671"/>
      <c r="JM234" s="671"/>
      <c r="JN234" s="671"/>
      <c r="JO234" s="671"/>
      <c r="JP234" s="671"/>
      <c r="JQ234" s="671"/>
      <c r="JR234" s="671"/>
      <c r="JS234" s="671"/>
      <c r="JT234" s="671"/>
      <c r="JU234" s="671"/>
      <c r="JV234" s="671"/>
      <c r="JW234" s="671"/>
      <c r="JX234" s="671"/>
      <c r="JY234" s="671"/>
      <c r="JZ234" s="671"/>
      <c r="KA234" s="671"/>
      <c r="KB234" s="671"/>
      <c r="KC234" s="671"/>
      <c r="KD234" s="671"/>
      <c r="KE234" s="671"/>
      <c r="KF234" s="671"/>
      <c r="KG234" s="671"/>
      <c r="KH234" s="671"/>
      <c r="KI234" s="671"/>
      <c r="KJ234" s="671"/>
      <c r="KL234" s="669"/>
      <c r="KM234" s="669"/>
      <c r="KQ234" s="672"/>
      <c r="KR234" s="673"/>
      <c r="KS234" s="672"/>
      <c r="KT234" s="673"/>
      <c r="KU234" s="672"/>
      <c r="KV234" s="673"/>
      <c r="KW234" s="672"/>
      <c r="KX234" s="673"/>
      <c r="KY234" s="672"/>
      <c r="KZ234" s="673"/>
    </row>
    <row r="235" s="628" customFormat="1" spans="2:312">
      <c r="B235" s="659"/>
      <c r="C235" s="662"/>
      <c r="E235" s="665"/>
      <c r="F235" s="665"/>
      <c r="G235" s="666"/>
      <c r="H235" s="666"/>
      <c r="I235" s="667"/>
      <c r="J235" s="667"/>
      <c r="K235" s="667"/>
      <c r="L235" s="667"/>
      <c r="M235" s="667"/>
      <c r="N235" s="667"/>
      <c r="O235" s="667"/>
      <c r="P235" s="667"/>
      <c r="Q235" s="667"/>
      <c r="R235" s="667"/>
      <c r="S235" s="667"/>
      <c r="T235" s="667"/>
      <c r="U235" s="667"/>
      <c r="V235" s="667"/>
      <c r="W235" s="667"/>
      <c r="X235" s="667"/>
      <c r="Y235" s="667"/>
      <c r="Z235" s="667"/>
      <c r="AA235" s="667"/>
      <c r="AB235" s="667"/>
      <c r="FJ235" s="668"/>
      <c r="FK235" s="668"/>
      <c r="FL235" s="668"/>
      <c r="FM235" s="668"/>
      <c r="FN235" s="668"/>
      <c r="FO235" s="668"/>
      <c r="FV235" s="669"/>
      <c r="FZ235" s="669"/>
      <c r="GA235" s="669"/>
      <c r="GB235" s="669"/>
      <c r="GC235" s="669"/>
      <c r="GD235" s="665"/>
      <c r="GF235" s="669"/>
      <c r="GG235" s="669"/>
      <c r="GH235" s="669"/>
      <c r="GI235" s="669"/>
      <c r="GJ235" s="669"/>
      <c r="GK235" s="669"/>
      <c r="GL235" s="669"/>
      <c r="GM235" s="669"/>
      <c r="GN235" s="669"/>
      <c r="GO235" s="669"/>
      <c r="GP235" s="669"/>
      <c r="GQ235" s="669"/>
      <c r="GR235" s="669"/>
      <c r="GS235" s="669"/>
      <c r="GT235" s="669"/>
      <c r="GU235" s="669"/>
      <c r="GV235" s="669"/>
      <c r="GW235" s="669"/>
      <c r="GX235" s="669"/>
      <c r="GY235" s="669"/>
      <c r="GZ235" s="669"/>
      <c r="HA235" s="669"/>
      <c r="HB235" s="669"/>
      <c r="HC235" s="669"/>
      <c r="HD235" s="669"/>
      <c r="HE235" s="669"/>
      <c r="HF235" s="669"/>
      <c r="HG235" s="669"/>
      <c r="HH235" s="670"/>
      <c r="HI235" s="670"/>
      <c r="HJ235" s="671"/>
      <c r="HK235" s="669"/>
      <c r="HL235" s="665"/>
      <c r="HM235" s="665"/>
      <c r="HP235" s="670"/>
      <c r="HQ235" s="671"/>
      <c r="HR235" s="671"/>
      <c r="HS235" s="671"/>
      <c r="HT235" s="671"/>
      <c r="HU235" s="671"/>
      <c r="HV235" s="671"/>
      <c r="HW235" s="671"/>
      <c r="HX235" s="671"/>
      <c r="HY235" s="671"/>
      <c r="HZ235" s="671"/>
      <c r="IA235" s="671"/>
      <c r="IB235" s="671"/>
      <c r="IC235" s="671"/>
      <c r="ID235" s="671"/>
      <c r="IE235" s="671"/>
      <c r="IF235" s="671"/>
      <c r="IG235" s="671"/>
      <c r="IH235" s="671"/>
      <c r="II235" s="671"/>
      <c r="IJ235" s="671"/>
      <c r="IK235" s="671"/>
      <c r="IL235" s="671"/>
      <c r="IM235" s="671"/>
      <c r="IN235" s="671"/>
      <c r="IO235" s="671"/>
      <c r="IP235" s="671"/>
      <c r="IQ235" s="671"/>
      <c r="IR235" s="671"/>
      <c r="IS235" s="671"/>
      <c r="IT235" s="671"/>
      <c r="IU235" s="671"/>
      <c r="IV235" s="671"/>
      <c r="IW235" s="671"/>
      <c r="IX235" s="671"/>
      <c r="IY235" s="671"/>
      <c r="IZ235" s="671"/>
      <c r="JA235" s="671"/>
      <c r="JB235" s="671"/>
      <c r="JC235" s="671"/>
      <c r="JD235" s="671"/>
      <c r="JE235" s="671"/>
      <c r="JF235" s="671"/>
      <c r="JG235" s="671"/>
      <c r="JH235" s="671"/>
      <c r="JI235" s="671"/>
      <c r="JJ235" s="671"/>
      <c r="JK235" s="671"/>
      <c r="JL235" s="671"/>
      <c r="JM235" s="671"/>
      <c r="JN235" s="671"/>
      <c r="JO235" s="671"/>
      <c r="JP235" s="671"/>
      <c r="JQ235" s="671"/>
      <c r="JR235" s="671"/>
      <c r="JS235" s="671"/>
      <c r="JT235" s="671"/>
      <c r="JU235" s="671"/>
      <c r="JV235" s="671"/>
      <c r="JW235" s="671"/>
      <c r="JX235" s="671"/>
      <c r="JY235" s="671"/>
      <c r="JZ235" s="671"/>
      <c r="KA235" s="671"/>
      <c r="KB235" s="671"/>
      <c r="KC235" s="671"/>
      <c r="KD235" s="671"/>
      <c r="KE235" s="671"/>
      <c r="KF235" s="671"/>
      <c r="KG235" s="671"/>
      <c r="KH235" s="671"/>
      <c r="KI235" s="671"/>
      <c r="KJ235" s="671"/>
      <c r="KL235" s="669"/>
      <c r="KM235" s="669"/>
      <c r="KQ235" s="672"/>
      <c r="KR235" s="673"/>
      <c r="KS235" s="672"/>
      <c r="KT235" s="673"/>
      <c r="KU235" s="672"/>
      <c r="KV235" s="673"/>
      <c r="KW235" s="672"/>
      <c r="KX235" s="673"/>
      <c r="KY235" s="672"/>
      <c r="KZ235" s="673"/>
    </row>
    <row r="236" s="628" customFormat="1" spans="2:312">
      <c r="B236" s="659"/>
      <c r="C236" s="662"/>
      <c r="E236" s="665"/>
      <c r="F236" s="665"/>
      <c r="G236" s="666"/>
      <c r="H236" s="666"/>
      <c r="I236" s="667"/>
      <c r="J236" s="667"/>
      <c r="K236" s="667"/>
      <c r="L236" s="667"/>
      <c r="M236" s="667"/>
      <c r="N236" s="667"/>
      <c r="O236" s="667"/>
      <c r="P236" s="667"/>
      <c r="Q236" s="667"/>
      <c r="R236" s="667"/>
      <c r="S236" s="667"/>
      <c r="T236" s="667"/>
      <c r="U236" s="667"/>
      <c r="V236" s="667"/>
      <c r="W236" s="667"/>
      <c r="X236" s="667"/>
      <c r="Y236" s="667"/>
      <c r="Z236" s="667"/>
      <c r="AA236" s="667"/>
      <c r="AB236" s="667"/>
      <c r="FJ236" s="668"/>
      <c r="FK236" s="668"/>
      <c r="FL236" s="668"/>
      <c r="FM236" s="668"/>
      <c r="FN236" s="668"/>
      <c r="FO236" s="668"/>
      <c r="FV236" s="669"/>
      <c r="FZ236" s="669"/>
      <c r="GA236" s="669"/>
      <c r="GB236" s="669"/>
      <c r="GC236" s="669"/>
      <c r="GD236" s="665"/>
      <c r="GF236" s="669"/>
      <c r="GG236" s="669"/>
      <c r="GH236" s="669"/>
      <c r="GI236" s="669"/>
      <c r="GJ236" s="669"/>
      <c r="GK236" s="669"/>
      <c r="GL236" s="669"/>
      <c r="GM236" s="669"/>
      <c r="GN236" s="669"/>
      <c r="GO236" s="669"/>
      <c r="GP236" s="669"/>
      <c r="GQ236" s="669"/>
      <c r="GR236" s="669"/>
      <c r="GS236" s="669"/>
      <c r="GT236" s="669"/>
      <c r="GU236" s="669"/>
      <c r="GV236" s="669"/>
      <c r="GW236" s="669"/>
      <c r="GX236" s="669"/>
      <c r="GY236" s="669"/>
      <c r="GZ236" s="669"/>
      <c r="HA236" s="669"/>
      <c r="HB236" s="669"/>
      <c r="HC236" s="669"/>
      <c r="HD236" s="669"/>
      <c r="HE236" s="669"/>
      <c r="HF236" s="669"/>
      <c r="HG236" s="669"/>
      <c r="HH236" s="670"/>
      <c r="HI236" s="670"/>
      <c r="HJ236" s="671"/>
      <c r="HK236" s="669"/>
      <c r="HL236" s="665"/>
      <c r="HM236" s="665"/>
      <c r="HP236" s="670"/>
      <c r="HQ236" s="671"/>
      <c r="HR236" s="671"/>
      <c r="HS236" s="671"/>
      <c r="HT236" s="671"/>
      <c r="HU236" s="671"/>
      <c r="HV236" s="671"/>
      <c r="HW236" s="671"/>
      <c r="HX236" s="671"/>
      <c r="HY236" s="671"/>
      <c r="HZ236" s="671"/>
      <c r="IA236" s="671"/>
      <c r="IB236" s="671"/>
      <c r="IC236" s="671"/>
      <c r="ID236" s="671"/>
      <c r="IE236" s="671"/>
      <c r="IF236" s="671"/>
      <c r="IG236" s="671"/>
      <c r="IH236" s="671"/>
      <c r="II236" s="671"/>
      <c r="IJ236" s="671"/>
      <c r="IK236" s="671"/>
      <c r="IL236" s="671"/>
      <c r="IM236" s="671"/>
      <c r="IN236" s="671"/>
      <c r="IO236" s="671"/>
      <c r="IP236" s="671"/>
      <c r="IQ236" s="671"/>
      <c r="IR236" s="671"/>
      <c r="IS236" s="671"/>
      <c r="IT236" s="671"/>
      <c r="IU236" s="671"/>
      <c r="IV236" s="671"/>
      <c r="IW236" s="671"/>
      <c r="IX236" s="671"/>
      <c r="IY236" s="671"/>
      <c r="IZ236" s="671"/>
      <c r="JA236" s="671"/>
      <c r="JB236" s="671"/>
      <c r="JC236" s="671"/>
      <c r="JD236" s="671"/>
      <c r="JE236" s="671"/>
      <c r="JF236" s="671"/>
      <c r="JG236" s="671"/>
      <c r="JH236" s="671"/>
      <c r="JI236" s="671"/>
      <c r="JJ236" s="671"/>
      <c r="JK236" s="671"/>
      <c r="JL236" s="671"/>
      <c r="JM236" s="671"/>
      <c r="JN236" s="671"/>
      <c r="JO236" s="671"/>
      <c r="JP236" s="671"/>
      <c r="JQ236" s="671"/>
      <c r="JR236" s="671"/>
      <c r="JS236" s="671"/>
      <c r="JT236" s="671"/>
      <c r="JU236" s="671"/>
      <c r="JV236" s="671"/>
      <c r="JW236" s="671"/>
      <c r="JX236" s="671"/>
      <c r="JY236" s="671"/>
      <c r="JZ236" s="671"/>
      <c r="KA236" s="671"/>
      <c r="KB236" s="671"/>
      <c r="KC236" s="671"/>
      <c r="KD236" s="671"/>
      <c r="KE236" s="671"/>
      <c r="KF236" s="671"/>
      <c r="KG236" s="671"/>
      <c r="KH236" s="671"/>
      <c r="KI236" s="671"/>
      <c r="KJ236" s="671"/>
      <c r="KL236" s="669"/>
      <c r="KM236" s="669"/>
      <c r="KQ236" s="672"/>
      <c r="KR236" s="673"/>
      <c r="KS236" s="672"/>
      <c r="KT236" s="673"/>
      <c r="KU236" s="672"/>
      <c r="KV236" s="673"/>
      <c r="KW236" s="672"/>
      <c r="KX236" s="673"/>
      <c r="KY236" s="672"/>
      <c r="KZ236" s="673"/>
    </row>
    <row r="237" s="628" customFormat="1" spans="2:312">
      <c r="B237" s="659"/>
      <c r="C237" s="662"/>
      <c r="E237" s="665"/>
      <c r="F237" s="665"/>
      <c r="G237" s="666"/>
      <c r="H237" s="666"/>
      <c r="I237" s="667"/>
      <c r="J237" s="667"/>
      <c r="K237" s="667"/>
      <c r="L237" s="667"/>
      <c r="M237" s="667"/>
      <c r="N237" s="667"/>
      <c r="O237" s="667"/>
      <c r="P237" s="667"/>
      <c r="Q237" s="667"/>
      <c r="R237" s="667"/>
      <c r="S237" s="667"/>
      <c r="T237" s="667"/>
      <c r="U237" s="667"/>
      <c r="V237" s="667"/>
      <c r="W237" s="667"/>
      <c r="X237" s="667"/>
      <c r="Y237" s="667"/>
      <c r="Z237" s="667"/>
      <c r="AA237" s="667"/>
      <c r="AB237" s="667"/>
      <c r="FJ237" s="668"/>
      <c r="FK237" s="668"/>
      <c r="FL237" s="668"/>
      <c r="FM237" s="668"/>
      <c r="FN237" s="668"/>
      <c r="FO237" s="668"/>
      <c r="FV237" s="669"/>
      <c r="FZ237" s="669"/>
      <c r="GA237" s="669"/>
      <c r="GB237" s="669"/>
      <c r="GC237" s="669"/>
      <c r="GD237" s="665"/>
      <c r="GF237" s="669"/>
      <c r="GG237" s="669"/>
      <c r="GH237" s="669"/>
      <c r="GI237" s="669"/>
      <c r="GJ237" s="669"/>
      <c r="GK237" s="669"/>
      <c r="GL237" s="669"/>
      <c r="GM237" s="669"/>
      <c r="GN237" s="669"/>
      <c r="GO237" s="669"/>
      <c r="GP237" s="669"/>
      <c r="GQ237" s="669"/>
      <c r="GR237" s="669"/>
      <c r="GS237" s="669"/>
      <c r="GT237" s="669"/>
      <c r="GU237" s="669"/>
      <c r="GV237" s="669"/>
      <c r="GW237" s="669"/>
      <c r="GX237" s="669"/>
      <c r="GY237" s="669"/>
      <c r="GZ237" s="669"/>
      <c r="HA237" s="669"/>
      <c r="HB237" s="669"/>
      <c r="HC237" s="669"/>
      <c r="HD237" s="669"/>
      <c r="HE237" s="669"/>
      <c r="HF237" s="669"/>
      <c r="HG237" s="669"/>
      <c r="HH237" s="670"/>
      <c r="HI237" s="670"/>
      <c r="HJ237" s="671"/>
      <c r="HK237" s="669"/>
      <c r="HL237" s="665"/>
      <c r="HM237" s="665"/>
      <c r="HP237" s="670"/>
      <c r="HQ237" s="671"/>
      <c r="HR237" s="671"/>
      <c r="HS237" s="671"/>
      <c r="HT237" s="671"/>
      <c r="HU237" s="671"/>
      <c r="HV237" s="671"/>
      <c r="HW237" s="671"/>
      <c r="HX237" s="671"/>
      <c r="HY237" s="671"/>
      <c r="HZ237" s="671"/>
      <c r="IA237" s="671"/>
      <c r="IB237" s="671"/>
      <c r="IC237" s="671"/>
      <c r="ID237" s="671"/>
      <c r="IE237" s="671"/>
      <c r="IF237" s="671"/>
      <c r="IG237" s="671"/>
      <c r="IH237" s="671"/>
      <c r="II237" s="671"/>
      <c r="IJ237" s="671"/>
      <c r="IK237" s="671"/>
      <c r="IL237" s="671"/>
      <c r="IM237" s="671"/>
      <c r="IN237" s="671"/>
      <c r="IO237" s="671"/>
      <c r="IP237" s="671"/>
      <c r="IQ237" s="671"/>
      <c r="IR237" s="671"/>
      <c r="IS237" s="671"/>
      <c r="IT237" s="671"/>
      <c r="IU237" s="671"/>
      <c r="IV237" s="671"/>
      <c r="IW237" s="671"/>
      <c r="IX237" s="671"/>
      <c r="IY237" s="671"/>
      <c r="IZ237" s="671"/>
      <c r="JA237" s="671"/>
      <c r="JB237" s="671"/>
      <c r="JC237" s="671"/>
      <c r="JD237" s="671"/>
      <c r="JE237" s="671"/>
      <c r="JF237" s="671"/>
      <c r="JG237" s="671"/>
      <c r="JH237" s="671"/>
      <c r="JI237" s="671"/>
      <c r="JJ237" s="671"/>
      <c r="JK237" s="671"/>
      <c r="JL237" s="671"/>
      <c r="JM237" s="671"/>
      <c r="JN237" s="671"/>
      <c r="JO237" s="671"/>
      <c r="JP237" s="671"/>
      <c r="JQ237" s="671"/>
      <c r="JR237" s="671"/>
      <c r="JS237" s="671"/>
      <c r="JT237" s="671"/>
      <c r="JU237" s="671"/>
      <c r="JV237" s="671"/>
      <c r="JW237" s="671"/>
      <c r="JX237" s="671"/>
      <c r="JY237" s="671"/>
      <c r="JZ237" s="671"/>
      <c r="KA237" s="671"/>
      <c r="KB237" s="671"/>
      <c r="KC237" s="671"/>
      <c r="KD237" s="671"/>
      <c r="KE237" s="671"/>
      <c r="KF237" s="671"/>
      <c r="KG237" s="671"/>
      <c r="KH237" s="671"/>
      <c r="KI237" s="671"/>
      <c r="KJ237" s="671"/>
      <c r="KL237" s="669"/>
      <c r="KM237" s="669"/>
      <c r="KQ237" s="672"/>
      <c r="KR237" s="673"/>
      <c r="KS237" s="672"/>
      <c r="KT237" s="673"/>
      <c r="KU237" s="672"/>
      <c r="KV237" s="673"/>
      <c r="KW237" s="672"/>
      <c r="KX237" s="673"/>
      <c r="KY237" s="672"/>
      <c r="KZ237" s="673"/>
    </row>
    <row r="238" s="628" customFormat="1" spans="2:312">
      <c r="B238" s="659"/>
      <c r="C238" s="662"/>
      <c r="E238" s="665"/>
      <c r="F238" s="665"/>
      <c r="G238" s="666"/>
      <c r="H238" s="666"/>
      <c r="I238" s="667"/>
      <c r="J238" s="667"/>
      <c r="K238" s="667"/>
      <c r="L238" s="667"/>
      <c r="M238" s="667"/>
      <c r="N238" s="667"/>
      <c r="O238" s="667"/>
      <c r="P238" s="667"/>
      <c r="Q238" s="667"/>
      <c r="R238" s="667"/>
      <c r="S238" s="667"/>
      <c r="T238" s="667"/>
      <c r="U238" s="667"/>
      <c r="V238" s="667"/>
      <c r="W238" s="667"/>
      <c r="X238" s="667"/>
      <c r="Y238" s="667"/>
      <c r="Z238" s="667"/>
      <c r="AA238" s="667"/>
      <c r="AB238" s="667"/>
      <c r="FJ238" s="668"/>
      <c r="FK238" s="668"/>
      <c r="FL238" s="668"/>
      <c r="FM238" s="668"/>
      <c r="FN238" s="668"/>
      <c r="FO238" s="668"/>
      <c r="FV238" s="669"/>
      <c r="FZ238" s="669"/>
      <c r="GA238" s="669"/>
      <c r="GB238" s="669"/>
      <c r="GC238" s="669"/>
      <c r="GD238" s="665"/>
      <c r="GF238" s="669"/>
      <c r="GG238" s="669"/>
      <c r="GH238" s="669"/>
      <c r="GI238" s="669"/>
      <c r="GJ238" s="669"/>
      <c r="GK238" s="669"/>
      <c r="GL238" s="669"/>
      <c r="GM238" s="669"/>
      <c r="GN238" s="669"/>
      <c r="GO238" s="669"/>
      <c r="GP238" s="669"/>
      <c r="GQ238" s="669"/>
      <c r="GR238" s="669"/>
      <c r="GS238" s="669"/>
      <c r="GT238" s="669"/>
      <c r="GU238" s="669"/>
      <c r="GV238" s="669"/>
      <c r="GW238" s="669"/>
      <c r="GX238" s="669"/>
      <c r="GY238" s="669"/>
      <c r="GZ238" s="669"/>
      <c r="HA238" s="669"/>
      <c r="HB238" s="669"/>
      <c r="HC238" s="669"/>
      <c r="HD238" s="669"/>
      <c r="HE238" s="669"/>
      <c r="HF238" s="669"/>
      <c r="HG238" s="669"/>
      <c r="HH238" s="670"/>
      <c r="HI238" s="670"/>
      <c r="HJ238" s="671"/>
      <c r="HK238" s="669"/>
      <c r="HL238" s="665"/>
      <c r="HM238" s="665"/>
      <c r="HP238" s="670"/>
      <c r="HQ238" s="671"/>
      <c r="HR238" s="671"/>
      <c r="HS238" s="671"/>
      <c r="HT238" s="671"/>
      <c r="HU238" s="671"/>
      <c r="HV238" s="671"/>
      <c r="HW238" s="671"/>
      <c r="HX238" s="671"/>
      <c r="HY238" s="671"/>
      <c r="HZ238" s="671"/>
      <c r="IA238" s="671"/>
      <c r="IB238" s="671"/>
      <c r="IC238" s="671"/>
      <c r="ID238" s="671"/>
      <c r="IE238" s="671"/>
      <c r="IF238" s="671"/>
      <c r="IG238" s="671"/>
      <c r="IH238" s="671"/>
      <c r="II238" s="671"/>
      <c r="IJ238" s="671"/>
      <c r="IK238" s="671"/>
      <c r="IL238" s="671"/>
      <c r="IM238" s="671"/>
      <c r="IN238" s="671"/>
      <c r="IO238" s="671"/>
      <c r="IP238" s="671"/>
      <c r="IQ238" s="671"/>
      <c r="IR238" s="671"/>
      <c r="IS238" s="671"/>
      <c r="IT238" s="671"/>
      <c r="IU238" s="671"/>
      <c r="IV238" s="671"/>
      <c r="IW238" s="671"/>
      <c r="IX238" s="671"/>
      <c r="IY238" s="671"/>
      <c r="IZ238" s="671"/>
      <c r="JA238" s="671"/>
      <c r="JB238" s="671"/>
      <c r="JC238" s="671"/>
      <c r="JD238" s="671"/>
      <c r="JE238" s="671"/>
      <c r="JF238" s="671"/>
      <c r="JG238" s="671"/>
      <c r="JH238" s="671"/>
      <c r="JI238" s="671"/>
      <c r="JJ238" s="671"/>
      <c r="JK238" s="671"/>
      <c r="JL238" s="671"/>
      <c r="JM238" s="671"/>
      <c r="JN238" s="671"/>
      <c r="JO238" s="671"/>
      <c r="JP238" s="671"/>
      <c r="JQ238" s="671"/>
      <c r="JR238" s="671"/>
      <c r="JS238" s="671"/>
      <c r="JT238" s="671"/>
      <c r="JU238" s="671"/>
      <c r="JV238" s="671"/>
      <c r="JW238" s="671"/>
      <c r="JX238" s="671"/>
      <c r="JY238" s="671"/>
      <c r="JZ238" s="671"/>
      <c r="KA238" s="671"/>
      <c r="KB238" s="671"/>
      <c r="KC238" s="671"/>
      <c r="KD238" s="671"/>
      <c r="KE238" s="671"/>
      <c r="KF238" s="671"/>
      <c r="KG238" s="671"/>
      <c r="KH238" s="671"/>
      <c r="KI238" s="671"/>
      <c r="KJ238" s="671"/>
      <c r="KL238" s="669"/>
      <c r="KM238" s="669"/>
      <c r="KQ238" s="672"/>
      <c r="KR238" s="673"/>
      <c r="KS238" s="672"/>
      <c r="KT238" s="673"/>
      <c r="KU238" s="672"/>
      <c r="KV238" s="673"/>
      <c r="KW238" s="672"/>
      <c r="KX238" s="673"/>
      <c r="KY238" s="672"/>
      <c r="KZ238" s="673"/>
    </row>
    <row r="239" s="628" customFormat="1" spans="2:312">
      <c r="B239" s="659"/>
      <c r="C239" s="662"/>
      <c r="E239" s="665"/>
      <c r="F239" s="665"/>
      <c r="G239" s="666"/>
      <c r="H239" s="666"/>
      <c r="I239" s="667"/>
      <c r="J239" s="667"/>
      <c r="K239" s="667"/>
      <c r="L239" s="667"/>
      <c r="M239" s="667"/>
      <c r="N239" s="667"/>
      <c r="O239" s="667"/>
      <c r="P239" s="667"/>
      <c r="Q239" s="667"/>
      <c r="R239" s="667"/>
      <c r="S239" s="667"/>
      <c r="T239" s="667"/>
      <c r="U239" s="667"/>
      <c r="V239" s="667"/>
      <c r="W239" s="667"/>
      <c r="X239" s="667"/>
      <c r="Y239" s="667"/>
      <c r="Z239" s="667"/>
      <c r="AA239" s="667"/>
      <c r="AB239" s="667"/>
      <c r="FJ239" s="668"/>
      <c r="FK239" s="668"/>
      <c r="FL239" s="668"/>
      <c r="FM239" s="668"/>
      <c r="FN239" s="668"/>
      <c r="FO239" s="668"/>
      <c r="FV239" s="669"/>
      <c r="FZ239" s="669"/>
      <c r="GA239" s="669"/>
      <c r="GB239" s="669"/>
      <c r="GC239" s="669"/>
      <c r="GD239" s="665"/>
      <c r="GF239" s="669"/>
      <c r="GG239" s="669"/>
      <c r="GH239" s="669"/>
      <c r="GI239" s="669"/>
      <c r="GJ239" s="669"/>
      <c r="GK239" s="669"/>
      <c r="GL239" s="669"/>
      <c r="GM239" s="669"/>
      <c r="GN239" s="669"/>
      <c r="GO239" s="669"/>
      <c r="GP239" s="669"/>
      <c r="GQ239" s="669"/>
      <c r="GR239" s="669"/>
      <c r="GS239" s="669"/>
      <c r="GT239" s="669"/>
      <c r="GU239" s="669"/>
      <c r="GV239" s="669"/>
      <c r="GW239" s="669"/>
      <c r="GX239" s="669"/>
      <c r="GY239" s="669"/>
      <c r="GZ239" s="669"/>
      <c r="HA239" s="669"/>
      <c r="HB239" s="669"/>
      <c r="HC239" s="669"/>
      <c r="HD239" s="669"/>
      <c r="HE239" s="669"/>
      <c r="HF239" s="669"/>
      <c r="HG239" s="669"/>
      <c r="HH239" s="670"/>
      <c r="HI239" s="670"/>
      <c r="HJ239" s="671"/>
      <c r="HK239" s="669"/>
      <c r="HL239" s="665"/>
      <c r="HM239" s="665"/>
      <c r="HP239" s="670"/>
      <c r="HQ239" s="671"/>
      <c r="HR239" s="671"/>
      <c r="HS239" s="671"/>
      <c r="HT239" s="671"/>
      <c r="HU239" s="671"/>
      <c r="HV239" s="671"/>
      <c r="HW239" s="671"/>
      <c r="HX239" s="671"/>
      <c r="HY239" s="671"/>
      <c r="HZ239" s="671"/>
      <c r="IA239" s="671"/>
      <c r="IB239" s="671"/>
      <c r="IC239" s="671"/>
      <c r="ID239" s="671"/>
      <c r="IE239" s="671"/>
      <c r="IF239" s="671"/>
      <c r="IG239" s="671"/>
      <c r="IH239" s="671"/>
      <c r="II239" s="671"/>
      <c r="IJ239" s="671"/>
      <c r="IK239" s="671"/>
      <c r="IL239" s="671"/>
      <c r="IM239" s="671"/>
      <c r="IN239" s="671"/>
      <c r="IO239" s="671"/>
      <c r="IP239" s="671"/>
      <c r="IQ239" s="671"/>
      <c r="IR239" s="671"/>
      <c r="IS239" s="671"/>
      <c r="IT239" s="671"/>
      <c r="IU239" s="671"/>
      <c r="IV239" s="671"/>
      <c r="IW239" s="671"/>
      <c r="IX239" s="671"/>
      <c r="IY239" s="671"/>
      <c r="IZ239" s="671"/>
      <c r="JA239" s="671"/>
      <c r="JB239" s="671"/>
      <c r="JC239" s="671"/>
      <c r="JD239" s="671"/>
      <c r="JE239" s="671"/>
      <c r="JF239" s="671"/>
      <c r="JG239" s="671"/>
      <c r="JH239" s="671"/>
      <c r="JI239" s="671"/>
      <c r="JJ239" s="671"/>
      <c r="JK239" s="671"/>
      <c r="JL239" s="671"/>
      <c r="JM239" s="671"/>
      <c r="JN239" s="671"/>
      <c r="JO239" s="671"/>
      <c r="JP239" s="671"/>
      <c r="JQ239" s="671"/>
      <c r="JR239" s="671"/>
      <c r="JS239" s="671"/>
      <c r="JT239" s="671"/>
      <c r="JU239" s="671"/>
      <c r="JV239" s="671"/>
      <c r="JW239" s="671"/>
      <c r="JX239" s="671"/>
      <c r="JY239" s="671"/>
      <c r="JZ239" s="671"/>
      <c r="KA239" s="671"/>
      <c r="KB239" s="671"/>
      <c r="KC239" s="671"/>
      <c r="KD239" s="671"/>
      <c r="KE239" s="671"/>
      <c r="KF239" s="671"/>
      <c r="KG239" s="671"/>
      <c r="KH239" s="671"/>
      <c r="KI239" s="671"/>
      <c r="KJ239" s="671"/>
      <c r="KL239" s="669"/>
      <c r="KM239" s="669"/>
      <c r="KQ239" s="672"/>
      <c r="KR239" s="673"/>
      <c r="KS239" s="672"/>
      <c r="KT239" s="673"/>
      <c r="KU239" s="672"/>
      <c r="KV239" s="673"/>
      <c r="KW239" s="672"/>
      <c r="KX239" s="673"/>
      <c r="KY239" s="672"/>
      <c r="KZ239" s="673"/>
    </row>
    <row r="240" s="628" customFormat="1" spans="2:312">
      <c r="B240" s="659"/>
      <c r="C240" s="662"/>
      <c r="E240" s="665"/>
      <c r="F240" s="665"/>
      <c r="G240" s="666"/>
      <c r="H240" s="666"/>
      <c r="I240" s="667"/>
      <c r="J240" s="667"/>
      <c r="K240" s="667"/>
      <c r="L240" s="667"/>
      <c r="M240" s="667"/>
      <c r="N240" s="667"/>
      <c r="O240" s="667"/>
      <c r="P240" s="667"/>
      <c r="Q240" s="667"/>
      <c r="R240" s="667"/>
      <c r="S240" s="667"/>
      <c r="T240" s="667"/>
      <c r="U240" s="667"/>
      <c r="V240" s="667"/>
      <c r="W240" s="667"/>
      <c r="X240" s="667"/>
      <c r="Y240" s="667"/>
      <c r="Z240" s="667"/>
      <c r="AA240" s="667"/>
      <c r="AB240" s="667"/>
      <c r="FJ240" s="668"/>
      <c r="FK240" s="668"/>
      <c r="FL240" s="668"/>
      <c r="FM240" s="668"/>
      <c r="FN240" s="668"/>
      <c r="FO240" s="668"/>
      <c r="FV240" s="669"/>
      <c r="FZ240" s="669"/>
      <c r="GA240" s="669"/>
      <c r="GB240" s="669"/>
      <c r="GC240" s="669"/>
      <c r="GD240" s="665"/>
      <c r="GF240" s="669"/>
      <c r="GG240" s="669"/>
      <c r="GH240" s="669"/>
      <c r="GI240" s="669"/>
      <c r="GJ240" s="669"/>
      <c r="GK240" s="669"/>
      <c r="GL240" s="669"/>
      <c r="GM240" s="669"/>
      <c r="GN240" s="669"/>
      <c r="GO240" s="669"/>
      <c r="GP240" s="669"/>
      <c r="GQ240" s="669"/>
      <c r="GR240" s="669"/>
      <c r="GS240" s="669"/>
      <c r="GT240" s="669"/>
      <c r="GU240" s="669"/>
      <c r="GV240" s="669"/>
      <c r="GW240" s="669"/>
      <c r="GX240" s="669"/>
      <c r="GY240" s="669"/>
      <c r="GZ240" s="669"/>
      <c r="HA240" s="669"/>
      <c r="HB240" s="669"/>
      <c r="HC240" s="669"/>
      <c r="HD240" s="669"/>
      <c r="HE240" s="669"/>
      <c r="HF240" s="669"/>
      <c r="HG240" s="669"/>
      <c r="HH240" s="670"/>
      <c r="HI240" s="670"/>
      <c r="HJ240" s="671"/>
      <c r="HK240" s="669"/>
      <c r="HL240" s="665"/>
      <c r="HM240" s="665"/>
      <c r="HP240" s="670"/>
      <c r="HQ240" s="671"/>
      <c r="HR240" s="671"/>
      <c r="HS240" s="671"/>
      <c r="HT240" s="671"/>
      <c r="HU240" s="671"/>
      <c r="HV240" s="671"/>
      <c r="HW240" s="671"/>
      <c r="HX240" s="671"/>
      <c r="HY240" s="671"/>
      <c r="HZ240" s="671"/>
      <c r="IA240" s="671"/>
      <c r="IB240" s="671"/>
      <c r="IC240" s="671"/>
      <c r="ID240" s="671"/>
      <c r="IE240" s="671"/>
      <c r="IF240" s="671"/>
      <c r="IG240" s="671"/>
      <c r="IH240" s="671"/>
      <c r="II240" s="671"/>
      <c r="IJ240" s="671"/>
      <c r="IK240" s="671"/>
      <c r="IL240" s="671"/>
      <c r="IM240" s="671"/>
      <c r="IN240" s="671"/>
      <c r="IO240" s="671"/>
      <c r="IP240" s="671"/>
      <c r="IQ240" s="671"/>
      <c r="IR240" s="671"/>
      <c r="IS240" s="671"/>
      <c r="IT240" s="671"/>
      <c r="IU240" s="671"/>
      <c r="IV240" s="671"/>
      <c r="IW240" s="671"/>
      <c r="IX240" s="671"/>
      <c r="IY240" s="671"/>
      <c r="IZ240" s="671"/>
      <c r="JA240" s="671"/>
      <c r="JB240" s="671"/>
      <c r="JC240" s="671"/>
      <c r="JD240" s="671"/>
      <c r="JE240" s="671"/>
      <c r="JF240" s="671"/>
      <c r="JG240" s="671"/>
      <c r="JH240" s="671"/>
      <c r="JI240" s="671"/>
      <c r="JJ240" s="671"/>
      <c r="JK240" s="671"/>
      <c r="JL240" s="671"/>
      <c r="JM240" s="671"/>
      <c r="JN240" s="671"/>
      <c r="JO240" s="671"/>
      <c r="JP240" s="671"/>
      <c r="JQ240" s="671"/>
      <c r="JR240" s="671"/>
      <c r="JS240" s="671"/>
      <c r="JT240" s="671"/>
      <c r="JU240" s="671"/>
      <c r="JV240" s="671"/>
      <c r="JW240" s="671"/>
      <c r="JX240" s="671"/>
      <c r="JY240" s="671"/>
      <c r="JZ240" s="671"/>
      <c r="KA240" s="671"/>
      <c r="KB240" s="671"/>
      <c r="KC240" s="671"/>
      <c r="KD240" s="671"/>
      <c r="KE240" s="671"/>
      <c r="KF240" s="671"/>
      <c r="KG240" s="671"/>
      <c r="KH240" s="671"/>
      <c r="KI240" s="671"/>
      <c r="KJ240" s="671"/>
      <c r="KL240" s="669"/>
      <c r="KM240" s="669"/>
      <c r="KQ240" s="672"/>
      <c r="KR240" s="673"/>
      <c r="KS240" s="672"/>
      <c r="KT240" s="673"/>
      <c r="KU240" s="672"/>
      <c r="KV240" s="673"/>
      <c r="KW240" s="672"/>
      <c r="KX240" s="673"/>
      <c r="KY240" s="672"/>
      <c r="KZ240" s="673"/>
    </row>
    <row r="241" s="628" customFormat="1" spans="2:312">
      <c r="B241" s="659"/>
      <c r="C241" s="662"/>
      <c r="E241" s="665"/>
      <c r="F241" s="665"/>
      <c r="G241" s="666"/>
      <c r="H241" s="666"/>
      <c r="I241" s="667"/>
      <c r="J241" s="667"/>
      <c r="K241" s="667"/>
      <c r="L241" s="667"/>
      <c r="M241" s="667"/>
      <c r="N241" s="667"/>
      <c r="O241" s="667"/>
      <c r="P241" s="667"/>
      <c r="Q241" s="667"/>
      <c r="R241" s="667"/>
      <c r="S241" s="667"/>
      <c r="T241" s="667"/>
      <c r="U241" s="667"/>
      <c r="V241" s="667"/>
      <c r="W241" s="667"/>
      <c r="X241" s="667"/>
      <c r="Y241" s="667"/>
      <c r="Z241" s="667"/>
      <c r="AA241" s="667"/>
      <c r="AB241" s="667"/>
      <c r="FJ241" s="668"/>
      <c r="FK241" s="668"/>
      <c r="FL241" s="668"/>
      <c r="FM241" s="668"/>
      <c r="FN241" s="668"/>
      <c r="FO241" s="668"/>
      <c r="FV241" s="669"/>
      <c r="FZ241" s="669"/>
      <c r="GA241" s="669"/>
      <c r="GB241" s="669"/>
      <c r="GC241" s="669"/>
      <c r="GD241" s="665"/>
      <c r="GF241" s="669"/>
      <c r="GG241" s="669"/>
      <c r="GH241" s="669"/>
      <c r="GI241" s="669"/>
      <c r="GJ241" s="669"/>
      <c r="GK241" s="669"/>
      <c r="GL241" s="669"/>
      <c r="GM241" s="669"/>
      <c r="GN241" s="669"/>
      <c r="GO241" s="669"/>
      <c r="GP241" s="669"/>
      <c r="GQ241" s="669"/>
      <c r="GR241" s="669"/>
      <c r="GS241" s="669"/>
      <c r="GT241" s="669"/>
      <c r="GU241" s="669"/>
      <c r="GV241" s="669"/>
      <c r="GW241" s="669"/>
      <c r="GX241" s="669"/>
      <c r="GY241" s="669"/>
      <c r="GZ241" s="669"/>
      <c r="HA241" s="669"/>
      <c r="HB241" s="669"/>
      <c r="HC241" s="669"/>
      <c r="HD241" s="669"/>
      <c r="HE241" s="669"/>
      <c r="HF241" s="669"/>
      <c r="HG241" s="669"/>
      <c r="HH241" s="670"/>
      <c r="HI241" s="670"/>
      <c r="HJ241" s="671"/>
      <c r="HK241" s="669"/>
      <c r="HL241" s="665"/>
      <c r="HM241" s="665"/>
      <c r="HP241" s="670"/>
      <c r="HQ241" s="671"/>
      <c r="HR241" s="671"/>
      <c r="HS241" s="671"/>
      <c r="HT241" s="671"/>
      <c r="HU241" s="671"/>
      <c r="HV241" s="671"/>
      <c r="HW241" s="671"/>
      <c r="HX241" s="671"/>
      <c r="HY241" s="671"/>
      <c r="HZ241" s="671"/>
      <c r="IA241" s="671"/>
      <c r="IB241" s="671"/>
      <c r="IC241" s="671"/>
      <c r="ID241" s="671"/>
      <c r="IE241" s="671"/>
      <c r="IF241" s="671"/>
      <c r="IG241" s="671"/>
      <c r="IH241" s="671"/>
      <c r="II241" s="671"/>
      <c r="IJ241" s="671"/>
      <c r="IK241" s="671"/>
      <c r="IL241" s="671"/>
      <c r="IM241" s="671"/>
      <c r="IN241" s="671"/>
      <c r="IO241" s="671"/>
      <c r="IP241" s="671"/>
      <c r="IQ241" s="671"/>
      <c r="IR241" s="671"/>
      <c r="IS241" s="671"/>
      <c r="IT241" s="671"/>
      <c r="IU241" s="671"/>
      <c r="IV241" s="671"/>
      <c r="IW241" s="671"/>
      <c r="IX241" s="671"/>
      <c r="IY241" s="671"/>
      <c r="IZ241" s="671"/>
      <c r="JA241" s="671"/>
      <c r="JB241" s="671"/>
      <c r="JC241" s="671"/>
      <c r="JD241" s="671"/>
      <c r="JE241" s="671"/>
      <c r="JF241" s="671"/>
      <c r="JG241" s="671"/>
      <c r="JH241" s="671"/>
      <c r="JI241" s="671"/>
      <c r="JJ241" s="671"/>
      <c r="JK241" s="671"/>
      <c r="JL241" s="671"/>
      <c r="JM241" s="671"/>
      <c r="JN241" s="671"/>
      <c r="JO241" s="671"/>
      <c r="JP241" s="671"/>
      <c r="JQ241" s="671"/>
      <c r="JR241" s="671"/>
      <c r="JS241" s="671"/>
      <c r="JT241" s="671"/>
      <c r="JU241" s="671"/>
      <c r="JV241" s="671"/>
      <c r="JW241" s="671"/>
      <c r="JX241" s="671"/>
      <c r="JY241" s="671"/>
      <c r="JZ241" s="671"/>
      <c r="KA241" s="671"/>
      <c r="KB241" s="671"/>
      <c r="KC241" s="671"/>
      <c r="KD241" s="671"/>
      <c r="KE241" s="671"/>
      <c r="KF241" s="671"/>
      <c r="KG241" s="671"/>
      <c r="KH241" s="671"/>
      <c r="KI241" s="671"/>
      <c r="KJ241" s="671"/>
      <c r="KL241" s="669"/>
      <c r="KM241" s="669"/>
      <c r="KQ241" s="672"/>
      <c r="KR241" s="673"/>
      <c r="KS241" s="672"/>
      <c r="KT241" s="673"/>
      <c r="KU241" s="672"/>
      <c r="KV241" s="673"/>
      <c r="KW241" s="672"/>
      <c r="KX241" s="673"/>
      <c r="KY241" s="672"/>
      <c r="KZ241" s="673"/>
    </row>
    <row r="242" s="628" customFormat="1" spans="2:312">
      <c r="B242" s="659"/>
      <c r="C242" s="662"/>
      <c r="E242" s="665"/>
      <c r="F242" s="665"/>
      <c r="G242" s="666"/>
      <c r="H242" s="666"/>
      <c r="I242" s="667"/>
      <c r="J242" s="667"/>
      <c r="K242" s="667"/>
      <c r="L242" s="667"/>
      <c r="M242" s="667"/>
      <c r="N242" s="667"/>
      <c r="O242" s="667"/>
      <c r="P242" s="667"/>
      <c r="Q242" s="667"/>
      <c r="R242" s="667"/>
      <c r="S242" s="667"/>
      <c r="T242" s="667"/>
      <c r="U242" s="667"/>
      <c r="V242" s="667"/>
      <c r="W242" s="667"/>
      <c r="X242" s="667"/>
      <c r="Y242" s="667"/>
      <c r="Z242" s="667"/>
      <c r="AA242" s="667"/>
      <c r="AB242" s="667"/>
      <c r="FJ242" s="668"/>
      <c r="FK242" s="668"/>
      <c r="FL242" s="668"/>
      <c r="FM242" s="668"/>
      <c r="FN242" s="668"/>
      <c r="FO242" s="668"/>
      <c r="FV242" s="669"/>
      <c r="FZ242" s="669"/>
      <c r="GA242" s="669"/>
      <c r="GB242" s="669"/>
      <c r="GC242" s="669"/>
      <c r="GD242" s="665"/>
      <c r="GF242" s="669"/>
      <c r="GG242" s="669"/>
      <c r="GH242" s="669"/>
      <c r="GI242" s="669"/>
      <c r="GJ242" s="669"/>
      <c r="GK242" s="669"/>
      <c r="GL242" s="669"/>
      <c r="GM242" s="669"/>
      <c r="GN242" s="669"/>
      <c r="GO242" s="669"/>
      <c r="GP242" s="669"/>
      <c r="GQ242" s="669"/>
      <c r="GR242" s="669"/>
      <c r="GS242" s="669"/>
      <c r="GT242" s="669"/>
      <c r="GU242" s="669"/>
      <c r="GV242" s="669"/>
      <c r="GW242" s="669"/>
      <c r="GX242" s="669"/>
      <c r="GY242" s="669"/>
      <c r="GZ242" s="669"/>
      <c r="HA242" s="669"/>
      <c r="HB242" s="669"/>
      <c r="HC242" s="669"/>
      <c r="HD242" s="669"/>
      <c r="HE242" s="669"/>
      <c r="HF242" s="669"/>
      <c r="HG242" s="669"/>
      <c r="HH242" s="670"/>
      <c r="HI242" s="670"/>
      <c r="HJ242" s="671"/>
      <c r="HK242" s="669"/>
      <c r="HL242" s="665"/>
      <c r="HM242" s="665"/>
      <c r="HP242" s="670"/>
      <c r="HQ242" s="671"/>
      <c r="HR242" s="671"/>
      <c r="HS242" s="671"/>
      <c r="HT242" s="671"/>
      <c r="HU242" s="671"/>
      <c r="HV242" s="671"/>
      <c r="HW242" s="671"/>
      <c r="HX242" s="671"/>
      <c r="HY242" s="671"/>
      <c r="HZ242" s="671"/>
      <c r="IA242" s="671"/>
      <c r="IB242" s="671"/>
      <c r="IC242" s="671"/>
      <c r="ID242" s="671"/>
      <c r="IE242" s="671"/>
      <c r="IF242" s="671"/>
      <c r="IG242" s="671"/>
      <c r="IH242" s="671"/>
      <c r="II242" s="671"/>
      <c r="IJ242" s="671"/>
      <c r="IK242" s="671"/>
      <c r="IL242" s="671"/>
      <c r="IM242" s="671"/>
      <c r="IN242" s="671"/>
      <c r="IO242" s="671"/>
      <c r="IP242" s="671"/>
      <c r="IQ242" s="671"/>
      <c r="IR242" s="671"/>
      <c r="IS242" s="671"/>
      <c r="IT242" s="671"/>
      <c r="IU242" s="671"/>
      <c r="IV242" s="671"/>
      <c r="IW242" s="671"/>
      <c r="IX242" s="671"/>
      <c r="IY242" s="671"/>
      <c r="IZ242" s="671"/>
      <c r="JA242" s="671"/>
      <c r="JB242" s="671"/>
      <c r="JC242" s="671"/>
      <c r="JD242" s="671"/>
      <c r="JE242" s="671"/>
      <c r="JF242" s="671"/>
      <c r="JG242" s="671"/>
      <c r="JH242" s="671"/>
      <c r="JI242" s="671"/>
      <c r="JJ242" s="671"/>
      <c r="JK242" s="671"/>
      <c r="JL242" s="671"/>
      <c r="JM242" s="671"/>
      <c r="JN242" s="671"/>
      <c r="JO242" s="671"/>
      <c r="JP242" s="671"/>
      <c r="JQ242" s="671"/>
      <c r="JR242" s="671"/>
      <c r="JS242" s="671"/>
      <c r="JT242" s="671"/>
      <c r="JU242" s="671"/>
      <c r="JV242" s="671"/>
      <c r="JW242" s="671"/>
      <c r="JX242" s="671"/>
      <c r="JY242" s="671"/>
      <c r="JZ242" s="671"/>
      <c r="KA242" s="671"/>
      <c r="KB242" s="671"/>
      <c r="KC242" s="671"/>
      <c r="KD242" s="671"/>
      <c r="KE242" s="671"/>
      <c r="KF242" s="671"/>
      <c r="KG242" s="671"/>
      <c r="KH242" s="671"/>
      <c r="KI242" s="671"/>
      <c r="KJ242" s="671"/>
      <c r="KL242" s="669"/>
      <c r="KM242" s="669"/>
      <c r="KQ242" s="672"/>
      <c r="KR242" s="673"/>
      <c r="KS242" s="672"/>
      <c r="KT242" s="673"/>
      <c r="KU242" s="672"/>
      <c r="KV242" s="673"/>
      <c r="KW242" s="672"/>
      <c r="KX242" s="673"/>
      <c r="KY242" s="672"/>
      <c r="KZ242" s="673"/>
    </row>
    <row r="243" s="628" customFormat="1" spans="2:312">
      <c r="B243" s="659"/>
      <c r="C243" s="662"/>
      <c r="E243" s="665"/>
      <c r="F243" s="665"/>
      <c r="G243" s="666"/>
      <c r="H243" s="666"/>
      <c r="I243" s="667"/>
      <c r="J243" s="667"/>
      <c r="K243" s="667"/>
      <c r="L243" s="667"/>
      <c r="M243" s="667"/>
      <c r="N243" s="667"/>
      <c r="O243" s="667"/>
      <c r="P243" s="667"/>
      <c r="Q243" s="667"/>
      <c r="R243" s="667"/>
      <c r="S243" s="667"/>
      <c r="T243" s="667"/>
      <c r="U243" s="667"/>
      <c r="V243" s="667"/>
      <c r="W243" s="667"/>
      <c r="X243" s="667"/>
      <c r="Y243" s="667"/>
      <c r="Z243" s="667"/>
      <c r="AA243" s="667"/>
      <c r="AB243" s="667"/>
      <c r="FJ243" s="668"/>
      <c r="FK243" s="668"/>
      <c r="FL243" s="668"/>
      <c r="FM243" s="668"/>
      <c r="FN243" s="668"/>
      <c r="FO243" s="668"/>
      <c r="FV243" s="669"/>
      <c r="FZ243" s="669"/>
      <c r="GA243" s="669"/>
      <c r="GB243" s="669"/>
      <c r="GC243" s="669"/>
      <c r="GD243" s="665"/>
      <c r="GF243" s="669"/>
      <c r="GG243" s="669"/>
      <c r="GH243" s="669"/>
      <c r="GI243" s="669"/>
      <c r="GJ243" s="669"/>
      <c r="GK243" s="669"/>
      <c r="GL243" s="669"/>
      <c r="GM243" s="669"/>
      <c r="GN243" s="669"/>
      <c r="GO243" s="669"/>
      <c r="GP243" s="669"/>
      <c r="GQ243" s="669"/>
      <c r="GR243" s="669"/>
      <c r="GS243" s="669"/>
      <c r="GT243" s="669"/>
      <c r="GU243" s="669"/>
      <c r="GV243" s="669"/>
      <c r="GW243" s="669"/>
      <c r="GX243" s="669"/>
      <c r="GY243" s="669"/>
      <c r="GZ243" s="669"/>
      <c r="HA243" s="669"/>
      <c r="HB243" s="669"/>
      <c r="HC243" s="669"/>
      <c r="HD243" s="669"/>
      <c r="HE243" s="669"/>
      <c r="HF243" s="669"/>
      <c r="HG243" s="669"/>
      <c r="HH243" s="670"/>
      <c r="HI243" s="670"/>
      <c r="HJ243" s="671"/>
      <c r="HK243" s="669"/>
      <c r="HL243" s="665"/>
      <c r="HM243" s="665"/>
      <c r="HP243" s="670"/>
      <c r="HQ243" s="671"/>
      <c r="HR243" s="671"/>
      <c r="HS243" s="671"/>
      <c r="HT243" s="671"/>
      <c r="HU243" s="671"/>
      <c r="HV243" s="671"/>
      <c r="HW243" s="671"/>
      <c r="HX243" s="671"/>
      <c r="HY243" s="671"/>
      <c r="HZ243" s="671"/>
      <c r="IA243" s="671"/>
      <c r="IB243" s="671"/>
      <c r="IC243" s="671"/>
      <c r="ID243" s="671"/>
      <c r="IE243" s="671"/>
      <c r="IF243" s="671"/>
      <c r="IG243" s="671"/>
      <c r="IH243" s="671"/>
      <c r="II243" s="671"/>
      <c r="IJ243" s="671"/>
      <c r="IK243" s="671"/>
      <c r="IL243" s="671"/>
      <c r="IM243" s="671"/>
      <c r="IN243" s="671"/>
      <c r="IO243" s="671"/>
      <c r="IP243" s="671"/>
      <c r="IQ243" s="671"/>
      <c r="IR243" s="671"/>
      <c r="IS243" s="671"/>
      <c r="IT243" s="671"/>
      <c r="IU243" s="671"/>
      <c r="IV243" s="671"/>
      <c r="IW243" s="671"/>
      <c r="IX243" s="671"/>
      <c r="IY243" s="671"/>
      <c r="IZ243" s="671"/>
      <c r="JA243" s="671"/>
      <c r="JB243" s="671"/>
      <c r="JC243" s="671"/>
      <c r="JD243" s="671"/>
      <c r="JE243" s="671"/>
      <c r="JF243" s="671"/>
      <c r="JG243" s="671"/>
      <c r="JH243" s="671"/>
      <c r="JI243" s="671"/>
      <c r="JJ243" s="671"/>
      <c r="JK243" s="671"/>
      <c r="JL243" s="671"/>
      <c r="JM243" s="671"/>
      <c r="JN243" s="671"/>
      <c r="JO243" s="671"/>
      <c r="JP243" s="671"/>
      <c r="JQ243" s="671"/>
      <c r="JR243" s="671"/>
      <c r="JS243" s="671"/>
      <c r="JT243" s="671"/>
      <c r="JU243" s="671"/>
      <c r="JV243" s="671"/>
      <c r="JW243" s="671"/>
      <c r="JX243" s="671"/>
      <c r="JY243" s="671"/>
      <c r="JZ243" s="671"/>
      <c r="KA243" s="671"/>
      <c r="KB243" s="671"/>
      <c r="KC243" s="671"/>
      <c r="KD243" s="671"/>
      <c r="KE243" s="671"/>
      <c r="KF243" s="671"/>
      <c r="KG243" s="671"/>
      <c r="KH243" s="671"/>
      <c r="KI243" s="671"/>
      <c r="KJ243" s="671"/>
      <c r="KL243" s="669"/>
      <c r="KM243" s="669"/>
      <c r="KQ243" s="672"/>
      <c r="KR243" s="673"/>
      <c r="KS243" s="672"/>
      <c r="KT243" s="673"/>
      <c r="KU243" s="672"/>
      <c r="KV243" s="673"/>
      <c r="KW243" s="672"/>
      <c r="KX243" s="673"/>
      <c r="KY243" s="672"/>
      <c r="KZ243" s="673"/>
    </row>
    <row r="244" s="628" customFormat="1" spans="2:312">
      <c r="B244" s="659"/>
      <c r="C244" s="662"/>
      <c r="E244" s="665"/>
      <c r="F244" s="665"/>
      <c r="G244" s="666"/>
      <c r="H244" s="666"/>
      <c r="I244" s="667"/>
      <c r="J244" s="667"/>
      <c r="K244" s="667"/>
      <c r="L244" s="667"/>
      <c r="M244" s="667"/>
      <c r="N244" s="667"/>
      <c r="O244" s="667"/>
      <c r="P244" s="667"/>
      <c r="Q244" s="667"/>
      <c r="R244" s="667"/>
      <c r="S244" s="667"/>
      <c r="T244" s="667"/>
      <c r="U244" s="667"/>
      <c r="V244" s="667"/>
      <c r="W244" s="667"/>
      <c r="X244" s="667"/>
      <c r="Y244" s="667"/>
      <c r="Z244" s="667"/>
      <c r="AA244" s="667"/>
      <c r="AB244" s="667"/>
      <c r="FJ244" s="668"/>
      <c r="FK244" s="668"/>
      <c r="FL244" s="668"/>
      <c r="FM244" s="668"/>
      <c r="FN244" s="668"/>
      <c r="FO244" s="668"/>
      <c r="FV244" s="669"/>
      <c r="FZ244" s="669"/>
      <c r="GA244" s="669"/>
      <c r="GB244" s="669"/>
      <c r="GC244" s="669"/>
      <c r="GD244" s="665"/>
      <c r="GF244" s="669"/>
      <c r="GG244" s="669"/>
      <c r="GH244" s="669"/>
      <c r="GI244" s="669"/>
      <c r="GJ244" s="669"/>
      <c r="GK244" s="669"/>
      <c r="GL244" s="669"/>
      <c r="GM244" s="669"/>
      <c r="GN244" s="669"/>
      <c r="GO244" s="669"/>
      <c r="GP244" s="669"/>
      <c r="GQ244" s="669"/>
      <c r="GR244" s="669"/>
      <c r="GS244" s="669"/>
      <c r="GT244" s="669"/>
      <c r="GU244" s="669"/>
      <c r="GV244" s="669"/>
      <c r="GW244" s="669"/>
      <c r="GX244" s="669"/>
      <c r="GY244" s="669"/>
      <c r="GZ244" s="669"/>
      <c r="HA244" s="669"/>
      <c r="HB244" s="669"/>
      <c r="HC244" s="669"/>
      <c r="HD244" s="669"/>
      <c r="HE244" s="669"/>
      <c r="HF244" s="669"/>
      <c r="HG244" s="669"/>
      <c r="HH244" s="670"/>
      <c r="HI244" s="670"/>
      <c r="HJ244" s="671"/>
      <c r="HK244" s="669"/>
      <c r="HL244" s="665"/>
      <c r="HM244" s="665"/>
      <c r="HP244" s="670"/>
      <c r="HQ244" s="671"/>
      <c r="HR244" s="671"/>
      <c r="HS244" s="671"/>
      <c r="HT244" s="671"/>
      <c r="HU244" s="671"/>
      <c r="HV244" s="671"/>
      <c r="HW244" s="671"/>
      <c r="HX244" s="671"/>
      <c r="HY244" s="671"/>
      <c r="HZ244" s="671"/>
      <c r="IA244" s="671"/>
      <c r="IB244" s="671"/>
      <c r="IC244" s="671"/>
      <c r="ID244" s="671"/>
      <c r="IE244" s="671"/>
      <c r="IF244" s="671"/>
      <c r="IG244" s="671"/>
      <c r="IH244" s="671"/>
      <c r="II244" s="671"/>
      <c r="IJ244" s="671"/>
      <c r="IK244" s="671"/>
      <c r="IL244" s="671"/>
      <c r="IM244" s="671"/>
      <c r="IN244" s="671"/>
      <c r="IO244" s="671"/>
      <c r="IP244" s="671"/>
      <c r="IQ244" s="671"/>
      <c r="IR244" s="671"/>
      <c r="IS244" s="671"/>
      <c r="IT244" s="671"/>
      <c r="IU244" s="671"/>
      <c r="IV244" s="671"/>
      <c r="IW244" s="671"/>
      <c r="IX244" s="671"/>
      <c r="IY244" s="671"/>
      <c r="IZ244" s="671"/>
      <c r="JA244" s="671"/>
      <c r="JB244" s="671"/>
      <c r="JC244" s="671"/>
      <c r="JD244" s="671"/>
      <c r="JE244" s="671"/>
      <c r="JF244" s="671"/>
      <c r="JG244" s="671"/>
      <c r="JH244" s="671"/>
      <c r="JI244" s="671"/>
      <c r="JJ244" s="671"/>
      <c r="JK244" s="671"/>
      <c r="JL244" s="671"/>
      <c r="JM244" s="671"/>
      <c r="JN244" s="671"/>
      <c r="JO244" s="671"/>
      <c r="JP244" s="671"/>
      <c r="JQ244" s="671"/>
      <c r="JR244" s="671"/>
      <c r="JS244" s="671"/>
      <c r="JT244" s="671"/>
      <c r="JU244" s="671"/>
      <c r="JV244" s="671"/>
      <c r="JW244" s="671"/>
      <c r="JX244" s="671"/>
      <c r="JY244" s="671"/>
      <c r="JZ244" s="671"/>
      <c r="KA244" s="671"/>
      <c r="KB244" s="671"/>
      <c r="KC244" s="671"/>
      <c r="KD244" s="671"/>
      <c r="KE244" s="671"/>
      <c r="KF244" s="671"/>
      <c r="KG244" s="671"/>
      <c r="KH244" s="671"/>
      <c r="KI244" s="671"/>
      <c r="KJ244" s="671"/>
      <c r="KL244" s="669"/>
      <c r="KM244" s="669"/>
      <c r="KQ244" s="672"/>
      <c r="KR244" s="673"/>
      <c r="KS244" s="672"/>
      <c r="KT244" s="673"/>
      <c r="KU244" s="672"/>
      <c r="KV244" s="673"/>
      <c r="KW244" s="672"/>
      <c r="KX244" s="673"/>
      <c r="KY244" s="672"/>
      <c r="KZ244" s="673"/>
    </row>
    <row r="245" s="628" customFormat="1" spans="2:312">
      <c r="B245" s="659"/>
      <c r="C245" s="662"/>
      <c r="E245" s="665"/>
      <c r="F245" s="665"/>
      <c r="G245" s="666"/>
      <c r="H245" s="666"/>
      <c r="I245" s="667"/>
      <c r="J245" s="667"/>
      <c r="K245" s="667"/>
      <c r="L245" s="667"/>
      <c r="M245" s="667"/>
      <c r="N245" s="667"/>
      <c r="O245" s="667"/>
      <c r="P245" s="667"/>
      <c r="Q245" s="667"/>
      <c r="R245" s="667"/>
      <c r="S245" s="667"/>
      <c r="T245" s="667"/>
      <c r="U245" s="667"/>
      <c r="V245" s="667"/>
      <c r="W245" s="667"/>
      <c r="X245" s="667"/>
      <c r="Y245" s="667"/>
      <c r="Z245" s="667"/>
      <c r="AA245" s="667"/>
      <c r="AB245" s="667"/>
      <c r="FJ245" s="668"/>
      <c r="FK245" s="668"/>
      <c r="FL245" s="668"/>
      <c r="FM245" s="668"/>
      <c r="FN245" s="668"/>
      <c r="FO245" s="668"/>
      <c r="FV245" s="669"/>
      <c r="FZ245" s="669"/>
      <c r="GA245" s="669"/>
      <c r="GB245" s="669"/>
      <c r="GC245" s="669"/>
      <c r="GD245" s="665"/>
      <c r="GF245" s="669"/>
      <c r="GG245" s="669"/>
      <c r="GH245" s="669"/>
      <c r="GI245" s="669"/>
      <c r="GJ245" s="669"/>
      <c r="GK245" s="669"/>
      <c r="GL245" s="669"/>
      <c r="GM245" s="669"/>
      <c r="GN245" s="669"/>
      <c r="GO245" s="669"/>
      <c r="GP245" s="669"/>
      <c r="GQ245" s="669"/>
      <c r="GR245" s="669"/>
      <c r="GS245" s="669"/>
      <c r="GT245" s="669"/>
      <c r="GU245" s="669"/>
      <c r="GV245" s="669"/>
      <c r="GW245" s="669"/>
      <c r="GX245" s="669"/>
      <c r="GY245" s="669"/>
      <c r="GZ245" s="669"/>
      <c r="HA245" s="669"/>
      <c r="HB245" s="669"/>
      <c r="HC245" s="669"/>
      <c r="HD245" s="669"/>
      <c r="HE245" s="669"/>
      <c r="HF245" s="669"/>
      <c r="HG245" s="669"/>
      <c r="HH245" s="670"/>
      <c r="HI245" s="670"/>
      <c r="HJ245" s="671"/>
      <c r="HK245" s="669"/>
      <c r="HL245" s="665"/>
      <c r="HM245" s="665"/>
      <c r="HP245" s="670"/>
      <c r="HQ245" s="671"/>
      <c r="HR245" s="671"/>
      <c r="HS245" s="671"/>
      <c r="HT245" s="671"/>
      <c r="HU245" s="671"/>
      <c r="HV245" s="671"/>
      <c r="HW245" s="671"/>
      <c r="HX245" s="671"/>
      <c r="HY245" s="671"/>
      <c r="HZ245" s="671"/>
      <c r="IA245" s="671"/>
      <c r="IB245" s="671"/>
      <c r="IC245" s="671"/>
      <c r="ID245" s="671"/>
      <c r="IE245" s="671"/>
      <c r="IF245" s="671"/>
      <c r="IG245" s="671"/>
      <c r="IH245" s="671"/>
      <c r="II245" s="671"/>
      <c r="IJ245" s="671"/>
      <c r="IK245" s="671"/>
      <c r="IL245" s="671"/>
      <c r="IM245" s="671"/>
      <c r="IN245" s="671"/>
      <c r="IO245" s="671"/>
      <c r="IP245" s="671"/>
      <c r="IQ245" s="671"/>
      <c r="IR245" s="671"/>
      <c r="IS245" s="671"/>
      <c r="IT245" s="671"/>
      <c r="IU245" s="671"/>
      <c r="IV245" s="671"/>
      <c r="IW245" s="671"/>
      <c r="IX245" s="671"/>
      <c r="IY245" s="671"/>
      <c r="IZ245" s="671"/>
      <c r="JA245" s="671"/>
      <c r="JB245" s="671"/>
      <c r="JC245" s="671"/>
      <c r="JD245" s="671"/>
      <c r="JE245" s="671"/>
      <c r="JF245" s="671"/>
      <c r="JG245" s="671"/>
      <c r="JH245" s="671"/>
      <c r="JI245" s="671"/>
      <c r="JJ245" s="671"/>
      <c r="JK245" s="671"/>
      <c r="JL245" s="671"/>
      <c r="JM245" s="671"/>
      <c r="JN245" s="671"/>
      <c r="JO245" s="671"/>
      <c r="JP245" s="671"/>
      <c r="JQ245" s="671"/>
      <c r="JR245" s="671"/>
      <c r="JS245" s="671"/>
      <c r="JT245" s="671"/>
      <c r="JU245" s="671"/>
      <c r="JV245" s="671"/>
      <c r="JW245" s="671"/>
      <c r="JX245" s="671"/>
      <c r="JY245" s="671"/>
      <c r="JZ245" s="671"/>
      <c r="KA245" s="671"/>
      <c r="KB245" s="671"/>
      <c r="KC245" s="671"/>
      <c r="KD245" s="671"/>
      <c r="KE245" s="671"/>
      <c r="KF245" s="671"/>
      <c r="KG245" s="671"/>
      <c r="KH245" s="671"/>
      <c r="KI245" s="671"/>
      <c r="KJ245" s="671"/>
      <c r="KL245" s="669"/>
      <c r="KM245" s="669"/>
      <c r="KQ245" s="672"/>
      <c r="KR245" s="673"/>
      <c r="KS245" s="672"/>
      <c r="KT245" s="673"/>
      <c r="KU245" s="672"/>
      <c r="KV245" s="673"/>
      <c r="KW245" s="672"/>
      <c r="KX245" s="673"/>
      <c r="KY245" s="672"/>
      <c r="KZ245" s="673"/>
    </row>
    <row r="246" s="628" customFormat="1" spans="2:312">
      <c r="B246" s="659"/>
      <c r="C246" s="662"/>
      <c r="E246" s="665"/>
      <c r="F246" s="665"/>
      <c r="G246" s="666"/>
      <c r="H246" s="666"/>
      <c r="I246" s="667"/>
      <c r="J246" s="667"/>
      <c r="K246" s="667"/>
      <c r="L246" s="667"/>
      <c r="M246" s="667"/>
      <c r="N246" s="667"/>
      <c r="O246" s="667"/>
      <c r="P246" s="667"/>
      <c r="Q246" s="667"/>
      <c r="R246" s="667"/>
      <c r="S246" s="667"/>
      <c r="T246" s="667"/>
      <c r="U246" s="667"/>
      <c r="V246" s="667"/>
      <c r="W246" s="667"/>
      <c r="X246" s="667"/>
      <c r="Y246" s="667"/>
      <c r="Z246" s="667"/>
      <c r="AA246" s="667"/>
      <c r="AB246" s="667"/>
      <c r="FJ246" s="668"/>
      <c r="FK246" s="668"/>
      <c r="FL246" s="668"/>
      <c r="FM246" s="668"/>
      <c r="FN246" s="668"/>
      <c r="FO246" s="668"/>
      <c r="FV246" s="669"/>
      <c r="FZ246" s="669"/>
      <c r="GA246" s="669"/>
      <c r="GB246" s="669"/>
      <c r="GC246" s="669"/>
      <c r="GD246" s="665"/>
      <c r="GF246" s="669"/>
      <c r="GG246" s="669"/>
      <c r="GH246" s="669"/>
      <c r="GI246" s="669"/>
      <c r="GJ246" s="669"/>
      <c r="GK246" s="669"/>
      <c r="GL246" s="669"/>
      <c r="GM246" s="669"/>
      <c r="GN246" s="669"/>
      <c r="GO246" s="669"/>
      <c r="GP246" s="669"/>
      <c r="GQ246" s="669"/>
      <c r="GR246" s="669"/>
      <c r="GS246" s="669"/>
      <c r="GT246" s="669"/>
      <c r="GU246" s="669"/>
      <c r="GV246" s="669"/>
      <c r="GW246" s="669"/>
      <c r="GX246" s="669"/>
      <c r="GY246" s="669"/>
      <c r="GZ246" s="669"/>
      <c r="HA246" s="669"/>
      <c r="HB246" s="669"/>
      <c r="HC246" s="669"/>
      <c r="HD246" s="669"/>
      <c r="HE246" s="669"/>
      <c r="HF246" s="669"/>
      <c r="HG246" s="669"/>
      <c r="HH246" s="670"/>
      <c r="HI246" s="670"/>
      <c r="HJ246" s="671"/>
      <c r="HK246" s="669"/>
      <c r="HL246" s="665"/>
      <c r="HM246" s="665"/>
      <c r="HP246" s="670"/>
      <c r="HQ246" s="671"/>
      <c r="HR246" s="671"/>
      <c r="HS246" s="671"/>
      <c r="HT246" s="671"/>
      <c r="HU246" s="671"/>
      <c r="HV246" s="671"/>
      <c r="HW246" s="671"/>
      <c r="HX246" s="671"/>
      <c r="HY246" s="671"/>
      <c r="HZ246" s="671"/>
      <c r="IA246" s="671"/>
      <c r="IB246" s="671"/>
      <c r="IC246" s="671"/>
      <c r="ID246" s="671"/>
      <c r="IE246" s="671"/>
      <c r="IF246" s="671"/>
      <c r="IG246" s="671"/>
      <c r="IH246" s="671"/>
      <c r="II246" s="671"/>
      <c r="IJ246" s="671"/>
      <c r="IK246" s="671"/>
      <c r="IL246" s="671"/>
      <c r="IM246" s="671"/>
      <c r="IN246" s="671"/>
      <c r="IO246" s="671"/>
      <c r="IP246" s="671"/>
      <c r="IQ246" s="671"/>
      <c r="IR246" s="671"/>
      <c r="IS246" s="671"/>
      <c r="IT246" s="671"/>
      <c r="IU246" s="671"/>
      <c r="IV246" s="671"/>
      <c r="IW246" s="671"/>
      <c r="IX246" s="671"/>
      <c r="IY246" s="671"/>
      <c r="IZ246" s="671"/>
      <c r="JA246" s="671"/>
      <c r="JB246" s="671"/>
      <c r="JC246" s="671"/>
      <c r="JD246" s="671"/>
      <c r="JE246" s="671"/>
      <c r="JF246" s="671"/>
      <c r="JG246" s="671"/>
      <c r="JH246" s="671"/>
      <c r="JI246" s="671"/>
      <c r="JJ246" s="671"/>
      <c r="JK246" s="671"/>
      <c r="JL246" s="671"/>
      <c r="JM246" s="671"/>
      <c r="JN246" s="671"/>
      <c r="JO246" s="671"/>
      <c r="JP246" s="671"/>
      <c r="JQ246" s="671"/>
      <c r="JR246" s="671"/>
      <c r="JS246" s="671"/>
      <c r="JT246" s="671"/>
      <c r="JU246" s="671"/>
      <c r="JV246" s="671"/>
      <c r="JW246" s="671"/>
      <c r="JX246" s="671"/>
      <c r="JY246" s="671"/>
      <c r="JZ246" s="671"/>
      <c r="KA246" s="671"/>
      <c r="KB246" s="671"/>
      <c r="KC246" s="671"/>
      <c r="KD246" s="671"/>
      <c r="KE246" s="671"/>
      <c r="KF246" s="671"/>
      <c r="KG246" s="671"/>
      <c r="KH246" s="671"/>
      <c r="KI246" s="671"/>
      <c r="KJ246" s="671"/>
      <c r="KL246" s="669"/>
      <c r="KM246" s="669"/>
      <c r="KQ246" s="672"/>
      <c r="KR246" s="673"/>
      <c r="KS246" s="672"/>
      <c r="KT246" s="673"/>
      <c r="KU246" s="672"/>
      <c r="KV246" s="673"/>
      <c r="KW246" s="672"/>
      <c r="KX246" s="673"/>
      <c r="KY246" s="672"/>
      <c r="KZ246" s="673"/>
    </row>
    <row r="247" s="628" customFormat="1" spans="2:312">
      <c r="B247" s="659"/>
      <c r="C247" s="662"/>
      <c r="E247" s="665"/>
      <c r="F247" s="665"/>
      <c r="G247" s="666"/>
      <c r="H247" s="666"/>
      <c r="I247" s="667"/>
      <c r="J247" s="667"/>
      <c r="K247" s="667"/>
      <c r="L247" s="667"/>
      <c r="M247" s="667"/>
      <c r="N247" s="667"/>
      <c r="O247" s="667"/>
      <c r="P247" s="667"/>
      <c r="Q247" s="667"/>
      <c r="R247" s="667"/>
      <c r="S247" s="667"/>
      <c r="T247" s="667"/>
      <c r="U247" s="667"/>
      <c r="V247" s="667"/>
      <c r="W247" s="667"/>
      <c r="X247" s="667"/>
      <c r="Y247" s="667"/>
      <c r="Z247" s="667"/>
      <c r="AA247" s="667"/>
      <c r="AB247" s="667"/>
      <c r="FJ247" s="668"/>
      <c r="FK247" s="668"/>
      <c r="FL247" s="668"/>
      <c r="FM247" s="668"/>
      <c r="FN247" s="668"/>
      <c r="FO247" s="668"/>
      <c r="FV247" s="669"/>
      <c r="FZ247" s="669"/>
      <c r="GA247" s="669"/>
      <c r="GB247" s="669"/>
      <c r="GC247" s="669"/>
      <c r="GD247" s="665"/>
      <c r="GF247" s="669"/>
      <c r="GG247" s="669"/>
      <c r="GH247" s="669"/>
      <c r="GI247" s="669"/>
      <c r="GJ247" s="669"/>
      <c r="GK247" s="669"/>
      <c r="GL247" s="669"/>
      <c r="GM247" s="669"/>
      <c r="GN247" s="669"/>
      <c r="GO247" s="669"/>
      <c r="GP247" s="669"/>
      <c r="GQ247" s="669"/>
      <c r="GR247" s="669"/>
      <c r="GS247" s="669"/>
      <c r="GT247" s="669"/>
      <c r="GU247" s="669"/>
      <c r="GV247" s="669"/>
      <c r="GW247" s="669"/>
      <c r="GX247" s="669"/>
      <c r="GY247" s="669"/>
      <c r="GZ247" s="669"/>
      <c r="HA247" s="669"/>
      <c r="HB247" s="669"/>
      <c r="HC247" s="669"/>
      <c r="HD247" s="669"/>
      <c r="HE247" s="669"/>
      <c r="HF247" s="669"/>
      <c r="HG247" s="669"/>
      <c r="HH247" s="670"/>
      <c r="HI247" s="670"/>
      <c r="HJ247" s="671"/>
      <c r="HK247" s="669"/>
      <c r="HL247" s="665"/>
      <c r="HM247" s="665"/>
      <c r="HP247" s="670"/>
      <c r="HQ247" s="671"/>
      <c r="HR247" s="671"/>
      <c r="HS247" s="671"/>
      <c r="HT247" s="671"/>
      <c r="HU247" s="671"/>
      <c r="HV247" s="671"/>
      <c r="HW247" s="671"/>
      <c r="HX247" s="671"/>
      <c r="HY247" s="671"/>
      <c r="HZ247" s="671"/>
      <c r="IA247" s="671"/>
      <c r="IB247" s="671"/>
      <c r="IC247" s="671"/>
      <c r="ID247" s="671"/>
      <c r="IE247" s="671"/>
      <c r="IF247" s="671"/>
      <c r="IG247" s="671"/>
      <c r="IH247" s="671"/>
      <c r="II247" s="671"/>
      <c r="IJ247" s="671"/>
      <c r="IK247" s="671"/>
      <c r="IL247" s="671"/>
      <c r="IM247" s="671"/>
      <c r="IN247" s="671"/>
      <c r="IO247" s="671"/>
      <c r="IP247" s="671"/>
      <c r="IQ247" s="671"/>
      <c r="IR247" s="671"/>
      <c r="IS247" s="671"/>
      <c r="IT247" s="671"/>
      <c r="IU247" s="671"/>
      <c r="IV247" s="671"/>
      <c r="IW247" s="671"/>
      <c r="IX247" s="671"/>
      <c r="IY247" s="671"/>
      <c r="IZ247" s="671"/>
      <c r="JA247" s="671"/>
      <c r="JB247" s="671"/>
      <c r="JC247" s="671"/>
      <c r="JD247" s="671"/>
      <c r="JE247" s="671"/>
      <c r="JF247" s="671"/>
      <c r="JG247" s="671"/>
      <c r="JH247" s="671"/>
      <c r="JI247" s="671"/>
      <c r="JJ247" s="671"/>
      <c r="JK247" s="671"/>
      <c r="JL247" s="671"/>
      <c r="JM247" s="671"/>
      <c r="JN247" s="671"/>
      <c r="JO247" s="671"/>
      <c r="JP247" s="671"/>
      <c r="JQ247" s="671"/>
      <c r="JR247" s="671"/>
      <c r="JS247" s="671"/>
      <c r="JT247" s="671"/>
      <c r="JU247" s="671"/>
      <c r="JV247" s="671"/>
      <c r="JW247" s="671"/>
      <c r="JX247" s="671"/>
      <c r="JY247" s="671"/>
      <c r="JZ247" s="671"/>
      <c r="KA247" s="671"/>
      <c r="KB247" s="671"/>
      <c r="KC247" s="671"/>
      <c r="KD247" s="671"/>
      <c r="KE247" s="671"/>
      <c r="KF247" s="671"/>
      <c r="KG247" s="671"/>
      <c r="KH247" s="671"/>
      <c r="KI247" s="671"/>
      <c r="KJ247" s="671"/>
      <c r="KL247" s="669"/>
      <c r="KM247" s="669"/>
      <c r="KQ247" s="672"/>
      <c r="KR247" s="673"/>
      <c r="KS247" s="672"/>
      <c r="KT247" s="673"/>
      <c r="KU247" s="672"/>
      <c r="KV247" s="673"/>
      <c r="KW247" s="672"/>
      <c r="KX247" s="673"/>
      <c r="KY247" s="672"/>
      <c r="KZ247" s="673"/>
    </row>
    <row r="248" s="628" customFormat="1" spans="2:312">
      <c r="B248" s="659"/>
      <c r="C248" s="662"/>
      <c r="E248" s="665"/>
      <c r="F248" s="665"/>
      <c r="G248" s="666"/>
      <c r="H248" s="666"/>
      <c r="I248" s="667"/>
      <c r="J248" s="667"/>
      <c r="K248" s="667"/>
      <c r="L248" s="667"/>
      <c r="M248" s="667"/>
      <c r="N248" s="667"/>
      <c r="O248" s="667"/>
      <c r="P248" s="667"/>
      <c r="Q248" s="667"/>
      <c r="R248" s="667"/>
      <c r="S248" s="667"/>
      <c r="T248" s="667"/>
      <c r="U248" s="667"/>
      <c r="V248" s="667"/>
      <c r="W248" s="667"/>
      <c r="X248" s="667"/>
      <c r="Y248" s="667"/>
      <c r="Z248" s="667"/>
      <c r="AA248" s="667"/>
      <c r="AB248" s="667"/>
      <c r="FJ248" s="668"/>
      <c r="FK248" s="668"/>
      <c r="FL248" s="668"/>
      <c r="FM248" s="668"/>
      <c r="FN248" s="668"/>
      <c r="FO248" s="668"/>
      <c r="FV248" s="669"/>
      <c r="FZ248" s="669"/>
      <c r="GA248" s="669"/>
      <c r="GB248" s="669"/>
      <c r="GC248" s="669"/>
      <c r="GD248" s="665"/>
      <c r="GF248" s="669"/>
      <c r="GG248" s="669"/>
      <c r="GH248" s="669"/>
      <c r="GI248" s="669"/>
      <c r="GJ248" s="669"/>
      <c r="GK248" s="669"/>
      <c r="GL248" s="669"/>
      <c r="GM248" s="669"/>
      <c r="GN248" s="669"/>
      <c r="GO248" s="669"/>
      <c r="GP248" s="669"/>
      <c r="GQ248" s="669"/>
      <c r="GR248" s="669"/>
      <c r="GS248" s="669"/>
      <c r="GT248" s="669"/>
      <c r="GU248" s="669"/>
      <c r="GV248" s="669"/>
      <c r="GW248" s="669"/>
      <c r="GX248" s="669"/>
      <c r="GY248" s="669"/>
      <c r="GZ248" s="669"/>
      <c r="HA248" s="669"/>
      <c r="HB248" s="669"/>
      <c r="HC248" s="669"/>
      <c r="HD248" s="669"/>
      <c r="HE248" s="669"/>
      <c r="HF248" s="669"/>
      <c r="HG248" s="669"/>
      <c r="HH248" s="670"/>
      <c r="HI248" s="670"/>
      <c r="HJ248" s="671"/>
      <c r="HK248" s="669"/>
      <c r="HL248" s="665"/>
      <c r="HM248" s="665"/>
      <c r="HP248" s="670"/>
      <c r="HQ248" s="671"/>
      <c r="HR248" s="671"/>
      <c r="HS248" s="671"/>
      <c r="HT248" s="671"/>
      <c r="HU248" s="671"/>
      <c r="HV248" s="671"/>
      <c r="HW248" s="671"/>
      <c r="HX248" s="671"/>
      <c r="HY248" s="671"/>
      <c r="HZ248" s="671"/>
      <c r="IA248" s="671"/>
      <c r="IB248" s="671"/>
      <c r="IC248" s="671"/>
      <c r="ID248" s="671"/>
      <c r="IE248" s="671"/>
      <c r="IF248" s="671"/>
      <c r="IG248" s="671"/>
      <c r="IH248" s="671"/>
      <c r="II248" s="671"/>
      <c r="IJ248" s="671"/>
      <c r="IK248" s="671"/>
      <c r="IL248" s="671"/>
      <c r="IM248" s="671"/>
      <c r="IN248" s="671"/>
      <c r="IO248" s="671"/>
      <c r="IP248" s="671"/>
      <c r="IQ248" s="671"/>
      <c r="IR248" s="671"/>
      <c r="IS248" s="671"/>
      <c r="IT248" s="671"/>
      <c r="IU248" s="671"/>
      <c r="IV248" s="671"/>
      <c r="IW248" s="671"/>
      <c r="IX248" s="671"/>
      <c r="IY248" s="671"/>
      <c r="IZ248" s="671"/>
      <c r="JA248" s="671"/>
      <c r="JB248" s="671"/>
      <c r="JC248" s="671"/>
      <c r="JD248" s="671"/>
      <c r="JE248" s="671"/>
      <c r="JF248" s="671"/>
      <c r="JG248" s="671"/>
      <c r="JH248" s="671"/>
      <c r="JI248" s="671"/>
      <c r="JJ248" s="671"/>
      <c r="JK248" s="671"/>
      <c r="JL248" s="671"/>
      <c r="JM248" s="671"/>
      <c r="JN248" s="671"/>
      <c r="JO248" s="671"/>
      <c r="JP248" s="671"/>
      <c r="JQ248" s="671"/>
      <c r="JR248" s="671"/>
      <c r="JS248" s="671"/>
      <c r="JT248" s="671"/>
      <c r="JU248" s="671"/>
      <c r="JV248" s="671"/>
      <c r="JW248" s="671"/>
      <c r="JX248" s="671"/>
      <c r="JY248" s="671"/>
      <c r="JZ248" s="671"/>
      <c r="KA248" s="671"/>
      <c r="KB248" s="671"/>
      <c r="KC248" s="671"/>
      <c r="KD248" s="671"/>
      <c r="KE248" s="671"/>
      <c r="KF248" s="671"/>
      <c r="KG248" s="671"/>
      <c r="KH248" s="671"/>
      <c r="KI248" s="671"/>
      <c r="KJ248" s="671"/>
      <c r="KL248" s="669"/>
      <c r="KM248" s="669"/>
      <c r="KQ248" s="672"/>
      <c r="KR248" s="673"/>
      <c r="KS248" s="672"/>
      <c r="KT248" s="673"/>
      <c r="KU248" s="672"/>
      <c r="KV248" s="673"/>
      <c r="KW248" s="672"/>
      <c r="KX248" s="673"/>
      <c r="KY248" s="672"/>
      <c r="KZ248" s="673"/>
    </row>
    <row r="249" s="628" customFormat="1" spans="2:312">
      <c r="B249" s="659"/>
      <c r="C249" s="662"/>
      <c r="E249" s="665"/>
      <c r="F249" s="665"/>
      <c r="G249" s="666"/>
      <c r="H249" s="666"/>
      <c r="I249" s="667"/>
      <c r="J249" s="667"/>
      <c r="K249" s="667"/>
      <c r="L249" s="667"/>
      <c r="M249" s="667"/>
      <c r="N249" s="667"/>
      <c r="O249" s="667"/>
      <c r="P249" s="667"/>
      <c r="Q249" s="667"/>
      <c r="R249" s="667"/>
      <c r="S249" s="667"/>
      <c r="T249" s="667"/>
      <c r="U249" s="667"/>
      <c r="V249" s="667"/>
      <c r="W249" s="667"/>
      <c r="X249" s="667"/>
      <c r="Y249" s="667"/>
      <c r="Z249" s="667"/>
      <c r="AA249" s="667"/>
      <c r="AB249" s="667"/>
      <c r="FJ249" s="668"/>
      <c r="FK249" s="668"/>
      <c r="FL249" s="668"/>
      <c r="FM249" s="668"/>
      <c r="FN249" s="668"/>
      <c r="FO249" s="668"/>
      <c r="FV249" s="669"/>
      <c r="FZ249" s="669"/>
      <c r="GA249" s="669"/>
      <c r="GB249" s="669"/>
      <c r="GC249" s="669"/>
      <c r="GD249" s="665"/>
      <c r="GF249" s="669"/>
      <c r="GG249" s="669"/>
      <c r="GH249" s="669"/>
      <c r="GI249" s="669"/>
      <c r="GJ249" s="669"/>
      <c r="GK249" s="669"/>
      <c r="GL249" s="669"/>
      <c r="GM249" s="669"/>
      <c r="GN249" s="669"/>
      <c r="GO249" s="669"/>
      <c r="GP249" s="669"/>
      <c r="GQ249" s="669"/>
      <c r="GR249" s="669"/>
      <c r="GS249" s="669"/>
      <c r="GT249" s="669"/>
      <c r="GU249" s="669"/>
      <c r="GV249" s="669"/>
      <c r="GW249" s="669"/>
      <c r="GX249" s="669"/>
      <c r="GY249" s="669"/>
      <c r="GZ249" s="669"/>
      <c r="HA249" s="669"/>
      <c r="HB249" s="669"/>
      <c r="HC249" s="669"/>
      <c r="HD249" s="669"/>
      <c r="HE249" s="669"/>
      <c r="HF249" s="669"/>
      <c r="HG249" s="669"/>
      <c r="HH249" s="670"/>
      <c r="HI249" s="670"/>
      <c r="HJ249" s="671"/>
      <c r="HK249" s="669"/>
      <c r="HL249" s="665"/>
      <c r="HM249" s="665"/>
      <c r="HP249" s="670"/>
      <c r="HQ249" s="671"/>
      <c r="HR249" s="671"/>
      <c r="HS249" s="671"/>
      <c r="HT249" s="671"/>
      <c r="HU249" s="671"/>
      <c r="HV249" s="671"/>
      <c r="HW249" s="671"/>
      <c r="HX249" s="671"/>
      <c r="HY249" s="671"/>
      <c r="HZ249" s="671"/>
      <c r="IA249" s="671"/>
      <c r="IB249" s="671"/>
      <c r="IC249" s="671"/>
      <c r="ID249" s="671"/>
      <c r="IE249" s="671"/>
      <c r="IF249" s="671"/>
      <c r="IG249" s="671"/>
      <c r="IH249" s="671"/>
      <c r="II249" s="671"/>
      <c r="IJ249" s="671"/>
      <c r="IK249" s="671"/>
      <c r="IL249" s="671"/>
      <c r="IM249" s="671"/>
      <c r="IN249" s="671"/>
      <c r="IO249" s="671"/>
      <c r="IP249" s="671"/>
      <c r="IQ249" s="671"/>
      <c r="IR249" s="671"/>
      <c r="IS249" s="671"/>
      <c r="IT249" s="671"/>
      <c r="IU249" s="671"/>
      <c r="IV249" s="671"/>
      <c r="IW249" s="671"/>
      <c r="IX249" s="671"/>
      <c r="IY249" s="671"/>
      <c r="IZ249" s="671"/>
      <c r="JA249" s="671"/>
      <c r="JB249" s="671"/>
      <c r="JC249" s="671"/>
      <c r="JD249" s="671"/>
      <c r="JE249" s="671"/>
      <c r="JF249" s="671"/>
      <c r="JG249" s="671"/>
      <c r="JH249" s="671"/>
      <c r="JI249" s="671"/>
      <c r="JJ249" s="671"/>
      <c r="JK249" s="671"/>
      <c r="JL249" s="671"/>
      <c r="JM249" s="671"/>
      <c r="JN249" s="671"/>
      <c r="JO249" s="671"/>
      <c r="JP249" s="671"/>
      <c r="JQ249" s="671"/>
      <c r="JR249" s="671"/>
      <c r="JS249" s="671"/>
      <c r="JT249" s="671"/>
      <c r="JU249" s="671"/>
      <c r="JV249" s="671"/>
      <c r="JW249" s="671"/>
      <c r="JX249" s="671"/>
      <c r="JY249" s="671"/>
      <c r="JZ249" s="671"/>
      <c r="KA249" s="671"/>
      <c r="KB249" s="671"/>
      <c r="KC249" s="671"/>
      <c r="KD249" s="671"/>
      <c r="KE249" s="671"/>
      <c r="KF249" s="671"/>
      <c r="KG249" s="671"/>
      <c r="KH249" s="671"/>
      <c r="KI249" s="671"/>
      <c r="KJ249" s="671"/>
      <c r="KL249" s="669"/>
      <c r="KM249" s="669"/>
      <c r="KQ249" s="672"/>
      <c r="KR249" s="673"/>
      <c r="KS249" s="672"/>
      <c r="KT249" s="673"/>
      <c r="KU249" s="672"/>
      <c r="KV249" s="673"/>
      <c r="KW249" s="672"/>
      <c r="KX249" s="673"/>
      <c r="KY249" s="672"/>
      <c r="KZ249" s="673"/>
    </row>
    <row r="250" s="628" customFormat="1" spans="2:312">
      <c r="B250" s="659"/>
      <c r="C250" s="662"/>
      <c r="E250" s="665"/>
      <c r="F250" s="665"/>
      <c r="G250" s="666"/>
      <c r="H250" s="666"/>
      <c r="I250" s="667"/>
      <c r="J250" s="667"/>
      <c r="K250" s="667"/>
      <c r="L250" s="667"/>
      <c r="M250" s="667"/>
      <c r="N250" s="667"/>
      <c r="O250" s="667"/>
      <c r="P250" s="667"/>
      <c r="Q250" s="667"/>
      <c r="R250" s="667"/>
      <c r="S250" s="667"/>
      <c r="T250" s="667"/>
      <c r="U250" s="667"/>
      <c r="V250" s="667"/>
      <c r="W250" s="667"/>
      <c r="X250" s="667"/>
      <c r="Y250" s="667"/>
      <c r="Z250" s="667"/>
      <c r="AA250" s="667"/>
      <c r="AB250" s="667"/>
      <c r="FJ250" s="668"/>
      <c r="FK250" s="668"/>
      <c r="FL250" s="668"/>
      <c r="FM250" s="668"/>
      <c r="FN250" s="668"/>
      <c r="FO250" s="668"/>
      <c r="FV250" s="669"/>
      <c r="FZ250" s="669"/>
      <c r="GA250" s="669"/>
      <c r="GB250" s="669"/>
      <c r="GC250" s="669"/>
      <c r="GD250" s="665"/>
      <c r="GF250" s="669"/>
      <c r="GG250" s="669"/>
      <c r="GH250" s="669"/>
      <c r="GI250" s="669"/>
      <c r="GJ250" s="669"/>
      <c r="GK250" s="669"/>
      <c r="GL250" s="669"/>
      <c r="GM250" s="669"/>
      <c r="GN250" s="669"/>
      <c r="GO250" s="669"/>
      <c r="GP250" s="669"/>
      <c r="GQ250" s="669"/>
      <c r="GR250" s="669"/>
      <c r="GS250" s="669"/>
      <c r="GT250" s="669"/>
      <c r="GU250" s="669"/>
      <c r="GV250" s="669"/>
      <c r="GW250" s="669"/>
      <c r="GX250" s="669"/>
      <c r="GY250" s="669"/>
      <c r="GZ250" s="669"/>
      <c r="HA250" s="669"/>
      <c r="HB250" s="669"/>
      <c r="HC250" s="669"/>
      <c r="HD250" s="669"/>
      <c r="HE250" s="669"/>
      <c r="HF250" s="669"/>
      <c r="HG250" s="669"/>
      <c r="HH250" s="670"/>
      <c r="HI250" s="670"/>
      <c r="HJ250" s="671"/>
      <c r="HK250" s="669"/>
      <c r="HL250" s="665"/>
      <c r="HM250" s="665"/>
      <c r="HP250" s="670"/>
      <c r="HQ250" s="671"/>
      <c r="HR250" s="671"/>
      <c r="HS250" s="671"/>
      <c r="HT250" s="671"/>
      <c r="HU250" s="671"/>
      <c r="HV250" s="671"/>
      <c r="HW250" s="671"/>
      <c r="HX250" s="671"/>
      <c r="HY250" s="671"/>
      <c r="HZ250" s="671"/>
      <c r="IA250" s="671"/>
      <c r="IB250" s="671"/>
      <c r="IC250" s="671"/>
      <c r="ID250" s="671"/>
      <c r="IE250" s="671"/>
      <c r="IF250" s="671"/>
      <c r="IG250" s="671"/>
      <c r="IH250" s="671"/>
      <c r="II250" s="671"/>
      <c r="IJ250" s="671"/>
      <c r="IK250" s="671"/>
      <c r="IL250" s="671"/>
      <c r="IM250" s="671"/>
      <c r="IN250" s="671"/>
      <c r="IO250" s="671"/>
      <c r="IP250" s="671"/>
      <c r="IQ250" s="671"/>
      <c r="IR250" s="671"/>
      <c r="IS250" s="671"/>
      <c r="IT250" s="671"/>
      <c r="IU250" s="671"/>
      <c r="IV250" s="671"/>
      <c r="IW250" s="671"/>
      <c r="IX250" s="671"/>
      <c r="IY250" s="671"/>
      <c r="IZ250" s="671"/>
      <c r="JA250" s="671"/>
      <c r="JB250" s="671"/>
      <c r="JC250" s="671"/>
      <c r="JD250" s="671"/>
      <c r="JE250" s="671"/>
      <c r="JF250" s="671"/>
      <c r="JG250" s="671"/>
      <c r="JH250" s="671"/>
      <c r="JI250" s="671"/>
      <c r="JJ250" s="671"/>
      <c r="JK250" s="671"/>
      <c r="JL250" s="671"/>
      <c r="JM250" s="671"/>
      <c r="JN250" s="671"/>
      <c r="JO250" s="671"/>
      <c r="JP250" s="671"/>
      <c r="JQ250" s="671"/>
      <c r="JR250" s="671"/>
      <c r="JS250" s="671"/>
      <c r="JT250" s="671"/>
      <c r="JU250" s="671"/>
      <c r="JV250" s="671"/>
      <c r="JW250" s="671"/>
      <c r="JX250" s="671"/>
      <c r="JY250" s="671"/>
      <c r="JZ250" s="671"/>
      <c r="KA250" s="671"/>
      <c r="KB250" s="671"/>
      <c r="KC250" s="671"/>
      <c r="KD250" s="671"/>
      <c r="KE250" s="671"/>
      <c r="KF250" s="671"/>
      <c r="KG250" s="671"/>
      <c r="KH250" s="671"/>
      <c r="KI250" s="671"/>
      <c r="KJ250" s="671"/>
      <c r="KL250" s="669"/>
      <c r="KM250" s="669"/>
      <c r="KQ250" s="672"/>
      <c r="KR250" s="673"/>
      <c r="KS250" s="672"/>
      <c r="KT250" s="673"/>
      <c r="KU250" s="672"/>
      <c r="KV250" s="673"/>
      <c r="KW250" s="672"/>
      <c r="KX250" s="673"/>
      <c r="KY250" s="672"/>
      <c r="KZ250" s="673"/>
    </row>
    <row r="251" s="628" customFormat="1" spans="2:312">
      <c r="B251" s="659"/>
      <c r="C251" s="662"/>
      <c r="E251" s="665"/>
      <c r="F251" s="665"/>
      <c r="G251" s="666"/>
      <c r="H251" s="666"/>
      <c r="I251" s="667"/>
      <c r="J251" s="667"/>
      <c r="K251" s="667"/>
      <c r="L251" s="667"/>
      <c r="M251" s="667"/>
      <c r="N251" s="667"/>
      <c r="O251" s="667"/>
      <c r="P251" s="667"/>
      <c r="Q251" s="667"/>
      <c r="R251" s="667"/>
      <c r="S251" s="667"/>
      <c r="T251" s="667"/>
      <c r="U251" s="667"/>
      <c r="V251" s="667"/>
      <c r="W251" s="667"/>
      <c r="X251" s="667"/>
      <c r="Y251" s="667"/>
      <c r="Z251" s="667"/>
      <c r="AA251" s="667"/>
      <c r="AB251" s="667"/>
      <c r="FJ251" s="668"/>
      <c r="FK251" s="668"/>
      <c r="FL251" s="668"/>
      <c r="FM251" s="668"/>
      <c r="FN251" s="668"/>
      <c r="FO251" s="668"/>
      <c r="FV251" s="669"/>
      <c r="FZ251" s="669"/>
      <c r="GA251" s="669"/>
      <c r="GB251" s="669"/>
      <c r="GC251" s="669"/>
      <c r="GD251" s="665"/>
      <c r="GF251" s="669"/>
      <c r="GG251" s="669"/>
      <c r="GH251" s="669"/>
      <c r="GI251" s="669"/>
      <c r="GJ251" s="669"/>
      <c r="GK251" s="669"/>
      <c r="GL251" s="669"/>
      <c r="GM251" s="669"/>
      <c r="GN251" s="669"/>
      <c r="GO251" s="669"/>
      <c r="GP251" s="669"/>
      <c r="GQ251" s="669"/>
      <c r="GR251" s="669"/>
      <c r="GS251" s="669"/>
      <c r="GT251" s="669"/>
      <c r="GU251" s="669"/>
      <c r="GV251" s="669"/>
      <c r="GW251" s="669"/>
      <c r="GX251" s="669"/>
      <c r="GY251" s="669"/>
      <c r="GZ251" s="669"/>
      <c r="HA251" s="669"/>
      <c r="HB251" s="669"/>
      <c r="HC251" s="669"/>
      <c r="HD251" s="669"/>
      <c r="HE251" s="669"/>
      <c r="HF251" s="669"/>
      <c r="HG251" s="669"/>
      <c r="HH251" s="670"/>
      <c r="HI251" s="670"/>
      <c r="HJ251" s="671"/>
      <c r="HK251" s="669"/>
      <c r="HL251" s="665"/>
      <c r="HM251" s="665"/>
      <c r="HP251" s="670"/>
      <c r="HQ251" s="671"/>
      <c r="HR251" s="671"/>
      <c r="HS251" s="671"/>
      <c r="HT251" s="671"/>
      <c r="HU251" s="671"/>
      <c r="HV251" s="671"/>
      <c r="HW251" s="671"/>
      <c r="HX251" s="671"/>
      <c r="HY251" s="671"/>
      <c r="HZ251" s="671"/>
      <c r="IA251" s="671"/>
      <c r="IB251" s="671"/>
      <c r="IC251" s="671"/>
      <c r="ID251" s="671"/>
      <c r="IE251" s="671"/>
      <c r="IF251" s="671"/>
      <c r="IG251" s="671"/>
      <c r="IH251" s="671"/>
      <c r="II251" s="671"/>
      <c r="IJ251" s="671"/>
      <c r="IK251" s="671"/>
      <c r="IL251" s="671"/>
      <c r="IM251" s="671"/>
      <c r="IN251" s="671"/>
      <c r="IO251" s="671"/>
      <c r="IP251" s="671"/>
      <c r="IQ251" s="671"/>
      <c r="IR251" s="671"/>
      <c r="IS251" s="671"/>
      <c r="IT251" s="671"/>
      <c r="IU251" s="671"/>
      <c r="IV251" s="671"/>
      <c r="IW251" s="671"/>
      <c r="IX251" s="671"/>
      <c r="IY251" s="671"/>
      <c r="IZ251" s="671"/>
      <c r="JA251" s="671"/>
      <c r="JB251" s="671"/>
      <c r="JC251" s="671"/>
      <c r="JD251" s="671"/>
      <c r="JE251" s="671"/>
      <c r="JF251" s="671"/>
      <c r="JG251" s="671"/>
      <c r="JH251" s="671"/>
      <c r="JI251" s="671"/>
      <c r="JJ251" s="671"/>
      <c r="JK251" s="671"/>
      <c r="JL251" s="671"/>
      <c r="JM251" s="671"/>
      <c r="JN251" s="671"/>
      <c r="JO251" s="671"/>
      <c r="JP251" s="671"/>
      <c r="JQ251" s="671"/>
      <c r="JR251" s="671"/>
      <c r="JS251" s="671"/>
      <c r="JT251" s="671"/>
      <c r="JU251" s="671"/>
      <c r="JV251" s="671"/>
      <c r="JW251" s="671"/>
      <c r="JX251" s="671"/>
      <c r="JY251" s="671"/>
      <c r="JZ251" s="671"/>
      <c r="KA251" s="671"/>
      <c r="KB251" s="671"/>
      <c r="KC251" s="671"/>
      <c r="KD251" s="671"/>
      <c r="KE251" s="671"/>
      <c r="KF251" s="671"/>
      <c r="KG251" s="671"/>
      <c r="KH251" s="671"/>
      <c r="KI251" s="671"/>
      <c r="KJ251" s="671"/>
      <c r="KL251" s="669"/>
      <c r="KM251" s="669"/>
      <c r="KQ251" s="672"/>
      <c r="KR251" s="673"/>
      <c r="KS251" s="672"/>
      <c r="KT251" s="673"/>
      <c r="KU251" s="672"/>
      <c r="KV251" s="673"/>
      <c r="KW251" s="672"/>
      <c r="KX251" s="673"/>
      <c r="KY251" s="672"/>
      <c r="KZ251" s="673"/>
    </row>
    <row r="252" s="628" customFormat="1" spans="2:312">
      <c r="B252" s="659"/>
      <c r="C252" s="662"/>
      <c r="E252" s="665"/>
      <c r="F252" s="665"/>
      <c r="G252" s="666"/>
      <c r="H252" s="666"/>
      <c r="I252" s="667"/>
      <c r="J252" s="667"/>
      <c r="K252" s="667"/>
      <c r="L252" s="667"/>
      <c r="M252" s="667"/>
      <c r="N252" s="667"/>
      <c r="O252" s="667"/>
      <c r="P252" s="667"/>
      <c r="Q252" s="667"/>
      <c r="R252" s="667"/>
      <c r="S252" s="667"/>
      <c r="T252" s="667"/>
      <c r="U252" s="667"/>
      <c r="V252" s="667"/>
      <c r="W252" s="667"/>
      <c r="X252" s="667"/>
      <c r="Y252" s="667"/>
      <c r="Z252" s="667"/>
      <c r="AA252" s="667"/>
      <c r="AB252" s="667"/>
      <c r="FJ252" s="668"/>
      <c r="FK252" s="668"/>
      <c r="FL252" s="668"/>
      <c r="FM252" s="668"/>
      <c r="FN252" s="668"/>
      <c r="FO252" s="668"/>
      <c r="FV252" s="669"/>
      <c r="FZ252" s="669"/>
      <c r="GA252" s="669"/>
      <c r="GB252" s="669"/>
      <c r="GC252" s="669"/>
      <c r="GD252" s="665"/>
      <c r="GF252" s="669"/>
      <c r="GG252" s="669"/>
      <c r="GH252" s="669"/>
      <c r="GI252" s="669"/>
      <c r="GJ252" s="669"/>
      <c r="GK252" s="669"/>
      <c r="GL252" s="669"/>
      <c r="GM252" s="669"/>
      <c r="GN252" s="669"/>
      <c r="GO252" s="669"/>
      <c r="GP252" s="669"/>
      <c r="GQ252" s="669"/>
      <c r="GR252" s="669"/>
      <c r="GS252" s="669"/>
      <c r="GT252" s="669"/>
      <c r="GU252" s="669"/>
      <c r="GV252" s="669"/>
      <c r="GW252" s="669"/>
      <c r="GX252" s="669"/>
      <c r="GY252" s="669"/>
      <c r="GZ252" s="669"/>
      <c r="HA252" s="669"/>
      <c r="HB252" s="669"/>
      <c r="HC252" s="669"/>
      <c r="HD252" s="669"/>
      <c r="HE252" s="669"/>
      <c r="HF252" s="669"/>
      <c r="HG252" s="669"/>
      <c r="HH252" s="670"/>
      <c r="HI252" s="670"/>
      <c r="HJ252" s="671"/>
      <c r="HK252" s="669"/>
      <c r="HL252" s="665"/>
      <c r="HM252" s="665"/>
      <c r="HP252" s="670"/>
      <c r="HQ252" s="671"/>
      <c r="HR252" s="671"/>
      <c r="HS252" s="671"/>
      <c r="HT252" s="671"/>
      <c r="HU252" s="671"/>
      <c r="HV252" s="671"/>
      <c r="HW252" s="671"/>
      <c r="HX252" s="671"/>
      <c r="HY252" s="671"/>
      <c r="HZ252" s="671"/>
      <c r="IA252" s="671"/>
      <c r="IB252" s="671"/>
      <c r="IC252" s="671"/>
      <c r="ID252" s="671"/>
      <c r="IE252" s="671"/>
      <c r="IF252" s="671"/>
      <c r="IG252" s="671"/>
      <c r="IH252" s="671"/>
      <c r="II252" s="671"/>
      <c r="IJ252" s="671"/>
      <c r="IK252" s="671"/>
      <c r="IL252" s="671"/>
      <c r="IM252" s="671"/>
      <c r="IN252" s="671"/>
      <c r="IO252" s="671"/>
      <c r="IP252" s="671"/>
      <c r="IQ252" s="671"/>
      <c r="IR252" s="671"/>
      <c r="IS252" s="671"/>
      <c r="IT252" s="671"/>
      <c r="IU252" s="671"/>
      <c r="IV252" s="671"/>
      <c r="IW252" s="671"/>
      <c r="IX252" s="671"/>
      <c r="IY252" s="671"/>
      <c r="IZ252" s="671"/>
      <c r="JA252" s="671"/>
      <c r="JB252" s="671"/>
      <c r="JC252" s="671"/>
      <c r="JD252" s="671"/>
      <c r="JE252" s="671"/>
      <c r="JF252" s="671"/>
      <c r="JG252" s="671"/>
      <c r="JH252" s="671"/>
      <c r="JI252" s="671"/>
      <c r="JJ252" s="671"/>
      <c r="JK252" s="671"/>
      <c r="JL252" s="671"/>
      <c r="JM252" s="671"/>
      <c r="JN252" s="671"/>
      <c r="JO252" s="671"/>
      <c r="JP252" s="671"/>
      <c r="JQ252" s="671"/>
      <c r="JR252" s="671"/>
      <c r="JS252" s="671"/>
      <c r="JT252" s="671"/>
      <c r="JU252" s="671"/>
      <c r="JV252" s="671"/>
      <c r="JW252" s="671"/>
      <c r="JX252" s="671"/>
      <c r="JY252" s="671"/>
      <c r="JZ252" s="671"/>
      <c r="KA252" s="671"/>
      <c r="KB252" s="671"/>
      <c r="KC252" s="671"/>
      <c r="KD252" s="671"/>
      <c r="KE252" s="671"/>
      <c r="KF252" s="671"/>
      <c r="KG252" s="671"/>
      <c r="KH252" s="671"/>
      <c r="KI252" s="671"/>
      <c r="KJ252" s="671"/>
      <c r="KL252" s="669"/>
      <c r="KM252" s="669"/>
      <c r="KQ252" s="672"/>
      <c r="KR252" s="673"/>
      <c r="KS252" s="672"/>
      <c r="KT252" s="673"/>
      <c r="KU252" s="672"/>
      <c r="KV252" s="673"/>
      <c r="KW252" s="672"/>
      <c r="KX252" s="673"/>
      <c r="KY252" s="672"/>
      <c r="KZ252" s="673"/>
    </row>
    <row r="253" s="628" customFormat="1" spans="2:312">
      <c r="B253" s="659"/>
      <c r="C253" s="662"/>
      <c r="E253" s="665"/>
      <c r="F253" s="665"/>
      <c r="G253" s="666"/>
      <c r="H253" s="666"/>
      <c r="I253" s="667"/>
      <c r="J253" s="667"/>
      <c r="K253" s="667"/>
      <c r="L253" s="667"/>
      <c r="M253" s="667"/>
      <c r="N253" s="667"/>
      <c r="O253" s="667"/>
      <c r="P253" s="667"/>
      <c r="Q253" s="667"/>
      <c r="R253" s="667"/>
      <c r="S253" s="667"/>
      <c r="T253" s="667"/>
      <c r="U253" s="667"/>
      <c r="V253" s="667"/>
      <c r="W253" s="667"/>
      <c r="X253" s="667"/>
      <c r="Y253" s="667"/>
      <c r="Z253" s="667"/>
      <c r="AA253" s="667"/>
      <c r="AB253" s="667"/>
      <c r="FJ253" s="668"/>
      <c r="FK253" s="668"/>
      <c r="FL253" s="668"/>
      <c r="FM253" s="668"/>
      <c r="FN253" s="668"/>
      <c r="FO253" s="668"/>
      <c r="FV253" s="669"/>
      <c r="FZ253" s="669"/>
      <c r="GA253" s="669"/>
      <c r="GB253" s="669"/>
      <c r="GC253" s="669"/>
      <c r="GD253" s="665"/>
      <c r="GF253" s="669"/>
      <c r="GG253" s="669"/>
      <c r="GH253" s="669"/>
      <c r="GI253" s="669"/>
      <c r="GJ253" s="669"/>
      <c r="GK253" s="669"/>
      <c r="GL253" s="669"/>
      <c r="GM253" s="669"/>
      <c r="GN253" s="669"/>
      <c r="GO253" s="669"/>
      <c r="GP253" s="669"/>
      <c r="GQ253" s="669"/>
      <c r="GR253" s="669"/>
      <c r="GS253" s="669"/>
      <c r="GT253" s="669"/>
      <c r="GU253" s="669"/>
      <c r="GV253" s="669"/>
      <c r="GW253" s="669"/>
      <c r="GX253" s="669"/>
      <c r="GY253" s="669"/>
      <c r="GZ253" s="669"/>
      <c r="HA253" s="669"/>
      <c r="HB253" s="669"/>
      <c r="HC253" s="669"/>
      <c r="HD253" s="669"/>
      <c r="HE253" s="669"/>
      <c r="HF253" s="669"/>
      <c r="HG253" s="669"/>
      <c r="HH253" s="670"/>
      <c r="HI253" s="670"/>
      <c r="HJ253" s="671"/>
      <c r="HK253" s="669"/>
      <c r="HL253" s="665"/>
      <c r="HM253" s="665"/>
      <c r="HP253" s="670"/>
      <c r="HQ253" s="671"/>
      <c r="HR253" s="671"/>
      <c r="HS253" s="671"/>
      <c r="HT253" s="671"/>
      <c r="HU253" s="671"/>
      <c r="HV253" s="671"/>
      <c r="HW253" s="671"/>
      <c r="HX253" s="671"/>
      <c r="HY253" s="671"/>
      <c r="HZ253" s="671"/>
      <c r="IA253" s="671"/>
      <c r="IB253" s="671"/>
      <c r="IC253" s="671"/>
      <c r="ID253" s="671"/>
      <c r="IE253" s="671"/>
      <c r="IF253" s="671"/>
      <c r="IG253" s="671"/>
      <c r="IH253" s="671"/>
      <c r="II253" s="671"/>
      <c r="IJ253" s="671"/>
      <c r="IK253" s="671"/>
      <c r="IL253" s="671"/>
      <c r="IM253" s="671"/>
      <c r="IN253" s="671"/>
      <c r="IO253" s="671"/>
      <c r="IP253" s="671"/>
      <c r="IQ253" s="671"/>
      <c r="IR253" s="671"/>
      <c r="IS253" s="671"/>
      <c r="IT253" s="671"/>
      <c r="IU253" s="671"/>
      <c r="IV253" s="671"/>
      <c r="IW253" s="671"/>
      <c r="IX253" s="671"/>
      <c r="IY253" s="671"/>
      <c r="IZ253" s="671"/>
      <c r="JA253" s="671"/>
      <c r="JB253" s="671"/>
      <c r="JC253" s="671"/>
      <c r="JD253" s="671"/>
      <c r="JE253" s="671"/>
      <c r="JF253" s="671"/>
      <c r="JG253" s="671"/>
      <c r="JH253" s="671"/>
      <c r="JI253" s="671"/>
      <c r="JJ253" s="671"/>
      <c r="JK253" s="671"/>
      <c r="JL253" s="671"/>
      <c r="JM253" s="671"/>
      <c r="JN253" s="671"/>
      <c r="JO253" s="671"/>
      <c r="JP253" s="671"/>
      <c r="JQ253" s="671"/>
      <c r="JR253" s="671"/>
      <c r="JS253" s="671"/>
      <c r="JT253" s="671"/>
      <c r="JU253" s="671"/>
      <c r="JV253" s="671"/>
      <c r="JW253" s="671"/>
      <c r="JX253" s="671"/>
      <c r="JY253" s="671"/>
      <c r="JZ253" s="671"/>
      <c r="KA253" s="671"/>
      <c r="KB253" s="671"/>
      <c r="KC253" s="671"/>
      <c r="KD253" s="671"/>
      <c r="KE253" s="671"/>
      <c r="KF253" s="671"/>
      <c r="KG253" s="671"/>
      <c r="KH253" s="671"/>
      <c r="KI253" s="671"/>
      <c r="KJ253" s="671"/>
      <c r="KL253" s="669"/>
      <c r="KM253" s="669"/>
      <c r="KQ253" s="672"/>
      <c r="KR253" s="673"/>
      <c r="KS253" s="672"/>
      <c r="KT253" s="673"/>
      <c r="KU253" s="672"/>
      <c r="KV253" s="673"/>
      <c r="KW253" s="672"/>
      <c r="KX253" s="673"/>
      <c r="KY253" s="672"/>
      <c r="KZ253" s="673"/>
    </row>
    <row r="254" s="628" customFormat="1" spans="2:312">
      <c r="B254" s="659"/>
      <c r="C254" s="662"/>
      <c r="E254" s="665"/>
      <c r="F254" s="665"/>
      <c r="G254" s="666"/>
      <c r="H254" s="666"/>
      <c r="I254" s="667"/>
      <c r="J254" s="667"/>
      <c r="K254" s="667"/>
      <c r="L254" s="667"/>
      <c r="M254" s="667"/>
      <c r="N254" s="667"/>
      <c r="O254" s="667"/>
      <c r="P254" s="667"/>
      <c r="Q254" s="667"/>
      <c r="R254" s="667"/>
      <c r="S254" s="667"/>
      <c r="T254" s="667"/>
      <c r="U254" s="667"/>
      <c r="V254" s="667"/>
      <c r="W254" s="667"/>
      <c r="X254" s="667"/>
      <c r="Y254" s="667"/>
      <c r="Z254" s="667"/>
      <c r="AA254" s="667"/>
      <c r="AB254" s="667"/>
      <c r="FJ254" s="668"/>
      <c r="FK254" s="668"/>
      <c r="FL254" s="668"/>
      <c r="FM254" s="668"/>
      <c r="FN254" s="668"/>
      <c r="FO254" s="668"/>
      <c r="FV254" s="669"/>
      <c r="FZ254" s="669"/>
      <c r="GA254" s="669"/>
      <c r="GB254" s="669"/>
      <c r="GC254" s="669"/>
      <c r="GD254" s="665"/>
      <c r="GF254" s="669"/>
      <c r="GG254" s="669"/>
      <c r="GH254" s="669"/>
      <c r="GI254" s="669"/>
      <c r="GJ254" s="669"/>
      <c r="GK254" s="669"/>
      <c r="GL254" s="669"/>
      <c r="GM254" s="669"/>
      <c r="GN254" s="669"/>
      <c r="GO254" s="669"/>
      <c r="GP254" s="669"/>
      <c r="GQ254" s="669"/>
      <c r="GR254" s="669"/>
      <c r="GS254" s="669"/>
      <c r="GT254" s="669"/>
      <c r="GU254" s="669"/>
      <c r="GV254" s="669"/>
      <c r="GW254" s="669"/>
      <c r="GX254" s="669"/>
      <c r="GY254" s="669"/>
      <c r="GZ254" s="669"/>
      <c r="HA254" s="669"/>
      <c r="HB254" s="669"/>
      <c r="HC254" s="669"/>
      <c r="HD254" s="669"/>
      <c r="HE254" s="669"/>
      <c r="HF254" s="669"/>
      <c r="HG254" s="669"/>
      <c r="HH254" s="670"/>
      <c r="HI254" s="670"/>
      <c r="HJ254" s="671"/>
      <c r="HK254" s="669"/>
      <c r="HL254" s="665"/>
      <c r="HM254" s="665"/>
      <c r="HP254" s="670"/>
      <c r="HQ254" s="671"/>
      <c r="HR254" s="671"/>
      <c r="HS254" s="671"/>
      <c r="HT254" s="671"/>
      <c r="HU254" s="671"/>
      <c r="HV254" s="671"/>
      <c r="HW254" s="671"/>
      <c r="HX254" s="671"/>
      <c r="HY254" s="671"/>
      <c r="HZ254" s="671"/>
      <c r="IA254" s="671"/>
      <c r="IB254" s="671"/>
      <c r="IC254" s="671"/>
      <c r="ID254" s="671"/>
      <c r="IE254" s="671"/>
      <c r="IF254" s="671"/>
      <c r="IG254" s="671"/>
      <c r="IH254" s="671"/>
      <c r="II254" s="671"/>
      <c r="IJ254" s="671"/>
      <c r="IK254" s="671"/>
      <c r="IL254" s="671"/>
      <c r="IM254" s="671"/>
      <c r="IN254" s="671"/>
      <c r="IO254" s="671"/>
      <c r="IP254" s="671"/>
      <c r="IQ254" s="671"/>
      <c r="IR254" s="671"/>
      <c r="IS254" s="671"/>
      <c r="IT254" s="671"/>
      <c r="IU254" s="671"/>
      <c r="IV254" s="671"/>
      <c r="IW254" s="671"/>
      <c r="IX254" s="671"/>
      <c r="IY254" s="671"/>
      <c r="IZ254" s="671"/>
      <c r="JA254" s="671"/>
      <c r="JB254" s="671"/>
      <c r="JC254" s="671"/>
      <c r="JD254" s="671"/>
      <c r="JE254" s="671"/>
      <c r="JF254" s="671"/>
      <c r="JG254" s="671"/>
      <c r="JH254" s="671"/>
      <c r="JI254" s="671"/>
      <c r="JJ254" s="671"/>
      <c r="JK254" s="671"/>
      <c r="JL254" s="671"/>
      <c r="JM254" s="671"/>
      <c r="JN254" s="671"/>
      <c r="JO254" s="671"/>
      <c r="JP254" s="671"/>
      <c r="JQ254" s="671"/>
      <c r="JR254" s="671"/>
      <c r="JS254" s="671"/>
      <c r="JT254" s="671"/>
      <c r="JU254" s="671"/>
      <c r="JV254" s="671"/>
      <c r="JW254" s="671"/>
      <c r="JX254" s="671"/>
      <c r="JY254" s="671"/>
      <c r="JZ254" s="671"/>
      <c r="KA254" s="671"/>
      <c r="KB254" s="671"/>
      <c r="KC254" s="671"/>
      <c r="KD254" s="671"/>
      <c r="KE254" s="671"/>
      <c r="KF254" s="671"/>
      <c r="KG254" s="671"/>
      <c r="KH254" s="671"/>
      <c r="KI254" s="671"/>
      <c r="KJ254" s="671"/>
      <c r="KL254" s="669"/>
      <c r="KM254" s="669"/>
      <c r="KQ254" s="672"/>
      <c r="KR254" s="673"/>
      <c r="KS254" s="672"/>
      <c r="KT254" s="673"/>
      <c r="KU254" s="672"/>
      <c r="KV254" s="673"/>
      <c r="KW254" s="672"/>
      <c r="KX254" s="673"/>
      <c r="KY254" s="672"/>
      <c r="KZ254" s="673"/>
    </row>
    <row r="255" s="628" customFormat="1" spans="2:312">
      <c r="B255" s="659"/>
      <c r="C255" s="662"/>
      <c r="E255" s="665"/>
      <c r="F255" s="665"/>
      <c r="G255" s="666"/>
      <c r="H255" s="666"/>
      <c r="I255" s="667"/>
      <c r="J255" s="667"/>
      <c r="K255" s="667"/>
      <c r="L255" s="667"/>
      <c r="M255" s="667"/>
      <c r="N255" s="667"/>
      <c r="O255" s="667"/>
      <c r="P255" s="667"/>
      <c r="Q255" s="667"/>
      <c r="R255" s="667"/>
      <c r="S255" s="667"/>
      <c r="T255" s="667"/>
      <c r="U255" s="667"/>
      <c r="V255" s="667"/>
      <c r="W255" s="667"/>
      <c r="X255" s="667"/>
      <c r="Y255" s="667"/>
      <c r="Z255" s="667"/>
      <c r="AA255" s="667"/>
      <c r="AB255" s="667"/>
      <c r="FJ255" s="668"/>
      <c r="FK255" s="668"/>
      <c r="FL255" s="668"/>
      <c r="FM255" s="668"/>
      <c r="FN255" s="668"/>
      <c r="FO255" s="668"/>
      <c r="FV255" s="669"/>
      <c r="FZ255" s="669"/>
      <c r="GA255" s="669"/>
      <c r="GB255" s="669"/>
      <c r="GC255" s="669"/>
      <c r="GD255" s="665"/>
      <c r="GF255" s="669"/>
      <c r="GG255" s="669"/>
      <c r="GH255" s="669"/>
      <c r="GI255" s="669"/>
      <c r="GJ255" s="669"/>
      <c r="GK255" s="669"/>
      <c r="GL255" s="669"/>
      <c r="GM255" s="669"/>
      <c r="GN255" s="669"/>
      <c r="GO255" s="669"/>
      <c r="GP255" s="669"/>
      <c r="GQ255" s="669"/>
      <c r="GR255" s="669"/>
      <c r="GS255" s="669"/>
      <c r="GT255" s="669"/>
      <c r="GU255" s="669"/>
      <c r="GV255" s="669"/>
      <c r="GW255" s="669"/>
      <c r="GX255" s="669"/>
      <c r="GY255" s="669"/>
      <c r="GZ255" s="669"/>
      <c r="HA255" s="669"/>
      <c r="HB255" s="669"/>
      <c r="HC255" s="669"/>
      <c r="HD255" s="669"/>
      <c r="HE255" s="669"/>
      <c r="HF255" s="669"/>
      <c r="HG255" s="669"/>
      <c r="HH255" s="670"/>
      <c r="HI255" s="670"/>
      <c r="HJ255" s="671"/>
      <c r="HK255" s="669"/>
      <c r="HL255" s="665"/>
      <c r="HM255" s="665"/>
      <c r="HP255" s="670"/>
      <c r="HQ255" s="671"/>
      <c r="HR255" s="671"/>
      <c r="HS255" s="671"/>
      <c r="HT255" s="671"/>
      <c r="HU255" s="671"/>
      <c r="HV255" s="671"/>
      <c r="HW255" s="671"/>
      <c r="HX255" s="671"/>
      <c r="HY255" s="671"/>
      <c r="HZ255" s="671"/>
      <c r="IA255" s="671"/>
      <c r="IB255" s="671"/>
      <c r="IC255" s="671"/>
      <c r="ID255" s="671"/>
      <c r="IE255" s="671"/>
      <c r="IF255" s="671"/>
      <c r="IG255" s="671"/>
      <c r="IH255" s="671"/>
      <c r="II255" s="671"/>
      <c r="IJ255" s="671"/>
      <c r="IK255" s="671"/>
      <c r="IL255" s="671"/>
      <c r="IM255" s="671"/>
      <c r="IN255" s="671"/>
      <c r="IO255" s="671"/>
      <c r="IP255" s="671"/>
      <c r="IQ255" s="671"/>
      <c r="IR255" s="671"/>
      <c r="IS255" s="671"/>
      <c r="IT255" s="671"/>
      <c r="IU255" s="671"/>
      <c r="IV255" s="671"/>
      <c r="IW255" s="671"/>
      <c r="IX255" s="671"/>
      <c r="IY255" s="671"/>
      <c r="IZ255" s="671"/>
      <c r="JA255" s="671"/>
      <c r="JB255" s="671"/>
      <c r="JC255" s="671"/>
      <c r="JD255" s="671"/>
      <c r="JE255" s="671"/>
      <c r="JF255" s="671"/>
      <c r="JG255" s="671"/>
      <c r="JH255" s="671"/>
      <c r="JI255" s="671"/>
      <c r="JJ255" s="671"/>
      <c r="JK255" s="671"/>
      <c r="JL255" s="671"/>
      <c r="JM255" s="671"/>
      <c r="JN255" s="671"/>
      <c r="JO255" s="671"/>
      <c r="JP255" s="671"/>
      <c r="JQ255" s="671"/>
      <c r="JR255" s="671"/>
      <c r="JS255" s="671"/>
      <c r="JT255" s="671"/>
      <c r="JU255" s="671"/>
      <c r="JV255" s="671"/>
      <c r="JW255" s="671"/>
      <c r="JX255" s="671"/>
      <c r="JY255" s="671"/>
      <c r="JZ255" s="671"/>
      <c r="KA255" s="671"/>
      <c r="KB255" s="671"/>
      <c r="KC255" s="671"/>
      <c r="KD255" s="671"/>
      <c r="KE255" s="671"/>
      <c r="KF255" s="671"/>
      <c r="KG255" s="671"/>
      <c r="KH255" s="671"/>
      <c r="KI255" s="671"/>
      <c r="KJ255" s="671"/>
      <c r="KL255" s="669"/>
      <c r="KM255" s="669"/>
      <c r="KQ255" s="672"/>
      <c r="KR255" s="673"/>
      <c r="KS255" s="672"/>
      <c r="KT255" s="673"/>
      <c r="KU255" s="672"/>
      <c r="KV255" s="673"/>
      <c r="KW255" s="672"/>
      <c r="KX255" s="673"/>
      <c r="KY255" s="672"/>
      <c r="KZ255" s="673"/>
    </row>
    <row r="256" s="628" customFormat="1" spans="2:312">
      <c r="B256" s="659"/>
      <c r="C256" s="662"/>
      <c r="E256" s="665"/>
      <c r="F256" s="665"/>
      <c r="G256" s="666"/>
      <c r="H256" s="666"/>
      <c r="I256" s="667"/>
      <c r="J256" s="667"/>
      <c r="K256" s="667"/>
      <c r="L256" s="667"/>
      <c r="M256" s="667"/>
      <c r="N256" s="667"/>
      <c r="O256" s="667"/>
      <c r="P256" s="667"/>
      <c r="Q256" s="667"/>
      <c r="R256" s="667"/>
      <c r="S256" s="667"/>
      <c r="T256" s="667"/>
      <c r="U256" s="667"/>
      <c r="V256" s="667"/>
      <c r="W256" s="667"/>
      <c r="X256" s="667"/>
      <c r="Y256" s="667"/>
      <c r="Z256" s="667"/>
      <c r="AA256" s="667"/>
      <c r="AB256" s="667"/>
      <c r="FJ256" s="668"/>
      <c r="FK256" s="668"/>
      <c r="FL256" s="668"/>
      <c r="FM256" s="668"/>
      <c r="FN256" s="668"/>
      <c r="FO256" s="668"/>
      <c r="FV256" s="669"/>
      <c r="FZ256" s="669"/>
      <c r="GA256" s="669"/>
      <c r="GB256" s="669"/>
      <c r="GC256" s="669"/>
      <c r="GD256" s="665"/>
      <c r="GF256" s="669"/>
      <c r="GG256" s="669"/>
      <c r="GH256" s="669"/>
      <c r="GI256" s="669"/>
      <c r="GJ256" s="669"/>
      <c r="GK256" s="669"/>
      <c r="GL256" s="669"/>
      <c r="GM256" s="669"/>
      <c r="GN256" s="669"/>
      <c r="GO256" s="669"/>
      <c r="GP256" s="669"/>
      <c r="GQ256" s="669"/>
      <c r="GR256" s="669"/>
      <c r="GS256" s="669"/>
      <c r="GT256" s="669"/>
      <c r="GU256" s="669"/>
      <c r="GV256" s="669"/>
      <c r="GW256" s="669"/>
      <c r="GX256" s="669"/>
      <c r="GY256" s="669"/>
      <c r="GZ256" s="669"/>
      <c r="HA256" s="669"/>
      <c r="HB256" s="669"/>
      <c r="HC256" s="669"/>
      <c r="HD256" s="669"/>
      <c r="HE256" s="669"/>
      <c r="HF256" s="669"/>
      <c r="HG256" s="669"/>
      <c r="HH256" s="670"/>
      <c r="HI256" s="670"/>
      <c r="HJ256" s="671"/>
      <c r="HK256" s="669"/>
      <c r="HL256" s="665"/>
      <c r="HM256" s="665"/>
      <c r="HP256" s="670"/>
      <c r="HQ256" s="671"/>
      <c r="HR256" s="671"/>
      <c r="HS256" s="671"/>
      <c r="HT256" s="671"/>
      <c r="HU256" s="671"/>
      <c r="HV256" s="671"/>
      <c r="HW256" s="671"/>
      <c r="HX256" s="671"/>
      <c r="HY256" s="671"/>
      <c r="HZ256" s="671"/>
      <c r="IA256" s="671"/>
      <c r="IB256" s="671"/>
      <c r="IC256" s="671"/>
      <c r="ID256" s="671"/>
      <c r="IE256" s="671"/>
      <c r="IF256" s="671"/>
      <c r="IG256" s="671"/>
      <c r="IH256" s="671"/>
      <c r="II256" s="671"/>
      <c r="IJ256" s="671"/>
      <c r="IK256" s="671"/>
      <c r="IL256" s="671"/>
      <c r="IM256" s="671"/>
      <c r="IN256" s="671"/>
      <c r="IO256" s="671"/>
      <c r="IP256" s="671"/>
      <c r="IQ256" s="671"/>
      <c r="IR256" s="671"/>
      <c r="IS256" s="671"/>
      <c r="IT256" s="671"/>
      <c r="IU256" s="671"/>
      <c r="IV256" s="671"/>
      <c r="IW256" s="671"/>
      <c r="IX256" s="671"/>
      <c r="IY256" s="671"/>
      <c r="IZ256" s="671"/>
      <c r="JA256" s="671"/>
      <c r="JB256" s="671"/>
      <c r="JC256" s="671"/>
      <c r="JD256" s="671"/>
      <c r="JE256" s="671"/>
      <c r="JF256" s="671"/>
      <c r="JG256" s="671"/>
      <c r="JH256" s="671"/>
      <c r="JI256" s="671"/>
      <c r="JJ256" s="671"/>
      <c r="JK256" s="671"/>
      <c r="JL256" s="671"/>
      <c r="JM256" s="671"/>
      <c r="JN256" s="671"/>
      <c r="JO256" s="671"/>
      <c r="JP256" s="671"/>
      <c r="JQ256" s="671"/>
      <c r="JR256" s="671"/>
      <c r="JS256" s="671"/>
      <c r="JT256" s="671"/>
      <c r="JU256" s="671"/>
      <c r="JV256" s="671"/>
      <c r="JW256" s="671"/>
      <c r="JX256" s="671"/>
      <c r="JY256" s="671"/>
      <c r="JZ256" s="671"/>
      <c r="KA256" s="671"/>
      <c r="KB256" s="671"/>
      <c r="KC256" s="671"/>
      <c r="KD256" s="671"/>
      <c r="KE256" s="671"/>
      <c r="KF256" s="671"/>
      <c r="KG256" s="671"/>
      <c r="KH256" s="671"/>
      <c r="KI256" s="671"/>
      <c r="KJ256" s="671"/>
      <c r="KL256" s="669"/>
      <c r="KM256" s="669"/>
      <c r="KQ256" s="672"/>
      <c r="KR256" s="673"/>
      <c r="KS256" s="672"/>
      <c r="KT256" s="673"/>
      <c r="KU256" s="672"/>
      <c r="KV256" s="673"/>
      <c r="KW256" s="672"/>
      <c r="KX256" s="673"/>
      <c r="KY256" s="672"/>
      <c r="KZ256" s="673"/>
    </row>
    <row r="257" s="628" customFormat="1" spans="2:312">
      <c r="B257" s="659"/>
      <c r="C257" s="662"/>
      <c r="E257" s="665"/>
      <c r="F257" s="665"/>
      <c r="G257" s="666"/>
      <c r="H257" s="666"/>
      <c r="I257" s="667"/>
      <c r="J257" s="667"/>
      <c r="K257" s="667"/>
      <c r="L257" s="667"/>
      <c r="M257" s="667"/>
      <c r="N257" s="667"/>
      <c r="O257" s="667"/>
      <c r="P257" s="667"/>
      <c r="Q257" s="667"/>
      <c r="R257" s="667"/>
      <c r="S257" s="667"/>
      <c r="T257" s="667"/>
      <c r="U257" s="667"/>
      <c r="V257" s="667"/>
      <c r="W257" s="667"/>
      <c r="X257" s="667"/>
      <c r="Y257" s="667"/>
      <c r="Z257" s="667"/>
      <c r="AA257" s="667"/>
      <c r="AB257" s="667"/>
      <c r="FJ257" s="668"/>
      <c r="FK257" s="668"/>
      <c r="FL257" s="668"/>
      <c r="FM257" s="668"/>
      <c r="FN257" s="668"/>
      <c r="FO257" s="668"/>
      <c r="FV257" s="669"/>
      <c r="FZ257" s="669"/>
      <c r="GA257" s="669"/>
      <c r="GB257" s="669"/>
      <c r="GC257" s="669"/>
      <c r="GD257" s="665"/>
      <c r="GF257" s="669"/>
      <c r="GG257" s="669"/>
      <c r="GH257" s="669"/>
      <c r="GI257" s="669"/>
      <c r="GJ257" s="669"/>
      <c r="GK257" s="669"/>
      <c r="GL257" s="669"/>
      <c r="GM257" s="669"/>
      <c r="GN257" s="669"/>
      <c r="GO257" s="669"/>
      <c r="GP257" s="669"/>
      <c r="GQ257" s="669"/>
      <c r="GR257" s="669"/>
      <c r="GS257" s="669"/>
      <c r="GT257" s="669"/>
      <c r="GU257" s="669"/>
      <c r="GV257" s="669"/>
      <c r="GW257" s="669"/>
      <c r="GX257" s="669"/>
      <c r="GY257" s="669"/>
      <c r="GZ257" s="669"/>
      <c r="HA257" s="669"/>
      <c r="HB257" s="669"/>
      <c r="HC257" s="669"/>
      <c r="HD257" s="669"/>
      <c r="HE257" s="669"/>
      <c r="HF257" s="669"/>
      <c r="HG257" s="669"/>
      <c r="HH257" s="670"/>
      <c r="HI257" s="670"/>
      <c r="HJ257" s="671"/>
      <c r="HK257" s="669"/>
      <c r="HL257" s="665"/>
      <c r="HM257" s="665"/>
      <c r="HP257" s="670"/>
      <c r="HQ257" s="671"/>
      <c r="HR257" s="671"/>
      <c r="HS257" s="671"/>
      <c r="HT257" s="671"/>
      <c r="HU257" s="671"/>
      <c r="HV257" s="671"/>
      <c r="HW257" s="671"/>
      <c r="HX257" s="671"/>
      <c r="HY257" s="671"/>
      <c r="HZ257" s="671"/>
      <c r="IA257" s="671"/>
      <c r="IB257" s="671"/>
      <c r="IC257" s="671"/>
      <c r="ID257" s="671"/>
      <c r="IE257" s="671"/>
      <c r="IF257" s="671"/>
      <c r="IG257" s="671"/>
      <c r="IH257" s="671"/>
      <c r="II257" s="671"/>
      <c r="IJ257" s="671"/>
      <c r="IK257" s="671"/>
      <c r="IL257" s="671"/>
      <c r="IM257" s="671"/>
      <c r="IN257" s="671"/>
      <c r="IO257" s="671"/>
      <c r="IP257" s="671"/>
      <c r="IQ257" s="671"/>
      <c r="IR257" s="671"/>
      <c r="IS257" s="671"/>
      <c r="IT257" s="671"/>
      <c r="IU257" s="671"/>
      <c r="IV257" s="671"/>
      <c r="IW257" s="671"/>
      <c r="IX257" s="671"/>
      <c r="IY257" s="671"/>
      <c r="IZ257" s="671"/>
      <c r="JA257" s="671"/>
      <c r="JB257" s="671"/>
      <c r="JC257" s="671"/>
      <c r="JD257" s="671"/>
      <c r="JE257" s="671"/>
      <c r="JF257" s="671"/>
      <c r="JG257" s="671"/>
      <c r="JH257" s="671"/>
      <c r="JI257" s="671"/>
      <c r="JJ257" s="671"/>
      <c r="JK257" s="671"/>
      <c r="JL257" s="671"/>
      <c r="JM257" s="671"/>
      <c r="JN257" s="671"/>
      <c r="JO257" s="671"/>
      <c r="JP257" s="671"/>
      <c r="JQ257" s="671"/>
      <c r="JR257" s="671"/>
      <c r="JS257" s="671"/>
      <c r="JT257" s="671"/>
      <c r="JU257" s="671"/>
      <c r="JV257" s="671"/>
      <c r="JW257" s="671"/>
      <c r="JX257" s="671"/>
      <c r="JY257" s="671"/>
      <c r="JZ257" s="671"/>
      <c r="KA257" s="671"/>
      <c r="KB257" s="671"/>
      <c r="KC257" s="671"/>
      <c r="KD257" s="671"/>
      <c r="KE257" s="671"/>
      <c r="KF257" s="671"/>
      <c r="KG257" s="671"/>
      <c r="KH257" s="671"/>
      <c r="KI257" s="671"/>
      <c r="KJ257" s="671"/>
      <c r="KL257" s="669"/>
      <c r="KM257" s="669"/>
      <c r="KQ257" s="672"/>
      <c r="KR257" s="673"/>
      <c r="KS257" s="672"/>
      <c r="KT257" s="673"/>
      <c r="KU257" s="672"/>
      <c r="KV257" s="673"/>
      <c r="KW257" s="672"/>
      <c r="KX257" s="673"/>
      <c r="KY257" s="672"/>
      <c r="KZ257" s="673"/>
    </row>
    <row r="258" s="628" customFormat="1" spans="2:312">
      <c r="B258" s="659"/>
      <c r="C258" s="662"/>
      <c r="E258" s="665"/>
      <c r="F258" s="665"/>
      <c r="G258" s="666"/>
      <c r="H258" s="666"/>
      <c r="I258" s="667"/>
      <c r="J258" s="667"/>
      <c r="K258" s="667"/>
      <c r="L258" s="667"/>
      <c r="M258" s="667"/>
      <c r="N258" s="667"/>
      <c r="O258" s="667"/>
      <c r="P258" s="667"/>
      <c r="Q258" s="667"/>
      <c r="R258" s="667"/>
      <c r="S258" s="667"/>
      <c r="T258" s="667"/>
      <c r="U258" s="667"/>
      <c r="V258" s="667"/>
      <c r="W258" s="667"/>
      <c r="X258" s="667"/>
      <c r="Y258" s="667"/>
      <c r="Z258" s="667"/>
      <c r="AA258" s="667"/>
      <c r="AB258" s="667"/>
      <c r="FJ258" s="668"/>
      <c r="FK258" s="668"/>
      <c r="FL258" s="668"/>
      <c r="FM258" s="668"/>
      <c r="FN258" s="668"/>
      <c r="FO258" s="668"/>
      <c r="FV258" s="669"/>
      <c r="FZ258" s="669"/>
      <c r="GA258" s="669"/>
      <c r="GB258" s="669"/>
      <c r="GC258" s="669"/>
      <c r="GD258" s="665"/>
      <c r="GF258" s="669"/>
      <c r="GG258" s="669"/>
      <c r="GH258" s="669"/>
      <c r="GI258" s="669"/>
      <c r="GJ258" s="669"/>
      <c r="GK258" s="669"/>
      <c r="GL258" s="669"/>
      <c r="GM258" s="669"/>
      <c r="GN258" s="669"/>
      <c r="GO258" s="669"/>
      <c r="GP258" s="669"/>
      <c r="GQ258" s="669"/>
      <c r="GR258" s="669"/>
      <c r="GS258" s="669"/>
      <c r="GT258" s="669"/>
      <c r="GU258" s="669"/>
      <c r="GV258" s="669"/>
      <c r="GW258" s="669"/>
      <c r="GX258" s="669"/>
      <c r="GY258" s="669"/>
      <c r="GZ258" s="669"/>
      <c r="HA258" s="669"/>
      <c r="HB258" s="669"/>
      <c r="HC258" s="669"/>
      <c r="HD258" s="669"/>
      <c r="HE258" s="669"/>
      <c r="HF258" s="669"/>
      <c r="HG258" s="669"/>
      <c r="HH258" s="670"/>
      <c r="HI258" s="670"/>
      <c r="HJ258" s="671"/>
      <c r="HK258" s="669"/>
      <c r="HL258" s="665"/>
      <c r="HM258" s="665"/>
      <c r="HP258" s="670"/>
      <c r="HQ258" s="671"/>
      <c r="HR258" s="671"/>
      <c r="HS258" s="671"/>
      <c r="HT258" s="671"/>
      <c r="HU258" s="671"/>
      <c r="HV258" s="671"/>
      <c r="HW258" s="671"/>
      <c r="HX258" s="671"/>
      <c r="HY258" s="671"/>
      <c r="HZ258" s="671"/>
      <c r="IA258" s="671"/>
      <c r="IB258" s="671"/>
      <c r="IC258" s="671"/>
      <c r="ID258" s="671"/>
      <c r="IE258" s="671"/>
      <c r="IF258" s="671"/>
      <c r="IG258" s="671"/>
      <c r="IH258" s="671"/>
      <c r="II258" s="671"/>
      <c r="IJ258" s="671"/>
      <c r="IK258" s="671"/>
      <c r="IL258" s="671"/>
      <c r="IM258" s="671"/>
      <c r="IN258" s="671"/>
      <c r="IO258" s="671"/>
      <c r="IP258" s="671"/>
      <c r="IQ258" s="671"/>
      <c r="IR258" s="671"/>
      <c r="IS258" s="671"/>
      <c r="IT258" s="671"/>
      <c r="IU258" s="671"/>
      <c r="IV258" s="671"/>
      <c r="IW258" s="671"/>
      <c r="IX258" s="671"/>
      <c r="IY258" s="671"/>
      <c r="IZ258" s="671"/>
      <c r="JA258" s="671"/>
      <c r="JB258" s="671"/>
      <c r="JC258" s="671"/>
      <c r="JD258" s="671"/>
      <c r="JE258" s="671"/>
      <c r="JF258" s="671"/>
      <c r="JG258" s="671"/>
      <c r="JH258" s="671"/>
      <c r="JI258" s="671"/>
      <c r="JJ258" s="671"/>
      <c r="JK258" s="671"/>
      <c r="JL258" s="671"/>
      <c r="JM258" s="671"/>
      <c r="JN258" s="671"/>
      <c r="JO258" s="671"/>
      <c r="JP258" s="671"/>
      <c r="JQ258" s="671"/>
      <c r="JR258" s="671"/>
      <c r="JS258" s="671"/>
      <c r="JT258" s="671"/>
      <c r="JU258" s="671"/>
      <c r="JV258" s="671"/>
      <c r="JW258" s="671"/>
      <c r="JX258" s="671"/>
      <c r="JY258" s="671"/>
      <c r="JZ258" s="671"/>
      <c r="KA258" s="671"/>
      <c r="KB258" s="671"/>
      <c r="KC258" s="671"/>
      <c r="KD258" s="671"/>
      <c r="KE258" s="671"/>
      <c r="KF258" s="671"/>
      <c r="KG258" s="671"/>
      <c r="KH258" s="671"/>
      <c r="KI258" s="671"/>
      <c r="KJ258" s="671"/>
      <c r="KL258" s="669"/>
      <c r="KM258" s="669"/>
      <c r="KQ258" s="672"/>
      <c r="KR258" s="673"/>
      <c r="KS258" s="672"/>
      <c r="KT258" s="673"/>
      <c r="KU258" s="672"/>
      <c r="KV258" s="673"/>
      <c r="KW258" s="672"/>
      <c r="KX258" s="673"/>
      <c r="KY258" s="672"/>
      <c r="KZ258" s="673"/>
    </row>
    <row r="259" s="628" customFormat="1" spans="2:312">
      <c r="B259" s="659"/>
      <c r="C259" s="662"/>
      <c r="E259" s="665"/>
      <c r="F259" s="665"/>
      <c r="G259" s="666"/>
      <c r="H259" s="666"/>
      <c r="I259" s="667"/>
      <c r="J259" s="667"/>
      <c r="K259" s="667"/>
      <c r="L259" s="667"/>
      <c r="M259" s="667"/>
      <c r="N259" s="667"/>
      <c r="O259" s="667"/>
      <c r="P259" s="667"/>
      <c r="Q259" s="667"/>
      <c r="R259" s="667"/>
      <c r="S259" s="667"/>
      <c r="T259" s="667"/>
      <c r="U259" s="667"/>
      <c r="V259" s="667"/>
      <c r="W259" s="667"/>
      <c r="X259" s="667"/>
      <c r="Y259" s="667"/>
      <c r="Z259" s="667"/>
      <c r="AA259" s="667"/>
      <c r="AB259" s="667"/>
      <c r="FJ259" s="668"/>
      <c r="FK259" s="668"/>
      <c r="FL259" s="668"/>
      <c r="FM259" s="668"/>
      <c r="FN259" s="668"/>
      <c r="FO259" s="668"/>
      <c r="FV259" s="669"/>
      <c r="FZ259" s="669"/>
      <c r="GA259" s="669"/>
      <c r="GB259" s="669"/>
      <c r="GC259" s="669"/>
      <c r="GD259" s="665"/>
      <c r="GF259" s="669"/>
      <c r="GG259" s="669"/>
      <c r="GH259" s="669"/>
      <c r="GI259" s="669"/>
      <c r="GJ259" s="669"/>
      <c r="GK259" s="669"/>
      <c r="GL259" s="669"/>
      <c r="GM259" s="669"/>
      <c r="GN259" s="669"/>
      <c r="GO259" s="669"/>
      <c r="GP259" s="669"/>
      <c r="GQ259" s="669"/>
      <c r="GR259" s="669"/>
      <c r="GS259" s="669"/>
      <c r="GT259" s="669"/>
      <c r="GU259" s="669"/>
      <c r="GV259" s="669"/>
      <c r="GW259" s="669"/>
      <c r="GX259" s="669"/>
      <c r="GY259" s="669"/>
      <c r="GZ259" s="669"/>
      <c r="HA259" s="669"/>
      <c r="HB259" s="669"/>
      <c r="HC259" s="669"/>
      <c r="HD259" s="669"/>
      <c r="HE259" s="669"/>
      <c r="HF259" s="669"/>
      <c r="HG259" s="669"/>
      <c r="HH259" s="670"/>
      <c r="HI259" s="670"/>
      <c r="HJ259" s="671"/>
      <c r="HK259" s="669"/>
      <c r="HL259" s="665"/>
      <c r="HM259" s="665"/>
      <c r="HP259" s="670"/>
      <c r="HQ259" s="671"/>
      <c r="HR259" s="671"/>
      <c r="HS259" s="671"/>
      <c r="HT259" s="671"/>
      <c r="HU259" s="671"/>
      <c r="HV259" s="671"/>
      <c r="HW259" s="671"/>
      <c r="HX259" s="671"/>
      <c r="HY259" s="671"/>
      <c r="HZ259" s="671"/>
      <c r="IA259" s="671"/>
      <c r="IB259" s="671"/>
      <c r="IC259" s="671"/>
      <c r="ID259" s="671"/>
      <c r="IE259" s="671"/>
      <c r="IF259" s="671"/>
      <c r="IG259" s="671"/>
      <c r="IH259" s="671"/>
      <c r="II259" s="671"/>
      <c r="IJ259" s="671"/>
      <c r="IK259" s="671"/>
      <c r="IL259" s="671"/>
      <c r="IM259" s="671"/>
      <c r="IN259" s="671"/>
      <c r="IO259" s="671"/>
      <c r="IP259" s="671"/>
      <c r="IQ259" s="671"/>
      <c r="IR259" s="671"/>
      <c r="IS259" s="671"/>
      <c r="IT259" s="671"/>
      <c r="IU259" s="671"/>
      <c r="IV259" s="671"/>
      <c r="IW259" s="671"/>
      <c r="IX259" s="671"/>
      <c r="IY259" s="671"/>
      <c r="IZ259" s="671"/>
      <c r="JA259" s="671"/>
      <c r="JB259" s="671"/>
      <c r="JC259" s="671"/>
      <c r="JD259" s="671"/>
      <c r="JE259" s="671"/>
      <c r="JF259" s="671"/>
      <c r="JG259" s="671"/>
      <c r="JH259" s="671"/>
      <c r="JI259" s="671"/>
      <c r="JJ259" s="671"/>
      <c r="JK259" s="671"/>
      <c r="JL259" s="671"/>
      <c r="JM259" s="671"/>
      <c r="JN259" s="671"/>
      <c r="JO259" s="671"/>
      <c r="JP259" s="671"/>
      <c r="JQ259" s="671"/>
      <c r="JR259" s="671"/>
      <c r="JS259" s="671"/>
      <c r="JT259" s="671"/>
      <c r="JU259" s="671"/>
      <c r="JV259" s="671"/>
      <c r="JW259" s="671"/>
      <c r="JX259" s="671"/>
      <c r="JY259" s="671"/>
      <c r="JZ259" s="671"/>
      <c r="KA259" s="671"/>
      <c r="KB259" s="671"/>
      <c r="KC259" s="671"/>
      <c r="KD259" s="671"/>
      <c r="KE259" s="671"/>
      <c r="KF259" s="671"/>
      <c r="KG259" s="671"/>
      <c r="KH259" s="671"/>
      <c r="KI259" s="671"/>
      <c r="KJ259" s="671"/>
      <c r="KL259" s="669"/>
      <c r="KM259" s="669"/>
      <c r="KQ259" s="672"/>
      <c r="KR259" s="673"/>
      <c r="KS259" s="672"/>
      <c r="KT259" s="673"/>
      <c r="KU259" s="672"/>
      <c r="KV259" s="673"/>
      <c r="KW259" s="672"/>
      <c r="KX259" s="673"/>
      <c r="KY259" s="672"/>
      <c r="KZ259" s="673"/>
    </row>
    <row r="260" s="628" customFormat="1" spans="2:312">
      <c r="B260" s="659"/>
      <c r="C260" s="662"/>
      <c r="E260" s="665"/>
      <c r="F260" s="665"/>
      <c r="G260" s="666"/>
      <c r="H260" s="666"/>
      <c r="I260" s="667"/>
      <c r="J260" s="667"/>
      <c r="K260" s="667"/>
      <c r="L260" s="667"/>
      <c r="M260" s="667"/>
      <c r="N260" s="667"/>
      <c r="O260" s="667"/>
      <c r="P260" s="667"/>
      <c r="Q260" s="667"/>
      <c r="R260" s="667"/>
      <c r="S260" s="667"/>
      <c r="T260" s="667"/>
      <c r="U260" s="667"/>
      <c r="V260" s="667"/>
      <c r="W260" s="667"/>
      <c r="X260" s="667"/>
      <c r="Y260" s="667"/>
      <c r="Z260" s="667"/>
      <c r="AA260" s="667"/>
      <c r="AB260" s="667"/>
      <c r="FJ260" s="668"/>
      <c r="FK260" s="668"/>
      <c r="FL260" s="668"/>
      <c r="FM260" s="668"/>
      <c r="FN260" s="668"/>
      <c r="FO260" s="668"/>
      <c r="FV260" s="669"/>
      <c r="FZ260" s="669"/>
      <c r="GA260" s="669"/>
      <c r="GB260" s="669"/>
      <c r="GC260" s="669"/>
      <c r="GD260" s="665"/>
      <c r="GF260" s="669"/>
      <c r="GG260" s="669"/>
      <c r="GH260" s="669"/>
      <c r="GI260" s="669"/>
      <c r="GJ260" s="669"/>
      <c r="GK260" s="669"/>
      <c r="GL260" s="669"/>
      <c r="GM260" s="669"/>
      <c r="GN260" s="669"/>
      <c r="GO260" s="669"/>
      <c r="GP260" s="669"/>
      <c r="GQ260" s="669"/>
      <c r="GR260" s="669"/>
      <c r="GS260" s="669"/>
      <c r="GT260" s="669"/>
      <c r="GU260" s="669"/>
      <c r="GV260" s="669"/>
      <c r="GW260" s="669"/>
      <c r="GX260" s="669"/>
      <c r="GY260" s="669"/>
      <c r="GZ260" s="669"/>
      <c r="HA260" s="669"/>
      <c r="HB260" s="669"/>
      <c r="HC260" s="669"/>
      <c r="HD260" s="669"/>
      <c r="HE260" s="669"/>
      <c r="HF260" s="669"/>
      <c r="HG260" s="669"/>
      <c r="HH260" s="670"/>
      <c r="HI260" s="670"/>
      <c r="HJ260" s="671"/>
      <c r="HK260" s="669"/>
      <c r="HL260" s="665"/>
      <c r="HM260" s="665"/>
      <c r="HP260" s="670"/>
      <c r="HQ260" s="671"/>
      <c r="HR260" s="671"/>
      <c r="HS260" s="671"/>
      <c r="HT260" s="671"/>
      <c r="HU260" s="671"/>
      <c r="HV260" s="671"/>
      <c r="HW260" s="671"/>
      <c r="HX260" s="671"/>
      <c r="HY260" s="671"/>
      <c r="HZ260" s="671"/>
      <c r="IA260" s="671"/>
      <c r="IB260" s="671"/>
      <c r="IC260" s="671"/>
      <c r="ID260" s="671"/>
      <c r="IE260" s="671"/>
      <c r="IF260" s="671"/>
      <c r="IG260" s="671"/>
      <c r="IH260" s="671"/>
      <c r="II260" s="671"/>
      <c r="IJ260" s="671"/>
      <c r="IK260" s="671"/>
      <c r="IL260" s="671"/>
      <c r="IM260" s="671"/>
      <c r="IN260" s="671"/>
      <c r="IO260" s="671"/>
      <c r="IP260" s="671"/>
      <c r="IQ260" s="671"/>
      <c r="IR260" s="671"/>
      <c r="IS260" s="671"/>
      <c r="IT260" s="671"/>
      <c r="IU260" s="671"/>
      <c r="IV260" s="671"/>
      <c r="IW260" s="671"/>
      <c r="IX260" s="671"/>
      <c r="IY260" s="671"/>
      <c r="IZ260" s="671"/>
      <c r="JA260" s="671"/>
      <c r="JB260" s="671"/>
      <c r="JC260" s="671"/>
      <c r="JD260" s="671"/>
      <c r="JE260" s="671"/>
      <c r="JF260" s="671"/>
      <c r="JG260" s="671"/>
      <c r="JH260" s="671"/>
      <c r="JI260" s="671"/>
      <c r="JJ260" s="671"/>
      <c r="JK260" s="671"/>
      <c r="JL260" s="671"/>
      <c r="JM260" s="671"/>
      <c r="JN260" s="671"/>
      <c r="JO260" s="671"/>
      <c r="JP260" s="671"/>
      <c r="JQ260" s="671"/>
      <c r="JR260" s="671"/>
      <c r="JS260" s="671"/>
      <c r="JT260" s="671"/>
      <c r="JU260" s="671"/>
      <c r="JV260" s="671"/>
      <c r="JW260" s="671"/>
      <c r="JX260" s="671"/>
      <c r="JY260" s="671"/>
      <c r="JZ260" s="671"/>
      <c r="KA260" s="671"/>
      <c r="KB260" s="671"/>
      <c r="KC260" s="671"/>
      <c r="KD260" s="671"/>
      <c r="KE260" s="671"/>
      <c r="KF260" s="671"/>
      <c r="KG260" s="671"/>
      <c r="KH260" s="671"/>
      <c r="KI260" s="671"/>
      <c r="KJ260" s="671"/>
      <c r="KL260" s="669"/>
      <c r="KM260" s="669"/>
      <c r="KQ260" s="672"/>
      <c r="KR260" s="673"/>
      <c r="KS260" s="672"/>
      <c r="KT260" s="673"/>
      <c r="KU260" s="672"/>
      <c r="KV260" s="673"/>
      <c r="KW260" s="672"/>
      <c r="KX260" s="673"/>
      <c r="KY260" s="672"/>
      <c r="KZ260" s="673"/>
    </row>
    <row r="261" s="628" customFormat="1" spans="2:312">
      <c r="B261" s="659"/>
      <c r="C261" s="662"/>
      <c r="E261" s="665"/>
      <c r="F261" s="665"/>
      <c r="G261" s="666"/>
      <c r="H261" s="666"/>
      <c r="I261" s="667"/>
      <c r="J261" s="667"/>
      <c r="K261" s="667"/>
      <c r="L261" s="667"/>
      <c r="M261" s="667"/>
      <c r="N261" s="667"/>
      <c r="O261" s="667"/>
      <c r="P261" s="667"/>
      <c r="Q261" s="667"/>
      <c r="R261" s="667"/>
      <c r="S261" s="667"/>
      <c r="T261" s="667"/>
      <c r="U261" s="667"/>
      <c r="V261" s="667"/>
      <c r="W261" s="667"/>
      <c r="X261" s="667"/>
      <c r="Y261" s="667"/>
      <c r="Z261" s="667"/>
      <c r="AA261" s="667"/>
      <c r="AB261" s="667"/>
      <c r="FJ261" s="668"/>
      <c r="FK261" s="668"/>
      <c r="FL261" s="668"/>
      <c r="FM261" s="668"/>
      <c r="FN261" s="668"/>
      <c r="FO261" s="668"/>
      <c r="FV261" s="669"/>
      <c r="FZ261" s="669"/>
      <c r="GA261" s="669"/>
      <c r="GB261" s="669"/>
      <c r="GC261" s="669"/>
      <c r="GD261" s="665"/>
      <c r="GF261" s="669"/>
      <c r="GG261" s="669"/>
      <c r="GH261" s="669"/>
      <c r="GI261" s="669"/>
      <c r="GJ261" s="669"/>
      <c r="GK261" s="669"/>
      <c r="GL261" s="669"/>
      <c r="GM261" s="669"/>
      <c r="GN261" s="669"/>
      <c r="GO261" s="669"/>
      <c r="GP261" s="669"/>
      <c r="GQ261" s="669"/>
      <c r="GR261" s="669"/>
      <c r="GS261" s="669"/>
      <c r="GT261" s="669"/>
      <c r="GU261" s="669"/>
      <c r="GV261" s="669"/>
      <c r="GW261" s="669"/>
      <c r="GX261" s="669"/>
      <c r="GY261" s="669"/>
      <c r="GZ261" s="669"/>
      <c r="HA261" s="669"/>
      <c r="HB261" s="669"/>
      <c r="HC261" s="669"/>
      <c r="HD261" s="669"/>
      <c r="HE261" s="669"/>
      <c r="HF261" s="669"/>
      <c r="HG261" s="669"/>
      <c r="HH261" s="670"/>
      <c r="HI261" s="670"/>
      <c r="HJ261" s="671"/>
      <c r="HK261" s="669"/>
      <c r="HL261" s="665"/>
      <c r="HM261" s="665"/>
      <c r="HP261" s="670"/>
      <c r="HQ261" s="671"/>
      <c r="HR261" s="671"/>
      <c r="HS261" s="671"/>
      <c r="HT261" s="671"/>
      <c r="HU261" s="671"/>
      <c r="HV261" s="671"/>
      <c r="HW261" s="671"/>
      <c r="HX261" s="671"/>
      <c r="HY261" s="671"/>
      <c r="HZ261" s="671"/>
      <c r="IA261" s="671"/>
      <c r="IB261" s="671"/>
      <c r="IC261" s="671"/>
      <c r="ID261" s="671"/>
      <c r="IE261" s="671"/>
      <c r="IF261" s="671"/>
      <c r="IG261" s="671"/>
      <c r="IH261" s="671"/>
      <c r="II261" s="671"/>
      <c r="IJ261" s="671"/>
      <c r="IK261" s="671"/>
      <c r="IL261" s="671"/>
      <c r="IM261" s="671"/>
      <c r="IN261" s="671"/>
      <c r="IO261" s="671"/>
      <c r="IP261" s="671"/>
      <c r="IQ261" s="671"/>
      <c r="IR261" s="671"/>
      <c r="IS261" s="671"/>
      <c r="IT261" s="671"/>
      <c r="IU261" s="671"/>
      <c r="IV261" s="671"/>
      <c r="IW261" s="671"/>
      <c r="IX261" s="671"/>
      <c r="IY261" s="671"/>
      <c r="IZ261" s="671"/>
      <c r="JA261" s="671"/>
      <c r="JB261" s="671"/>
      <c r="JC261" s="671"/>
      <c r="JD261" s="671"/>
      <c r="JE261" s="671"/>
      <c r="JF261" s="671"/>
      <c r="JG261" s="671"/>
      <c r="JH261" s="671"/>
      <c r="JI261" s="671"/>
      <c r="JJ261" s="671"/>
      <c r="JK261" s="671"/>
      <c r="JL261" s="671"/>
      <c r="JM261" s="671"/>
      <c r="JN261" s="671"/>
      <c r="JO261" s="671"/>
      <c r="JP261" s="671"/>
      <c r="JQ261" s="671"/>
      <c r="JR261" s="671"/>
      <c r="JS261" s="671"/>
      <c r="JT261" s="671"/>
      <c r="JU261" s="671"/>
      <c r="JV261" s="671"/>
      <c r="JW261" s="671"/>
      <c r="JX261" s="671"/>
      <c r="JY261" s="671"/>
      <c r="JZ261" s="671"/>
      <c r="KA261" s="671"/>
      <c r="KB261" s="671"/>
      <c r="KC261" s="671"/>
      <c r="KD261" s="671"/>
      <c r="KE261" s="671"/>
      <c r="KF261" s="671"/>
      <c r="KG261" s="671"/>
      <c r="KH261" s="671"/>
      <c r="KI261" s="671"/>
      <c r="KJ261" s="671"/>
      <c r="KL261" s="669"/>
      <c r="KM261" s="669"/>
      <c r="KQ261" s="672"/>
      <c r="KR261" s="673"/>
      <c r="KS261" s="672"/>
      <c r="KT261" s="673"/>
      <c r="KU261" s="672"/>
      <c r="KV261" s="673"/>
      <c r="KW261" s="672"/>
      <c r="KX261" s="673"/>
      <c r="KY261" s="672"/>
      <c r="KZ261" s="673"/>
    </row>
    <row r="262" s="628" customFormat="1" spans="2:312">
      <c r="B262" s="659"/>
      <c r="C262" s="662"/>
      <c r="E262" s="665"/>
      <c r="F262" s="665"/>
      <c r="G262" s="666"/>
      <c r="H262" s="666"/>
      <c r="I262" s="667"/>
      <c r="J262" s="667"/>
      <c r="K262" s="667"/>
      <c r="L262" s="667"/>
      <c r="M262" s="667"/>
      <c r="N262" s="667"/>
      <c r="O262" s="667"/>
      <c r="P262" s="667"/>
      <c r="Q262" s="667"/>
      <c r="R262" s="667"/>
      <c r="S262" s="667"/>
      <c r="T262" s="667"/>
      <c r="U262" s="667"/>
      <c r="V262" s="667"/>
      <c r="W262" s="667"/>
      <c r="X262" s="667"/>
      <c r="Y262" s="667"/>
      <c r="Z262" s="667"/>
      <c r="AA262" s="667"/>
      <c r="AB262" s="667"/>
      <c r="FJ262" s="668"/>
      <c r="FK262" s="668"/>
      <c r="FL262" s="668"/>
      <c r="FM262" s="668"/>
      <c r="FN262" s="668"/>
      <c r="FO262" s="668"/>
      <c r="FV262" s="669"/>
      <c r="FZ262" s="669"/>
      <c r="GA262" s="669"/>
      <c r="GB262" s="669"/>
      <c r="GC262" s="669"/>
      <c r="GD262" s="665"/>
      <c r="GF262" s="669"/>
      <c r="GG262" s="669"/>
      <c r="GH262" s="669"/>
      <c r="GI262" s="669"/>
      <c r="GJ262" s="669"/>
      <c r="GK262" s="669"/>
      <c r="GL262" s="669"/>
      <c r="GM262" s="669"/>
      <c r="GN262" s="669"/>
      <c r="GO262" s="669"/>
      <c r="GP262" s="669"/>
      <c r="GQ262" s="669"/>
      <c r="GR262" s="669"/>
      <c r="GS262" s="669"/>
      <c r="GT262" s="669"/>
      <c r="GU262" s="669"/>
      <c r="GV262" s="669"/>
      <c r="GW262" s="669"/>
      <c r="GX262" s="669"/>
      <c r="GY262" s="669"/>
      <c r="GZ262" s="669"/>
      <c r="HA262" s="669"/>
      <c r="HB262" s="669"/>
      <c r="HC262" s="669"/>
      <c r="HD262" s="669"/>
      <c r="HE262" s="669"/>
      <c r="HF262" s="669"/>
      <c r="HG262" s="669"/>
      <c r="HH262" s="670"/>
      <c r="HI262" s="670"/>
      <c r="HJ262" s="671"/>
      <c r="HK262" s="669"/>
      <c r="HL262" s="665"/>
      <c r="HM262" s="665"/>
      <c r="HP262" s="670"/>
      <c r="HQ262" s="671"/>
      <c r="HR262" s="671"/>
      <c r="HS262" s="671"/>
      <c r="HT262" s="671"/>
      <c r="HU262" s="671"/>
      <c r="HV262" s="671"/>
      <c r="HW262" s="671"/>
      <c r="HX262" s="671"/>
      <c r="HY262" s="671"/>
      <c r="HZ262" s="671"/>
      <c r="IA262" s="671"/>
      <c r="IB262" s="671"/>
      <c r="IC262" s="671"/>
      <c r="ID262" s="671"/>
      <c r="IE262" s="671"/>
      <c r="IF262" s="671"/>
      <c r="IG262" s="671"/>
      <c r="IH262" s="671"/>
      <c r="II262" s="671"/>
      <c r="IJ262" s="671"/>
      <c r="IK262" s="671"/>
      <c r="IL262" s="671"/>
      <c r="IM262" s="671"/>
      <c r="IN262" s="671"/>
      <c r="IO262" s="671"/>
      <c r="IP262" s="671"/>
      <c r="IQ262" s="671"/>
      <c r="IR262" s="671"/>
      <c r="IS262" s="671"/>
      <c r="IT262" s="671"/>
      <c r="IU262" s="671"/>
      <c r="IV262" s="671"/>
      <c r="IW262" s="671"/>
      <c r="IX262" s="671"/>
      <c r="IY262" s="671"/>
      <c r="IZ262" s="671"/>
      <c r="JA262" s="671"/>
      <c r="JB262" s="671"/>
      <c r="JC262" s="671"/>
      <c r="JD262" s="671"/>
      <c r="JE262" s="671"/>
      <c r="JF262" s="671"/>
      <c r="JG262" s="671"/>
      <c r="JH262" s="671"/>
      <c r="JI262" s="671"/>
      <c r="JJ262" s="671"/>
      <c r="JK262" s="671"/>
      <c r="JL262" s="671"/>
      <c r="JM262" s="671"/>
      <c r="JN262" s="671"/>
      <c r="JO262" s="671"/>
      <c r="JP262" s="671"/>
      <c r="JQ262" s="671"/>
      <c r="JR262" s="671"/>
      <c r="JS262" s="671"/>
      <c r="JT262" s="671"/>
      <c r="JU262" s="671"/>
      <c r="JV262" s="671"/>
      <c r="JW262" s="671"/>
      <c r="JX262" s="671"/>
      <c r="JY262" s="671"/>
      <c r="JZ262" s="671"/>
      <c r="KA262" s="671"/>
      <c r="KB262" s="671"/>
      <c r="KC262" s="671"/>
      <c r="KD262" s="671"/>
      <c r="KE262" s="671"/>
      <c r="KF262" s="671"/>
      <c r="KG262" s="671"/>
      <c r="KH262" s="671"/>
      <c r="KI262" s="671"/>
      <c r="KJ262" s="671"/>
      <c r="KL262" s="669"/>
      <c r="KM262" s="669"/>
      <c r="KQ262" s="672"/>
      <c r="KR262" s="673"/>
      <c r="KS262" s="672"/>
      <c r="KT262" s="673"/>
      <c r="KU262" s="672"/>
      <c r="KV262" s="673"/>
      <c r="KW262" s="672"/>
      <c r="KX262" s="673"/>
      <c r="KY262" s="672"/>
      <c r="KZ262" s="673"/>
    </row>
    <row r="263" s="628" customFormat="1" spans="2:312">
      <c r="B263" s="659"/>
      <c r="C263" s="662"/>
      <c r="E263" s="665"/>
      <c r="F263" s="665"/>
      <c r="G263" s="666"/>
      <c r="H263" s="666"/>
      <c r="I263" s="667"/>
      <c r="J263" s="667"/>
      <c r="K263" s="667"/>
      <c r="L263" s="667"/>
      <c r="M263" s="667"/>
      <c r="N263" s="667"/>
      <c r="O263" s="667"/>
      <c r="P263" s="667"/>
      <c r="Q263" s="667"/>
      <c r="R263" s="667"/>
      <c r="S263" s="667"/>
      <c r="T263" s="667"/>
      <c r="U263" s="667"/>
      <c r="V263" s="667"/>
      <c r="W263" s="667"/>
      <c r="X263" s="667"/>
      <c r="Y263" s="667"/>
      <c r="Z263" s="667"/>
      <c r="AA263" s="667"/>
      <c r="AB263" s="667"/>
      <c r="FJ263" s="668"/>
      <c r="FK263" s="668"/>
      <c r="FL263" s="668"/>
      <c r="FM263" s="668"/>
      <c r="FN263" s="668"/>
      <c r="FO263" s="668"/>
      <c r="FV263" s="669"/>
      <c r="FZ263" s="669"/>
      <c r="GA263" s="669"/>
      <c r="GB263" s="669"/>
      <c r="GC263" s="669"/>
      <c r="GD263" s="665"/>
      <c r="GF263" s="669"/>
      <c r="GG263" s="669"/>
      <c r="GH263" s="669"/>
      <c r="GI263" s="669"/>
      <c r="GJ263" s="669"/>
      <c r="GK263" s="669"/>
      <c r="GL263" s="669"/>
      <c r="GM263" s="669"/>
      <c r="GN263" s="669"/>
      <c r="GO263" s="669"/>
      <c r="GP263" s="669"/>
      <c r="GQ263" s="669"/>
      <c r="GR263" s="669"/>
      <c r="GS263" s="669"/>
      <c r="GT263" s="669"/>
      <c r="GU263" s="669"/>
      <c r="GV263" s="669"/>
      <c r="GW263" s="669"/>
      <c r="GX263" s="669"/>
      <c r="GY263" s="669"/>
      <c r="GZ263" s="669"/>
      <c r="HA263" s="669"/>
      <c r="HB263" s="669"/>
      <c r="HC263" s="669"/>
      <c r="HD263" s="669"/>
      <c r="HE263" s="669"/>
      <c r="HF263" s="669"/>
      <c r="HG263" s="669"/>
      <c r="HH263" s="670"/>
      <c r="HI263" s="670"/>
      <c r="HJ263" s="671"/>
      <c r="HK263" s="669"/>
      <c r="HL263" s="665"/>
      <c r="HM263" s="665"/>
      <c r="HP263" s="670"/>
      <c r="HQ263" s="671"/>
      <c r="HR263" s="671"/>
      <c r="HS263" s="671"/>
      <c r="HT263" s="671"/>
      <c r="HU263" s="671"/>
      <c r="HV263" s="671"/>
      <c r="HW263" s="671"/>
      <c r="HX263" s="671"/>
      <c r="HY263" s="671"/>
      <c r="HZ263" s="671"/>
      <c r="IA263" s="671"/>
      <c r="IB263" s="671"/>
      <c r="IC263" s="671"/>
      <c r="ID263" s="671"/>
      <c r="IE263" s="671"/>
      <c r="IF263" s="671"/>
      <c r="IG263" s="671"/>
      <c r="IH263" s="671"/>
      <c r="II263" s="671"/>
      <c r="IJ263" s="671"/>
      <c r="IK263" s="671"/>
      <c r="IL263" s="671"/>
      <c r="IM263" s="671"/>
      <c r="IN263" s="671"/>
      <c r="IO263" s="671"/>
      <c r="IP263" s="671"/>
      <c r="IQ263" s="671"/>
      <c r="IR263" s="671"/>
      <c r="IS263" s="671"/>
      <c r="IT263" s="671"/>
      <c r="IU263" s="671"/>
      <c r="IV263" s="671"/>
      <c r="IW263" s="671"/>
      <c r="IX263" s="671"/>
      <c r="IY263" s="671"/>
      <c r="IZ263" s="671"/>
      <c r="JA263" s="671"/>
      <c r="JB263" s="671"/>
      <c r="JC263" s="671"/>
      <c r="JD263" s="671"/>
      <c r="JE263" s="671"/>
      <c r="JF263" s="671"/>
      <c r="JG263" s="671"/>
      <c r="JH263" s="671"/>
      <c r="JI263" s="671"/>
      <c r="JJ263" s="671"/>
      <c r="JK263" s="671"/>
      <c r="JL263" s="671"/>
      <c r="JM263" s="671"/>
      <c r="JN263" s="671"/>
      <c r="JO263" s="671"/>
      <c r="JP263" s="671"/>
      <c r="JQ263" s="671"/>
      <c r="JR263" s="671"/>
      <c r="JS263" s="671"/>
      <c r="JT263" s="671"/>
      <c r="JU263" s="671"/>
      <c r="JV263" s="671"/>
      <c r="JW263" s="671"/>
      <c r="JX263" s="671"/>
      <c r="JY263" s="671"/>
      <c r="JZ263" s="671"/>
      <c r="KA263" s="671"/>
      <c r="KB263" s="671"/>
      <c r="KC263" s="671"/>
      <c r="KD263" s="671"/>
      <c r="KE263" s="671"/>
      <c r="KF263" s="671"/>
      <c r="KG263" s="671"/>
      <c r="KH263" s="671"/>
      <c r="KI263" s="671"/>
      <c r="KJ263" s="671"/>
      <c r="KL263" s="669"/>
      <c r="KM263" s="669"/>
      <c r="KQ263" s="672"/>
      <c r="KR263" s="673"/>
      <c r="KS263" s="672"/>
      <c r="KT263" s="673"/>
      <c r="KU263" s="672"/>
      <c r="KV263" s="673"/>
      <c r="KW263" s="672"/>
      <c r="KX263" s="673"/>
      <c r="KY263" s="672"/>
      <c r="KZ263" s="673"/>
    </row>
    <row r="264" s="628" customFormat="1" spans="2:312">
      <c r="B264" s="659"/>
      <c r="C264" s="662"/>
      <c r="E264" s="665"/>
      <c r="F264" s="665"/>
      <c r="G264" s="666"/>
      <c r="H264" s="666"/>
      <c r="I264" s="667"/>
      <c r="J264" s="667"/>
      <c r="K264" s="667"/>
      <c r="L264" s="667"/>
      <c r="M264" s="667"/>
      <c r="N264" s="667"/>
      <c r="O264" s="667"/>
      <c r="P264" s="667"/>
      <c r="Q264" s="667"/>
      <c r="R264" s="667"/>
      <c r="S264" s="667"/>
      <c r="T264" s="667"/>
      <c r="U264" s="667"/>
      <c r="V264" s="667"/>
      <c r="W264" s="667"/>
      <c r="X264" s="667"/>
      <c r="Y264" s="667"/>
      <c r="Z264" s="667"/>
      <c r="AA264" s="667"/>
      <c r="AB264" s="667"/>
      <c r="FJ264" s="668"/>
      <c r="FK264" s="668"/>
      <c r="FL264" s="668"/>
      <c r="FM264" s="668"/>
      <c r="FN264" s="668"/>
      <c r="FO264" s="668"/>
      <c r="FV264" s="669"/>
      <c r="FZ264" s="669"/>
      <c r="GA264" s="669"/>
      <c r="GB264" s="669"/>
      <c r="GC264" s="669"/>
      <c r="GD264" s="665"/>
      <c r="GF264" s="669"/>
      <c r="GG264" s="669"/>
      <c r="GH264" s="669"/>
      <c r="GI264" s="669"/>
      <c r="GJ264" s="669"/>
      <c r="GK264" s="669"/>
      <c r="GL264" s="669"/>
      <c r="GM264" s="669"/>
      <c r="GN264" s="669"/>
      <c r="GO264" s="669"/>
      <c r="GP264" s="669"/>
      <c r="GQ264" s="669"/>
      <c r="GR264" s="669"/>
      <c r="GS264" s="669"/>
      <c r="GT264" s="669"/>
      <c r="GU264" s="669"/>
      <c r="GV264" s="669"/>
      <c r="GW264" s="669"/>
      <c r="GX264" s="669"/>
      <c r="GY264" s="669"/>
      <c r="GZ264" s="669"/>
      <c r="HA264" s="669"/>
      <c r="HB264" s="669"/>
      <c r="HC264" s="669"/>
      <c r="HD264" s="669"/>
      <c r="HE264" s="669"/>
      <c r="HF264" s="669"/>
      <c r="HG264" s="669"/>
      <c r="HH264" s="670"/>
      <c r="HI264" s="670"/>
      <c r="HJ264" s="671"/>
      <c r="HK264" s="669"/>
      <c r="HL264" s="665"/>
      <c r="HM264" s="665"/>
      <c r="HP264" s="670"/>
      <c r="HQ264" s="671"/>
      <c r="HR264" s="671"/>
      <c r="HS264" s="671"/>
      <c r="HT264" s="671"/>
      <c r="HU264" s="671"/>
      <c r="HV264" s="671"/>
      <c r="HW264" s="671"/>
      <c r="HX264" s="671"/>
      <c r="HY264" s="671"/>
      <c r="HZ264" s="671"/>
      <c r="IA264" s="671"/>
      <c r="IB264" s="671"/>
      <c r="IC264" s="671"/>
      <c r="ID264" s="671"/>
      <c r="IE264" s="671"/>
      <c r="IF264" s="671"/>
      <c r="IG264" s="671"/>
      <c r="IH264" s="671"/>
      <c r="II264" s="671"/>
      <c r="IJ264" s="671"/>
      <c r="IK264" s="671"/>
      <c r="IL264" s="671"/>
      <c r="IM264" s="671"/>
      <c r="IN264" s="671"/>
      <c r="IO264" s="671"/>
      <c r="IP264" s="671"/>
      <c r="IQ264" s="671"/>
      <c r="IR264" s="671"/>
      <c r="IS264" s="671"/>
      <c r="IT264" s="671"/>
      <c r="IU264" s="671"/>
      <c r="IV264" s="671"/>
      <c r="IW264" s="671"/>
      <c r="IX264" s="671"/>
      <c r="IY264" s="671"/>
      <c r="IZ264" s="671"/>
      <c r="JA264" s="671"/>
      <c r="JB264" s="671"/>
      <c r="JC264" s="671"/>
      <c r="JD264" s="671"/>
      <c r="JE264" s="671"/>
      <c r="JF264" s="671"/>
      <c r="JG264" s="671"/>
      <c r="JH264" s="671"/>
      <c r="JI264" s="671"/>
      <c r="JJ264" s="671"/>
      <c r="JK264" s="671"/>
      <c r="JL264" s="671"/>
      <c r="JM264" s="671"/>
      <c r="JN264" s="671"/>
      <c r="JO264" s="671"/>
      <c r="JP264" s="671"/>
      <c r="JQ264" s="671"/>
      <c r="JR264" s="671"/>
      <c r="JS264" s="671"/>
      <c r="JT264" s="671"/>
      <c r="JU264" s="671"/>
      <c r="JV264" s="671"/>
      <c r="JW264" s="671"/>
      <c r="JX264" s="671"/>
      <c r="JY264" s="671"/>
      <c r="JZ264" s="671"/>
      <c r="KA264" s="671"/>
      <c r="KB264" s="671"/>
      <c r="KC264" s="671"/>
      <c r="KD264" s="671"/>
      <c r="KE264" s="671"/>
      <c r="KF264" s="671"/>
      <c r="KG264" s="671"/>
      <c r="KH264" s="671"/>
      <c r="KI264" s="671"/>
      <c r="KJ264" s="671"/>
      <c r="KL264" s="669"/>
      <c r="KM264" s="669"/>
      <c r="KQ264" s="672"/>
      <c r="KR264" s="673"/>
      <c r="KS264" s="672"/>
      <c r="KT264" s="673"/>
      <c r="KU264" s="672"/>
      <c r="KV264" s="673"/>
      <c r="KW264" s="672"/>
      <c r="KX264" s="673"/>
      <c r="KY264" s="672"/>
      <c r="KZ264" s="673"/>
    </row>
    <row r="265" s="628" customFormat="1" spans="2:312">
      <c r="B265" s="659"/>
      <c r="C265" s="662"/>
      <c r="E265" s="665"/>
      <c r="F265" s="665"/>
      <c r="G265" s="666"/>
      <c r="H265" s="666"/>
      <c r="I265" s="667"/>
      <c r="J265" s="667"/>
      <c r="K265" s="667"/>
      <c r="L265" s="667"/>
      <c r="M265" s="667"/>
      <c r="N265" s="667"/>
      <c r="O265" s="667"/>
      <c r="P265" s="667"/>
      <c r="Q265" s="667"/>
      <c r="R265" s="667"/>
      <c r="S265" s="667"/>
      <c r="T265" s="667"/>
      <c r="U265" s="667"/>
      <c r="V265" s="667"/>
      <c r="W265" s="667"/>
      <c r="X265" s="667"/>
      <c r="Y265" s="667"/>
      <c r="Z265" s="667"/>
      <c r="AA265" s="667"/>
      <c r="AB265" s="667"/>
      <c r="FJ265" s="668"/>
      <c r="FK265" s="668"/>
      <c r="FL265" s="668"/>
      <c r="FM265" s="668"/>
      <c r="FN265" s="668"/>
      <c r="FO265" s="668"/>
      <c r="FV265" s="669"/>
      <c r="FZ265" s="669"/>
      <c r="GA265" s="669"/>
      <c r="GB265" s="669"/>
      <c r="GC265" s="669"/>
      <c r="GD265" s="665"/>
      <c r="GF265" s="669"/>
      <c r="GG265" s="669"/>
      <c r="GH265" s="669"/>
      <c r="GI265" s="669"/>
      <c r="GJ265" s="669"/>
      <c r="GK265" s="669"/>
      <c r="GL265" s="669"/>
      <c r="GM265" s="669"/>
      <c r="GN265" s="669"/>
      <c r="GO265" s="669"/>
      <c r="GP265" s="669"/>
      <c r="GQ265" s="669"/>
      <c r="GR265" s="669"/>
      <c r="GS265" s="669"/>
      <c r="GT265" s="669"/>
      <c r="GU265" s="669"/>
      <c r="GV265" s="669"/>
      <c r="GW265" s="669"/>
      <c r="GX265" s="669"/>
      <c r="GY265" s="669"/>
      <c r="GZ265" s="669"/>
      <c r="HA265" s="669"/>
      <c r="HB265" s="669"/>
      <c r="HC265" s="669"/>
      <c r="HD265" s="669"/>
      <c r="HE265" s="669"/>
      <c r="HF265" s="669"/>
      <c r="HG265" s="669"/>
      <c r="HH265" s="670"/>
      <c r="HI265" s="670"/>
      <c r="HJ265" s="671"/>
      <c r="HK265" s="669"/>
      <c r="HL265" s="665"/>
      <c r="HM265" s="665"/>
      <c r="HP265" s="670"/>
      <c r="HQ265" s="671"/>
      <c r="HR265" s="671"/>
      <c r="HS265" s="671"/>
      <c r="HT265" s="671"/>
      <c r="HU265" s="671"/>
      <c r="HV265" s="671"/>
      <c r="HW265" s="671"/>
      <c r="HX265" s="671"/>
      <c r="HY265" s="671"/>
      <c r="HZ265" s="671"/>
      <c r="IA265" s="671"/>
      <c r="IB265" s="671"/>
      <c r="IC265" s="671"/>
      <c r="ID265" s="671"/>
      <c r="IE265" s="671"/>
      <c r="IF265" s="671"/>
      <c r="IG265" s="671"/>
      <c r="IH265" s="671"/>
      <c r="II265" s="671"/>
      <c r="IJ265" s="671"/>
      <c r="IK265" s="671"/>
      <c r="IL265" s="671"/>
      <c r="IM265" s="671"/>
      <c r="IN265" s="671"/>
      <c r="IO265" s="671"/>
      <c r="IP265" s="671"/>
      <c r="IQ265" s="671"/>
      <c r="IR265" s="671"/>
      <c r="IS265" s="671"/>
      <c r="IT265" s="671"/>
      <c r="IU265" s="671"/>
      <c r="IV265" s="671"/>
      <c r="IW265" s="671"/>
      <c r="IX265" s="671"/>
      <c r="IY265" s="671"/>
      <c r="IZ265" s="671"/>
      <c r="JA265" s="671"/>
      <c r="JB265" s="671"/>
      <c r="JC265" s="671"/>
      <c r="JD265" s="671"/>
      <c r="JE265" s="671"/>
      <c r="JF265" s="671"/>
      <c r="JG265" s="671"/>
      <c r="JH265" s="671"/>
      <c r="JI265" s="671"/>
      <c r="JJ265" s="671"/>
      <c r="JK265" s="671"/>
      <c r="JL265" s="671"/>
      <c r="JM265" s="671"/>
      <c r="JN265" s="671"/>
      <c r="JO265" s="671"/>
      <c r="JP265" s="671"/>
      <c r="JQ265" s="671"/>
      <c r="JR265" s="671"/>
      <c r="JS265" s="671"/>
      <c r="JT265" s="671"/>
      <c r="JU265" s="671"/>
      <c r="JV265" s="671"/>
      <c r="JW265" s="671"/>
      <c r="JX265" s="671"/>
      <c r="JY265" s="671"/>
      <c r="JZ265" s="671"/>
      <c r="KA265" s="671"/>
      <c r="KB265" s="671"/>
      <c r="KC265" s="671"/>
      <c r="KD265" s="671"/>
      <c r="KE265" s="671"/>
      <c r="KF265" s="671"/>
      <c r="KG265" s="671"/>
      <c r="KH265" s="671"/>
      <c r="KI265" s="671"/>
      <c r="KJ265" s="671"/>
      <c r="KL265" s="669"/>
      <c r="KM265" s="669"/>
      <c r="KQ265" s="672"/>
      <c r="KR265" s="673"/>
      <c r="KS265" s="672"/>
      <c r="KT265" s="673"/>
      <c r="KU265" s="672"/>
      <c r="KV265" s="673"/>
      <c r="KW265" s="672"/>
      <c r="KX265" s="673"/>
      <c r="KY265" s="672"/>
      <c r="KZ265" s="673"/>
    </row>
    <row r="266" s="628" customFormat="1" spans="2:312">
      <c r="B266" s="659"/>
      <c r="C266" s="662"/>
      <c r="E266" s="665"/>
      <c r="F266" s="665"/>
      <c r="G266" s="666"/>
      <c r="H266" s="666"/>
      <c r="I266" s="667"/>
      <c r="J266" s="667"/>
      <c r="K266" s="667"/>
      <c r="L266" s="667"/>
      <c r="M266" s="667"/>
      <c r="N266" s="667"/>
      <c r="O266" s="667"/>
      <c r="P266" s="667"/>
      <c r="Q266" s="667"/>
      <c r="R266" s="667"/>
      <c r="S266" s="667"/>
      <c r="T266" s="667"/>
      <c r="U266" s="667"/>
      <c r="V266" s="667"/>
      <c r="W266" s="667"/>
      <c r="X266" s="667"/>
      <c r="Y266" s="667"/>
      <c r="Z266" s="667"/>
      <c r="AA266" s="667"/>
      <c r="AB266" s="667"/>
      <c r="FJ266" s="668"/>
      <c r="FK266" s="668"/>
      <c r="FL266" s="668"/>
      <c r="FM266" s="668"/>
      <c r="FN266" s="668"/>
      <c r="FO266" s="668"/>
      <c r="FV266" s="669"/>
      <c r="FZ266" s="669"/>
      <c r="GA266" s="669"/>
      <c r="GB266" s="669"/>
      <c r="GC266" s="669"/>
      <c r="GD266" s="665"/>
      <c r="GF266" s="669"/>
      <c r="GG266" s="669"/>
      <c r="GH266" s="669"/>
      <c r="GI266" s="669"/>
      <c r="GJ266" s="669"/>
      <c r="GK266" s="669"/>
      <c r="GL266" s="669"/>
      <c r="GM266" s="669"/>
      <c r="GN266" s="669"/>
      <c r="GO266" s="669"/>
      <c r="GP266" s="669"/>
      <c r="GQ266" s="669"/>
      <c r="GR266" s="669"/>
      <c r="GS266" s="669"/>
      <c r="GT266" s="669"/>
      <c r="GU266" s="669"/>
      <c r="GV266" s="669"/>
      <c r="GW266" s="669"/>
      <c r="GX266" s="669"/>
      <c r="GY266" s="669"/>
      <c r="GZ266" s="669"/>
      <c r="HA266" s="669"/>
      <c r="HB266" s="669"/>
      <c r="HC266" s="669"/>
      <c r="HD266" s="669"/>
      <c r="HE266" s="669"/>
      <c r="HF266" s="669"/>
      <c r="HG266" s="669"/>
      <c r="HH266" s="670"/>
      <c r="HI266" s="670"/>
      <c r="HJ266" s="671"/>
      <c r="HK266" s="669"/>
      <c r="HL266" s="665"/>
      <c r="HM266" s="665"/>
      <c r="HP266" s="670"/>
      <c r="HQ266" s="671"/>
      <c r="HR266" s="671"/>
      <c r="HS266" s="671"/>
      <c r="HT266" s="671"/>
      <c r="HU266" s="671"/>
      <c r="HV266" s="671"/>
      <c r="HW266" s="671"/>
      <c r="HX266" s="671"/>
      <c r="HY266" s="671"/>
      <c r="HZ266" s="671"/>
      <c r="IA266" s="671"/>
      <c r="IB266" s="671"/>
      <c r="IC266" s="671"/>
      <c r="ID266" s="671"/>
      <c r="IE266" s="671"/>
      <c r="IF266" s="671"/>
      <c r="IG266" s="671"/>
      <c r="IH266" s="671"/>
      <c r="II266" s="671"/>
      <c r="IJ266" s="671"/>
      <c r="IK266" s="671"/>
      <c r="IL266" s="671"/>
      <c r="IM266" s="671"/>
      <c r="IN266" s="671"/>
      <c r="IO266" s="671"/>
      <c r="IP266" s="671"/>
      <c r="IQ266" s="671"/>
      <c r="IR266" s="671"/>
      <c r="IS266" s="671"/>
      <c r="IT266" s="671"/>
      <c r="IU266" s="671"/>
      <c r="IV266" s="671"/>
      <c r="IW266" s="671"/>
      <c r="IX266" s="671"/>
      <c r="IY266" s="671"/>
      <c r="IZ266" s="671"/>
      <c r="JA266" s="671"/>
      <c r="JB266" s="671"/>
      <c r="JC266" s="671"/>
      <c r="JD266" s="671"/>
      <c r="JE266" s="671"/>
      <c r="JF266" s="671"/>
      <c r="JG266" s="671"/>
      <c r="JH266" s="671"/>
      <c r="JI266" s="671"/>
      <c r="JJ266" s="671"/>
      <c r="JK266" s="671"/>
      <c r="JL266" s="671"/>
      <c r="JM266" s="671"/>
      <c r="JN266" s="671"/>
      <c r="JO266" s="671"/>
      <c r="JP266" s="671"/>
      <c r="JQ266" s="671"/>
      <c r="JR266" s="671"/>
      <c r="JS266" s="671"/>
      <c r="JT266" s="671"/>
      <c r="JU266" s="671"/>
      <c r="JV266" s="671"/>
      <c r="JW266" s="671"/>
      <c r="JX266" s="671"/>
      <c r="JY266" s="671"/>
      <c r="JZ266" s="671"/>
      <c r="KA266" s="671"/>
      <c r="KB266" s="671"/>
      <c r="KC266" s="671"/>
      <c r="KD266" s="671"/>
      <c r="KE266" s="671"/>
      <c r="KF266" s="671"/>
      <c r="KG266" s="671"/>
      <c r="KH266" s="671"/>
      <c r="KI266" s="671"/>
      <c r="KJ266" s="671"/>
      <c r="KL266" s="669"/>
      <c r="KM266" s="669"/>
      <c r="KQ266" s="672"/>
      <c r="KR266" s="673"/>
      <c r="KS266" s="672"/>
      <c r="KT266" s="673"/>
      <c r="KU266" s="672"/>
      <c r="KV266" s="673"/>
      <c r="KW266" s="672"/>
      <c r="KX266" s="673"/>
      <c r="KY266" s="672"/>
      <c r="KZ266" s="673"/>
    </row>
    <row r="267" s="628" customFormat="1" spans="2:312">
      <c r="B267" s="659"/>
      <c r="C267" s="662"/>
      <c r="E267" s="665"/>
      <c r="F267" s="665"/>
      <c r="G267" s="666"/>
      <c r="H267" s="666"/>
      <c r="I267" s="667"/>
      <c r="J267" s="667"/>
      <c r="K267" s="667"/>
      <c r="L267" s="667"/>
      <c r="M267" s="667"/>
      <c r="N267" s="667"/>
      <c r="O267" s="667"/>
      <c r="P267" s="667"/>
      <c r="Q267" s="667"/>
      <c r="R267" s="667"/>
      <c r="S267" s="667"/>
      <c r="T267" s="667"/>
      <c r="U267" s="667"/>
      <c r="V267" s="667"/>
      <c r="W267" s="667"/>
      <c r="X267" s="667"/>
      <c r="Y267" s="667"/>
      <c r="Z267" s="667"/>
      <c r="AA267" s="667"/>
      <c r="AB267" s="667"/>
      <c r="FJ267" s="668"/>
      <c r="FK267" s="668"/>
      <c r="FL267" s="668"/>
      <c r="FM267" s="668"/>
      <c r="FN267" s="668"/>
      <c r="FO267" s="668"/>
      <c r="FV267" s="669"/>
      <c r="FZ267" s="669"/>
      <c r="GA267" s="669"/>
      <c r="GB267" s="669"/>
      <c r="GC267" s="669"/>
      <c r="GD267" s="665"/>
      <c r="GF267" s="669"/>
      <c r="GG267" s="669"/>
      <c r="GH267" s="669"/>
      <c r="GI267" s="669"/>
      <c r="GJ267" s="669"/>
      <c r="GK267" s="669"/>
      <c r="GL267" s="669"/>
      <c r="GM267" s="669"/>
      <c r="GN267" s="669"/>
      <c r="GO267" s="669"/>
      <c r="GP267" s="669"/>
      <c r="GQ267" s="669"/>
      <c r="GR267" s="669"/>
      <c r="GS267" s="669"/>
      <c r="GT267" s="669"/>
      <c r="GU267" s="669"/>
      <c r="GV267" s="669"/>
      <c r="GW267" s="669"/>
      <c r="GX267" s="669"/>
      <c r="GY267" s="669"/>
      <c r="GZ267" s="669"/>
      <c r="HA267" s="669"/>
      <c r="HB267" s="669"/>
      <c r="HC267" s="669"/>
      <c r="HD267" s="669"/>
      <c r="HE267" s="669"/>
      <c r="HF267" s="669"/>
      <c r="HG267" s="669"/>
      <c r="HH267" s="670"/>
      <c r="HI267" s="670"/>
      <c r="HJ267" s="671"/>
      <c r="HK267" s="669"/>
      <c r="HL267" s="665"/>
      <c r="HM267" s="665"/>
      <c r="HP267" s="670"/>
      <c r="HQ267" s="671"/>
      <c r="HR267" s="671"/>
      <c r="HS267" s="671"/>
      <c r="HT267" s="671"/>
      <c r="HU267" s="671"/>
      <c r="HV267" s="671"/>
      <c r="HW267" s="671"/>
      <c r="HX267" s="671"/>
      <c r="HY267" s="671"/>
      <c r="HZ267" s="671"/>
      <c r="IA267" s="671"/>
      <c r="IB267" s="671"/>
      <c r="IC267" s="671"/>
      <c r="ID267" s="671"/>
      <c r="IE267" s="671"/>
      <c r="IF267" s="671"/>
      <c r="IG267" s="671"/>
      <c r="IH267" s="671"/>
      <c r="II267" s="671"/>
      <c r="IJ267" s="671"/>
      <c r="IK267" s="671"/>
      <c r="IL267" s="671"/>
      <c r="IM267" s="671"/>
      <c r="IN267" s="671"/>
      <c r="IO267" s="671"/>
      <c r="IP267" s="671"/>
      <c r="IQ267" s="671"/>
      <c r="IR267" s="671"/>
      <c r="IS267" s="671"/>
      <c r="IT267" s="671"/>
      <c r="IU267" s="671"/>
      <c r="IV267" s="671"/>
      <c r="IW267" s="671"/>
      <c r="IX267" s="671"/>
      <c r="IY267" s="671"/>
      <c r="IZ267" s="671"/>
      <c r="JA267" s="671"/>
      <c r="JB267" s="671"/>
      <c r="JC267" s="671"/>
      <c r="JD267" s="671"/>
      <c r="JE267" s="671"/>
      <c r="JF267" s="671"/>
      <c r="JG267" s="671"/>
      <c r="JH267" s="671"/>
      <c r="JI267" s="671"/>
      <c r="JJ267" s="671"/>
      <c r="JK267" s="671"/>
      <c r="JL267" s="671"/>
      <c r="JM267" s="671"/>
      <c r="JN267" s="671"/>
      <c r="JO267" s="671"/>
      <c r="JP267" s="671"/>
      <c r="JQ267" s="671"/>
      <c r="JR267" s="671"/>
      <c r="JS267" s="671"/>
      <c r="JT267" s="671"/>
      <c r="JU267" s="671"/>
      <c r="JV267" s="671"/>
      <c r="JW267" s="671"/>
      <c r="JX267" s="671"/>
      <c r="JY267" s="671"/>
      <c r="JZ267" s="671"/>
      <c r="KA267" s="671"/>
      <c r="KB267" s="671"/>
      <c r="KC267" s="671"/>
      <c r="KD267" s="671"/>
      <c r="KE267" s="671"/>
      <c r="KF267" s="671"/>
      <c r="KG267" s="671"/>
      <c r="KH267" s="671"/>
      <c r="KI267" s="671"/>
      <c r="KJ267" s="671"/>
      <c r="KL267" s="669"/>
      <c r="KM267" s="669"/>
      <c r="KQ267" s="672"/>
      <c r="KR267" s="673"/>
      <c r="KS267" s="672"/>
      <c r="KT267" s="673"/>
      <c r="KU267" s="672"/>
      <c r="KV267" s="673"/>
      <c r="KW267" s="672"/>
      <c r="KX267" s="673"/>
      <c r="KY267" s="672"/>
      <c r="KZ267" s="673"/>
    </row>
    <row r="268" s="628" customFormat="1" spans="2:312">
      <c r="B268" s="659"/>
      <c r="C268" s="662"/>
      <c r="E268" s="665"/>
      <c r="F268" s="665"/>
      <c r="G268" s="666"/>
      <c r="H268" s="666"/>
      <c r="I268" s="667"/>
      <c r="J268" s="667"/>
      <c r="K268" s="667"/>
      <c r="L268" s="667"/>
      <c r="M268" s="667"/>
      <c r="N268" s="667"/>
      <c r="O268" s="667"/>
      <c r="P268" s="667"/>
      <c r="Q268" s="667"/>
      <c r="R268" s="667"/>
      <c r="S268" s="667"/>
      <c r="T268" s="667"/>
      <c r="U268" s="667"/>
      <c r="V268" s="667"/>
      <c r="W268" s="667"/>
      <c r="X268" s="667"/>
      <c r="Y268" s="667"/>
      <c r="Z268" s="667"/>
      <c r="AA268" s="667"/>
      <c r="AB268" s="667"/>
      <c r="FJ268" s="668"/>
      <c r="FK268" s="668"/>
      <c r="FL268" s="668"/>
      <c r="FM268" s="668"/>
      <c r="FN268" s="668"/>
      <c r="FO268" s="668"/>
      <c r="FV268" s="669"/>
      <c r="FZ268" s="669"/>
      <c r="GA268" s="669"/>
      <c r="GB268" s="669"/>
      <c r="GC268" s="669"/>
      <c r="GD268" s="665"/>
      <c r="GF268" s="669"/>
      <c r="GG268" s="669"/>
      <c r="GH268" s="669"/>
      <c r="GI268" s="669"/>
      <c r="GJ268" s="669"/>
      <c r="GK268" s="669"/>
      <c r="GL268" s="669"/>
      <c r="GM268" s="669"/>
      <c r="GN268" s="669"/>
      <c r="GO268" s="669"/>
      <c r="GP268" s="669"/>
      <c r="GQ268" s="669"/>
      <c r="GR268" s="669"/>
      <c r="GS268" s="669"/>
      <c r="GT268" s="669"/>
      <c r="GU268" s="669"/>
      <c r="GV268" s="669"/>
      <c r="GW268" s="669"/>
      <c r="GX268" s="669"/>
      <c r="GY268" s="669"/>
      <c r="GZ268" s="669"/>
      <c r="HA268" s="669"/>
      <c r="HB268" s="669"/>
      <c r="HC268" s="669"/>
      <c r="HD268" s="669"/>
      <c r="HE268" s="669"/>
      <c r="HF268" s="669"/>
      <c r="HG268" s="669"/>
      <c r="HH268" s="670"/>
      <c r="HI268" s="670"/>
      <c r="HJ268" s="671"/>
      <c r="HK268" s="669"/>
      <c r="HL268" s="665"/>
      <c r="HM268" s="665"/>
      <c r="HP268" s="670"/>
      <c r="HQ268" s="671"/>
      <c r="HR268" s="671"/>
      <c r="HS268" s="671"/>
      <c r="HT268" s="671"/>
      <c r="HU268" s="671"/>
      <c r="HV268" s="671"/>
      <c r="HW268" s="671"/>
      <c r="HX268" s="671"/>
      <c r="HY268" s="671"/>
      <c r="HZ268" s="671"/>
      <c r="IA268" s="671"/>
      <c r="IB268" s="671"/>
      <c r="IC268" s="671"/>
      <c r="ID268" s="671"/>
      <c r="IE268" s="671"/>
      <c r="IF268" s="671"/>
      <c r="IG268" s="671"/>
      <c r="IH268" s="671"/>
      <c r="II268" s="671"/>
      <c r="IJ268" s="671"/>
      <c r="IK268" s="671"/>
      <c r="IL268" s="671"/>
      <c r="IM268" s="671"/>
      <c r="IN268" s="671"/>
      <c r="IO268" s="671"/>
      <c r="IP268" s="671"/>
      <c r="IQ268" s="671"/>
      <c r="IR268" s="671"/>
      <c r="IS268" s="671"/>
      <c r="IT268" s="671"/>
      <c r="IU268" s="671"/>
      <c r="IV268" s="671"/>
      <c r="IW268" s="671"/>
      <c r="IX268" s="671"/>
      <c r="IY268" s="671"/>
      <c r="IZ268" s="671"/>
      <c r="JA268" s="671"/>
      <c r="JB268" s="671"/>
      <c r="JC268" s="671"/>
      <c r="JD268" s="671"/>
      <c r="JE268" s="671"/>
      <c r="JF268" s="671"/>
      <c r="JG268" s="671"/>
      <c r="JH268" s="671"/>
      <c r="JI268" s="671"/>
      <c r="JJ268" s="671"/>
      <c r="JK268" s="671"/>
      <c r="JL268" s="671"/>
      <c r="JM268" s="671"/>
      <c r="JN268" s="671"/>
      <c r="JO268" s="671"/>
      <c r="JP268" s="671"/>
      <c r="JQ268" s="671"/>
      <c r="JR268" s="671"/>
      <c r="JS268" s="671"/>
      <c r="JT268" s="671"/>
      <c r="JU268" s="671"/>
      <c r="JV268" s="671"/>
      <c r="JW268" s="671"/>
      <c r="JX268" s="671"/>
      <c r="JY268" s="671"/>
      <c r="JZ268" s="671"/>
      <c r="KA268" s="671"/>
      <c r="KB268" s="671"/>
      <c r="KC268" s="671"/>
      <c r="KD268" s="671"/>
      <c r="KE268" s="671"/>
      <c r="KF268" s="671"/>
      <c r="KG268" s="671"/>
      <c r="KH268" s="671"/>
      <c r="KI268" s="671"/>
      <c r="KJ268" s="671"/>
      <c r="KL268" s="669"/>
      <c r="KM268" s="669"/>
      <c r="KQ268" s="672"/>
      <c r="KR268" s="673"/>
      <c r="KS268" s="672"/>
      <c r="KT268" s="673"/>
      <c r="KU268" s="672"/>
      <c r="KV268" s="673"/>
      <c r="KW268" s="672"/>
      <c r="KX268" s="673"/>
      <c r="KY268" s="672"/>
      <c r="KZ268" s="673"/>
    </row>
    <row r="269" s="628" customFormat="1" spans="2:312">
      <c r="B269" s="659"/>
      <c r="C269" s="662"/>
      <c r="E269" s="665"/>
      <c r="F269" s="665"/>
      <c r="G269" s="666"/>
      <c r="H269" s="666"/>
      <c r="I269" s="667"/>
      <c r="J269" s="667"/>
      <c r="K269" s="667"/>
      <c r="L269" s="667"/>
      <c r="M269" s="667"/>
      <c r="N269" s="667"/>
      <c r="O269" s="667"/>
      <c r="P269" s="667"/>
      <c r="Q269" s="667"/>
      <c r="R269" s="667"/>
      <c r="S269" s="667"/>
      <c r="T269" s="667"/>
      <c r="U269" s="667"/>
      <c r="V269" s="667"/>
      <c r="W269" s="667"/>
      <c r="X269" s="667"/>
      <c r="Y269" s="667"/>
      <c r="Z269" s="667"/>
      <c r="AA269" s="667"/>
      <c r="AB269" s="667"/>
      <c r="FJ269" s="668"/>
      <c r="FK269" s="668"/>
      <c r="FL269" s="668"/>
      <c r="FM269" s="668"/>
      <c r="FN269" s="668"/>
      <c r="FO269" s="668"/>
      <c r="FV269" s="669"/>
      <c r="FZ269" s="669"/>
      <c r="GA269" s="669"/>
      <c r="GB269" s="669"/>
      <c r="GC269" s="669"/>
      <c r="GD269" s="665"/>
      <c r="GF269" s="669"/>
      <c r="GG269" s="669"/>
      <c r="GH269" s="669"/>
      <c r="GI269" s="669"/>
      <c r="GJ269" s="669"/>
      <c r="GK269" s="669"/>
      <c r="GL269" s="669"/>
      <c r="GM269" s="669"/>
      <c r="GN269" s="669"/>
      <c r="GO269" s="669"/>
      <c r="GP269" s="669"/>
      <c r="GQ269" s="669"/>
      <c r="GR269" s="669"/>
      <c r="GS269" s="669"/>
      <c r="GT269" s="669"/>
      <c r="GU269" s="669"/>
      <c r="GV269" s="669"/>
      <c r="GW269" s="669"/>
      <c r="GX269" s="669"/>
      <c r="GY269" s="669"/>
      <c r="GZ269" s="669"/>
      <c r="HA269" s="669"/>
      <c r="HB269" s="669"/>
      <c r="HC269" s="669"/>
      <c r="HD269" s="669"/>
      <c r="HE269" s="669"/>
      <c r="HF269" s="669"/>
      <c r="HG269" s="669"/>
      <c r="HH269" s="670"/>
      <c r="HI269" s="670"/>
      <c r="HJ269" s="671"/>
      <c r="HK269" s="669"/>
      <c r="HL269" s="665"/>
      <c r="HM269" s="665"/>
      <c r="HP269" s="670"/>
      <c r="HQ269" s="671"/>
      <c r="HR269" s="671"/>
      <c r="HS269" s="671"/>
      <c r="HT269" s="671"/>
      <c r="HU269" s="671"/>
      <c r="HV269" s="671"/>
      <c r="HW269" s="671"/>
      <c r="HX269" s="671"/>
      <c r="HY269" s="671"/>
      <c r="HZ269" s="671"/>
      <c r="IA269" s="671"/>
      <c r="IB269" s="671"/>
      <c r="IC269" s="671"/>
      <c r="ID269" s="671"/>
      <c r="IE269" s="671"/>
      <c r="IF269" s="671"/>
      <c r="IG269" s="671"/>
      <c r="IH269" s="671"/>
      <c r="II269" s="671"/>
      <c r="IJ269" s="671"/>
      <c r="IK269" s="671"/>
      <c r="IL269" s="671"/>
      <c r="IM269" s="671"/>
      <c r="IN269" s="671"/>
      <c r="IO269" s="671"/>
      <c r="IP269" s="671"/>
      <c r="IQ269" s="671"/>
      <c r="IR269" s="671"/>
      <c r="IS269" s="671"/>
      <c r="IT269" s="671"/>
      <c r="IU269" s="671"/>
      <c r="IV269" s="671"/>
      <c r="IW269" s="671"/>
      <c r="IX269" s="671"/>
      <c r="IY269" s="671"/>
      <c r="IZ269" s="671"/>
      <c r="JA269" s="671"/>
      <c r="JB269" s="671"/>
      <c r="JC269" s="671"/>
      <c r="JD269" s="671"/>
      <c r="JE269" s="671"/>
      <c r="JF269" s="671"/>
      <c r="JG269" s="671"/>
      <c r="JH269" s="671"/>
      <c r="JI269" s="671"/>
      <c r="JJ269" s="671"/>
      <c r="JK269" s="671"/>
      <c r="JL269" s="671"/>
      <c r="JM269" s="671"/>
      <c r="JN269" s="671"/>
      <c r="JO269" s="671"/>
      <c r="JP269" s="671"/>
      <c r="JQ269" s="671"/>
      <c r="JR269" s="671"/>
      <c r="JS269" s="671"/>
      <c r="JT269" s="671"/>
      <c r="JU269" s="671"/>
      <c r="JV269" s="671"/>
      <c r="JW269" s="671"/>
      <c r="JX269" s="671"/>
      <c r="JY269" s="671"/>
      <c r="JZ269" s="671"/>
      <c r="KA269" s="671"/>
      <c r="KB269" s="671"/>
      <c r="KC269" s="671"/>
      <c r="KD269" s="671"/>
      <c r="KE269" s="671"/>
      <c r="KF269" s="671"/>
      <c r="KG269" s="671"/>
      <c r="KH269" s="671"/>
      <c r="KI269" s="671"/>
      <c r="KJ269" s="671"/>
      <c r="KL269" s="669"/>
      <c r="KM269" s="669"/>
      <c r="KQ269" s="672"/>
      <c r="KR269" s="673"/>
      <c r="KS269" s="672"/>
      <c r="KT269" s="673"/>
      <c r="KU269" s="672"/>
      <c r="KV269" s="673"/>
      <c r="KW269" s="672"/>
      <c r="KX269" s="673"/>
      <c r="KY269" s="672"/>
      <c r="KZ269" s="673"/>
    </row>
    <row r="270" s="628" customFormat="1" spans="2:312">
      <c r="B270" s="659"/>
      <c r="C270" s="662"/>
      <c r="E270" s="665"/>
      <c r="F270" s="665"/>
      <c r="G270" s="666"/>
      <c r="H270" s="666"/>
      <c r="I270" s="667"/>
      <c r="J270" s="667"/>
      <c r="K270" s="667"/>
      <c r="L270" s="667"/>
      <c r="M270" s="667"/>
      <c r="N270" s="667"/>
      <c r="O270" s="667"/>
      <c r="P270" s="667"/>
      <c r="Q270" s="667"/>
      <c r="R270" s="667"/>
      <c r="S270" s="667"/>
      <c r="T270" s="667"/>
      <c r="U270" s="667"/>
      <c r="V270" s="667"/>
      <c r="W270" s="667"/>
      <c r="X270" s="667"/>
      <c r="Y270" s="667"/>
      <c r="Z270" s="667"/>
      <c r="AA270" s="667"/>
      <c r="AB270" s="667"/>
      <c r="FJ270" s="668"/>
      <c r="FK270" s="668"/>
      <c r="FL270" s="668"/>
      <c r="FM270" s="668"/>
      <c r="FN270" s="668"/>
      <c r="FO270" s="668"/>
      <c r="FV270" s="669"/>
      <c r="FZ270" s="669"/>
      <c r="GA270" s="669"/>
      <c r="GB270" s="669"/>
      <c r="GC270" s="669"/>
      <c r="GD270" s="665"/>
      <c r="GF270" s="669"/>
      <c r="GG270" s="669"/>
      <c r="GH270" s="669"/>
      <c r="GI270" s="669"/>
      <c r="GJ270" s="669"/>
      <c r="GK270" s="669"/>
      <c r="GL270" s="669"/>
      <c r="GM270" s="669"/>
      <c r="GN270" s="669"/>
      <c r="GO270" s="669"/>
      <c r="GP270" s="669"/>
      <c r="GQ270" s="669"/>
      <c r="GR270" s="669"/>
      <c r="GS270" s="669"/>
      <c r="GT270" s="669"/>
      <c r="GU270" s="669"/>
      <c r="GV270" s="669"/>
      <c r="GW270" s="669"/>
      <c r="GX270" s="669"/>
      <c r="GY270" s="669"/>
      <c r="GZ270" s="669"/>
      <c r="HA270" s="669"/>
      <c r="HB270" s="669"/>
      <c r="HC270" s="669"/>
      <c r="HD270" s="669"/>
      <c r="HE270" s="669"/>
      <c r="HF270" s="669"/>
      <c r="HG270" s="669"/>
      <c r="HH270" s="670"/>
      <c r="HI270" s="670"/>
      <c r="HJ270" s="671"/>
      <c r="HK270" s="669"/>
      <c r="HL270" s="665"/>
      <c r="HM270" s="665"/>
      <c r="HP270" s="670"/>
      <c r="HQ270" s="671"/>
      <c r="HR270" s="671"/>
      <c r="HS270" s="671"/>
      <c r="HT270" s="671"/>
      <c r="HU270" s="671"/>
      <c r="HV270" s="671"/>
      <c r="HW270" s="671"/>
      <c r="HX270" s="671"/>
      <c r="HY270" s="671"/>
      <c r="HZ270" s="671"/>
      <c r="IA270" s="671"/>
      <c r="IB270" s="671"/>
      <c r="IC270" s="671"/>
      <c r="ID270" s="671"/>
      <c r="IE270" s="671"/>
      <c r="IF270" s="671"/>
      <c r="IG270" s="671"/>
      <c r="IH270" s="671"/>
      <c r="II270" s="671"/>
      <c r="IJ270" s="671"/>
      <c r="IK270" s="671"/>
      <c r="IL270" s="671"/>
      <c r="IM270" s="671"/>
      <c r="IN270" s="671"/>
      <c r="IO270" s="671"/>
      <c r="IP270" s="671"/>
      <c r="IQ270" s="671"/>
      <c r="IR270" s="671"/>
      <c r="IS270" s="671"/>
      <c r="IT270" s="671"/>
      <c r="IU270" s="671"/>
      <c r="IV270" s="671"/>
      <c r="IW270" s="671"/>
      <c r="IX270" s="671"/>
      <c r="IY270" s="671"/>
      <c r="IZ270" s="671"/>
      <c r="JA270" s="671"/>
      <c r="JB270" s="671"/>
      <c r="JC270" s="671"/>
      <c r="JD270" s="671"/>
      <c r="JE270" s="671"/>
      <c r="JF270" s="671"/>
      <c r="JG270" s="671"/>
      <c r="JH270" s="671"/>
      <c r="JI270" s="671"/>
      <c r="JJ270" s="671"/>
      <c r="JK270" s="671"/>
      <c r="JL270" s="671"/>
      <c r="JM270" s="671"/>
      <c r="JN270" s="671"/>
      <c r="JO270" s="671"/>
      <c r="JP270" s="671"/>
      <c r="JQ270" s="671"/>
      <c r="JR270" s="671"/>
      <c r="JS270" s="671"/>
      <c r="JT270" s="671"/>
      <c r="JU270" s="671"/>
      <c r="JV270" s="671"/>
      <c r="JW270" s="671"/>
      <c r="JX270" s="671"/>
      <c r="JY270" s="671"/>
      <c r="JZ270" s="671"/>
      <c r="KA270" s="671"/>
      <c r="KB270" s="671"/>
      <c r="KC270" s="671"/>
      <c r="KD270" s="671"/>
      <c r="KE270" s="671"/>
      <c r="KF270" s="671"/>
      <c r="KG270" s="671"/>
      <c r="KH270" s="671"/>
      <c r="KI270" s="671"/>
      <c r="KJ270" s="671"/>
      <c r="KL270" s="669"/>
      <c r="KM270" s="669"/>
      <c r="KQ270" s="672"/>
      <c r="KR270" s="673"/>
      <c r="KS270" s="672"/>
      <c r="KT270" s="673"/>
      <c r="KU270" s="672"/>
      <c r="KV270" s="673"/>
      <c r="KW270" s="672"/>
      <c r="KX270" s="673"/>
      <c r="KY270" s="672"/>
      <c r="KZ270" s="673"/>
    </row>
    <row r="271" s="628" customFormat="1" spans="2:312">
      <c r="B271" s="659"/>
      <c r="C271" s="662"/>
      <c r="E271" s="665"/>
      <c r="F271" s="665"/>
      <c r="G271" s="666"/>
      <c r="H271" s="666"/>
      <c r="I271" s="667"/>
      <c r="J271" s="667"/>
      <c r="K271" s="667"/>
      <c r="L271" s="667"/>
      <c r="M271" s="667"/>
      <c r="N271" s="667"/>
      <c r="O271" s="667"/>
      <c r="P271" s="667"/>
      <c r="Q271" s="667"/>
      <c r="R271" s="667"/>
      <c r="S271" s="667"/>
      <c r="T271" s="667"/>
      <c r="U271" s="667"/>
      <c r="V271" s="667"/>
      <c r="W271" s="667"/>
      <c r="X271" s="667"/>
      <c r="Y271" s="667"/>
      <c r="Z271" s="667"/>
      <c r="AA271" s="667"/>
      <c r="AB271" s="667"/>
      <c r="FJ271" s="668"/>
      <c r="FK271" s="668"/>
      <c r="FL271" s="668"/>
      <c r="FM271" s="668"/>
      <c r="FN271" s="668"/>
      <c r="FO271" s="668"/>
      <c r="FV271" s="669"/>
      <c r="FZ271" s="669"/>
      <c r="GA271" s="669"/>
      <c r="GB271" s="669"/>
      <c r="GC271" s="669"/>
      <c r="GD271" s="665"/>
      <c r="GF271" s="669"/>
      <c r="GG271" s="669"/>
      <c r="GH271" s="669"/>
      <c r="GI271" s="669"/>
      <c r="GJ271" s="669"/>
      <c r="GK271" s="669"/>
      <c r="GL271" s="669"/>
      <c r="GM271" s="669"/>
      <c r="GN271" s="669"/>
      <c r="GO271" s="669"/>
      <c r="GP271" s="669"/>
      <c r="GQ271" s="669"/>
      <c r="GR271" s="669"/>
      <c r="GS271" s="669"/>
      <c r="GT271" s="669"/>
      <c r="GU271" s="669"/>
      <c r="GV271" s="669"/>
      <c r="GW271" s="669"/>
      <c r="GX271" s="669"/>
      <c r="GY271" s="669"/>
      <c r="GZ271" s="669"/>
      <c r="HA271" s="669"/>
      <c r="HB271" s="669"/>
      <c r="HC271" s="669"/>
      <c r="HD271" s="669"/>
      <c r="HE271" s="669"/>
      <c r="HF271" s="669"/>
      <c r="HG271" s="669"/>
      <c r="HH271" s="670"/>
      <c r="HI271" s="670"/>
      <c r="HJ271" s="671"/>
      <c r="HK271" s="669"/>
      <c r="HL271" s="665"/>
      <c r="HM271" s="665"/>
      <c r="HP271" s="670"/>
      <c r="HQ271" s="671"/>
      <c r="HR271" s="671"/>
      <c r="HS271" s="671"/>
      <c r="HT271" s="671"/>
      <c r="HU271" s="671"/>
      <c r="HV271" s="671"/>
      <c r="HW271" s="671"/>
      <c r="HX271" s="671"/>
      <c r="HY271" s="671"/>
      <c r="HZ271" s="671"/>
      <c r="IA271" s="671"/>
      <c r="IB271" s="671"/>
      <c r="IC271" s="671"/>
      <c r="ID271" s="671"/>
      <c r="IE271" s="671"/>
      <c r="IF271" s="671"/>
      <c r="IG271" s="671"/>
      <c r="IH271" s="671"/>
      <c r="II271" s="671"/>
      <c r="IJ271" s="671"/>
      <c r="IK271" s="671"/>
      <c r="IL271" s="671"/>
      <c r="IM271" s="671"/>
      <c r="IN271" s="671"/>
      <c r="IO271" s="671"/>
      <c r="IP271" s="671"/>
      <c r="IQ271" s="671"/>
      <c r="IR271" s="671"/>
      <c r="IS271" s="671"/>
      <c r="IT271" s="671"/>
      <c r="IU271" s="671"/>
      <c r="IV271" s="671"/>
      <c r="IW271" s="671"/>
      <c r="IX271" s="671"/>
      <c r="IY271" s="671"/>
      <c r="IZ271" s="671"/>
      <c r="JA271" s="671"/>
      <c r="JB271" s="671"/>
      <c r="JC271" s="671"/>
      <c r="JD271" s="671"/>
      <c r="JE271" s="671"/>
      <c r="JF271" s="671"/>
      <c r="JG271" s="671"/>
      <c r="JH271" s="671"/>
      <c r="JI271" s="671"/>
      <c r="JJ271" s="671"/>
      <c r="JK271" s="671"/>
      <c r="JL271" s="671"/>
      <c r="JM271" s="671"/>
      <c r="JN271" s="671"/>
      <c r="JO271" s="671"/>
      <c r="JP271" s="671"/>
      <c r="JQ271" s="671"/>
      <c r="JR271" s="671"/>
      <c r="JS271" s="671"/>
      <c r="JT271" s="671"/>
      <c r="JU271" s="671"/>
      <c r="JV271" s="671"/>
      <c r="JW271" s="671"/>
      <c r="JX271" s="671"/>
      <c r="JY271" s="671"/>
      <c r="JZ271" s="671"/>
      <c r="KA271" s="671"/>
      <c r="KB271" s="671"/>
      <c r="KC271" s="671"/>
      <c r="KD271" s="671"/>
      <c r="KE271" s="671"/>
      <c r="KF271" s="671"/>
      <c r="KG271" s="671"/>
      <c r="KH271" s="671"/>
      <c r="KI271" s="671"/>
      <c r="KJ271" s="671"/>
      <c r="KL271" s="669"/>
      <c r="KM271" s="669"/>
      <c r="KQ271" s="672"/>
      <c r="KR271" s="673"/>
      <c r="KS271" s="672"/>
      <c r="KT271" s="673"/>
      <c r="KU271" s="672"/>
      <c r="KV271" s="673"/>
      <c r="KW271" s="672"/>
      <c r="KX271" s="673"/>
      <c r="KY271" s="672"/>
      <c r="KZ271" s="673"/>
    </row>
    <row r="272" s="628" customFormat="1" spans="2:312">
      <c r="B272" s="659"/>
      <c r="C272" s="662"/>
      <c r="E272" s="665"/>
      <c r="F272" s="665"/>
      <c r="G272" s="666"/>
      <c r="H272" s="666"/>
      <c r="I272" s="667"/>
      <c r="J272" s="667"/>
      <c r="K272" s="667"/>
      <c r="L272" s="667"/>
      <c r="M272" s="667"/>
      <c r="N272" s="667"/>
      <c r="O272" s="667"/>
      <c r="P272" s="667"/>
      <c r="Q272" s="667"/>
      <c r="R272" s="667"/>
      <c r="S272" s="667"/>
      <c r="T272" s="667"/>
      <c r="U272" s="667"/>
      <c r="V272" s="667"/>
      <c r="W272" s="667"/>
      <c r="X272" s="667"/>
      <c r="Y272" s="667"/>
      <c r="Z272" s="667"/>
      <c r="AA272" s="667"/>
      <c r="AB272" s="667"/>
      <c r="FJ272" s="668"/>
      <c r="FK272" s="668"/>
      <c r="FL272" s="668"/>
      <c r="FM272" s="668"/>
      <c r="FN272" s="668"/>
      <c r="FO272" s="668"/>
      <c r="FV272" s="669"/>
      <c r="FZ272" s="669"/>
      <c r="GA272" s="669"/>
      <c r="GB272" s="669"/>
      <c r="GC272" s="669"/>
      <c r="GD272" s="665"/>
      <c r="GF272" s="669"/>
      <c r="GG272" s="669"/>
      <c r="GH272" s="669"/>
      <c r="GI272" s="669"/>
      <c r="GJ272" s="669"/>
      <c r="GK272" s="669"/>
      <c r="GL272" s="669"/>
      <c r="GM272" s="669"/>
      <c r="GN272" s="669"/>
      <c r="GO272" s="669"/>
      <c r="GP272" s="669"/>
      <c r="GQ272" s="669"/>
      <c r="GR272" s="669"/>
      <c r="GS272" s="669"/>
      <c r="GT272" s="669"/>
      <c r="GU272" s="669"/>
      <c r="GV272" s="669"/>
      <c r="GW272" s="669"/>
      <c r="GX272" s="669"/>
      <c r="GY272" s="669"/>
      <c r="GZ272" s="669"/>
      <c r="HA272" s="669"/>
      <c r="HB272" s="669"/>
      <c r="HC272" s="669"/>
      <c r="HD272" s="669"/>
      <c r="HE272" s="669"/>
      <c r="HF272" s="669"/>
      <c r="HG272" s="669"/>
      <c r="HH272" s="670"/>
      <c r="HI272" s="670"/>
      <c r="HJ272" s="671"/>
      <c r="HK272" s="669"/>
      <c r="HL272" s="665"/>
      <c r="HM272" s="665"/>
      <c r="HP272" s="670"/>
      <c r="HQ272" s="671"/>
      <c r="HR272" s="671"/>
      <c r="HS272" s="671"/>
      <c r="HT272" s="671"/>
      <c r="HU272" s="671"/>
      <c r="HV272" s="671"/>
      <c r="HW272" s="671"/>
      <c r="HX272" s="671"/>
      <c r="HY272" s="671"/>
      <c r="HZ272" s="671"/>
      <c r="IA272" s="671"/>
      <c r="IB272" s="671"/>
      <c r="IC272" s="671"/>
      <c r="ID272" s="671"/>
      <c r="IE272" s="671"/>
      <c r="IF272" s="671"/>
      <c r="IG272" s="671"/>
      <c r="IH272" s="671"/>
      <c r="II272" s="671"/>
      <c r="IJ272" s="671"/>
      <c r="IK272" s="671"/>
      <c r="IL272" s="671"/>
      <c r="IM272" s="671"/>
      <c r="IN272" s="671"/>
      <c r="IO272" s="671"/>
      <c r="IP272" s="671"/>
      <c r="IQ272" s="671"/>
      <c r="IR272" s="671"/>
      <c r="IS272" s="671"/>
      <c r="IT272" s="671"/>
      <c r="IU272" s="671"/>
      <c r="IV272" s="671"/>
      <c r="IW272" s="671"/>
      <c r="IX272" s="671"/>
      <c r="IY272" s="671"/>
      <c r="IZ272" s="671"/>
      <c r="JA272" s="671"/>
      <c r="JB272" s="671"/>
      <c r="JC272" s="671"/>
      <c r="JD272" s="671"/>
      <c r="JE272" s="671"/>
      <c r="JF272" s="671"/>
      <c r="JG272" s="671"/>
      <c r="JH272" s="671"/>
      <c r="JI272" s="671"/>
      <c r="JJ272" s="671"/>
      <c r="JK272" s="671"/>
      <c r="JL272" s="671"/>
      <c r="JM272" s="671"/>
      <c r="JN272" s="671"/>
      <c r="JO272" s="671"/>
      <c r="JP272" s="671"/>
      <c r="JQ272" s="671"/>
      <c r="JR272" s="671"/>
      <c r="JS272" s="671"/>
      <c r="JT272" s="671"/>
      <c r="JU272" s="671"/>
      <c r="JV272" s="671"/>
      <c r="JW272" s="671"/>
      <c r="JX272" s="671"/>
      <c r="JY272" s="671"/>
      <c r="JZ272" s="671"/>
      <c r="KA272" s="671"/>
      <c r="KB272" s="671"/>
      <c r="KC272" s="671"/>
      <c r="KD272" s="671"/>
      <c r="KE272" s="671"/>
      <c r="KF272" s="671"/>
      <c r="KG272" s="671"/>
      <c r="KH272" s="671"/>
      <c r="KI272" s="671"/>
      <c r="KJ272" s="671"/>
      <c r="KL272" s="669"/>
      <c r="KM272" s="669"/>
      <c r="KQ272" s="672"/>
      <c r="KR272" s="673"/>
      <c r="KS272" s="672"/>
      <c r="KT272" s="673"/>
      <c r="KU272" s="672"/>
      <c r="KV272" s="673"/>
      <c r="KW272" s="672"/>
      <c r="KX272" s="673"/>
      <c r="KY272" s="672"/>
      <c r="KZ272" s="673"/>
    </row>
    <row r="273" s="628" customFormat="1" spans="2:312">
      <c r="B273" s="659"/>
      <c r="C273" s="662"/>
      <c r="E273" s="665"/>
      <c r="F273" s="665"/>
      <c r="G273" s="666"/>
      <c r="H273" s="666"/>
      <c r="I273" s="667"/>
      <c r="J273" s="667"/>
      <c r="K273" s="667"/>
      <c r="L273" s="667"/>
      <c r="M273" s="667"/>
      <c r="N273" s="667"/>
      <c r="O273" s="667"/>
      <c r="P273" s="667"/>
      <c r="Q273" s="667"/>
      <c r="R273" s="667"/>
      <c r="S273" s="667"/>
      <c r="T273" s="667"/>
      <c r="U273" s="667"/>
      <c r="V273" s="667"/>
      <c r="W273" s="667"/>
      <c r="X273" s="667"/>
      <c r="Y273" s="667"/>
      <c r="Z273" s="667"/>
      <c r="AA273" s="667"/>
      <c r="AB273" s="667"/>
      <c r="FJ273" s="668"/>
      <c r="FK273" s="668"/>
      <c r="FL273" s="668"/>
      <c r="FM273" s="668"/>
      <c r="FN273" s="668"/>
      <c r="FO273" s="668"/>
      <c r="FV273" s="669"/>
      <c r="FZ273" s="669"/>
      <c r="GA273" s="669"/>
      <c r="GB273" s="669"/>
      <c r="GC273" s="669"/>
      <c r="GD273" s="665"/>
      <c r="GF273" s="669"/>
      <c r="GG273" s="669"/>
      <c r="GH273" s="669"/>
      <c r="GI273" s="669"/>
      <c r="GJ273" s="669"/>
      <c r="GK273" s="669"/>
      <c r="GL273" s="669"/>
      <c r="GM273" s="669"/>
      <c r="GN273" s="669"/>
      <c r="GO273" s="669"/>
      <c r="GP273" s="669"/>
      <c r="GQ273" s="669"/>
      <c r="GR273" s="669"/>
      <c r="GS273" s="669"/>
      <c r="GT273" s="669"/>
      <c r="GU273" s="669"/>
      <c r="GV273" s="669"/>
      <c r="GW273" s="669"/>
      <c r="GX273" s="669"/>
      <c r="GY273" s="669"/>
      <c r="GZ273" s="669"/>
      <c r="HA273" s="669"/>
      <c r="HB273" s="669"/>
      <c r="HC273" s="669"/>
      <c r="HD273" s="669"/>
      <c r="HE273" s="669"/>
      <c r="HF273" s="669"/>
      <c r="HG273" s="669"/>
      <c r="HH273" s="670"/>
      <c r="HI273" s="670"/>
      <c r="HJ273" s="671"/>
      <c r="HK273" s="669"/>
      <c r="HL273" s="665"/>
      <c r="HM273" s="665"/>
      <c r="HP273" s="670"/>
      <c r="HQ273" s="671"/>
      <c r="HR273" s="671"/>
      <c r="HS273" s="671"/>
      <c r="HT273" s="671"/>
      <c r="HU273" s="671"/>
      <c r="HV273" s="671"/>
      <c r="HW273" s="671"/>
      <c r="HX273" s="671"/>
      <c r="HY273" s="671"/>
      <c r="HZ273" s="671"/>
      <c r="IA273" s="671"/>
      <c r="IB273" s="671"/>
      <c r="IC273" s="671"/>
      <c r="ID273" s="671"/>
      <c r="IE273" s="671"/>
      <c r="IF273" s="671"/>
      <c r="IG273" s="671"/>
      <c r="IH273" s="671"/>
      <c r="II273" s="671"/>
      <c r="IJ273" s="671"/>
      <c r="IK273" s="671"/>
      <c r="IL273" s="671"/>
      <c r="IM273" s="671"/>
      <c r="IN273" s="671"/>
      <c r="IO273" s="671"/>
      <c r="IP273" s="671"/>
      <c r="IQ273" s="671"/>
      <c r="IR273" s="671"/>
      <c r="IS273" s="671"/>
      <c r="IT273" s="671"/>
      <c r="IU273" s="671"/>
      <c r="IV273" s="671"/>
      <c r="IW273" s="671"/>
      <c r="IX273" s="671"/>
      <c r="IY273" s="671"/>
      <c r="IZ273" s="671"/>
      <c r="JA273" s="671"/>
      <c r="JB273" s="671"/>
      <c r="JC273" s="671"/>
      <c r="JD273" s="671"/>
      <c r="JE273" s="671"/>
      <c r="JF273" s="671"/>
      <c r="JG273" s="671"/>
      <c r="JH273" s="671"/>
      <c r="JI273" s="671"/>
      <c r="JJ273" s="671"/>
      <c r="JK273" s="671"/>
      <c r="JL273" s="671"/>
      <c r="JM273" s="671"/>
      <c r="JN273" s="671"/>
      <c r="JO273" s="671"/>
      <c r="JP273" s="671"/>
      <c r="JQ273" s="671"/>
      <c r="JR273" s="671"/>
      <c r="JS273" s="671"/>
      <c r="JT273" s="671"/>
      <c r="JU273" s="671"/>
      <c r="JV273" s="671"/>
      <c r="JW273" s="671"/>
      <c r="JX273" s="671"/>
      <c r="JY273" s="671"/>
      <c r="JZ273" s="671"/>
      <c r="KA273" s="671"/>
      <c r="KB273" s="671"/>
      <c r="KC273" s="671"/>
      <c r="KD273" s="671"/>
      <c r="KE273" s="671"/>
      <c r="KF273" s="671"/>
      <c r="KG273" s="671"/>
      <c r="KH273" s="671"/>
      <c r="KI273" s="671"/>
      <c r="KJ273" s="671"/>
      <c r="KL273" s="669"/>
      <c r="KM273" s="669"/>
      <c r="KQ273" s="672"/>
      <c r="KR273" s="673"/>
      <c r="KS273" s="672"/>
      <c r="KT273" s="673"/>
      <c r="KU273" s="672"/>
      <c r="KV273" s="673"/>
      <c r="KW273" s="672"/>
      <c r="KX273" s="673"/>
      <c r="KY273" s="672"/>
      <c r="KZ273" s="673"/>
    </row>
    <row r="274" s="628" customFormat="1" spans="2:312">
      <c r="B274" s="659"/>
      <c r="C274" s="662"/>
      <c r="E274" s="665"/>
      <c r="F274" s="665"/>
      <c r="G274" s="666"/>
      <c r="H274" s="666"/>
      <c r="I274" s="667"/>
      <c r="J274" s="667"/>
      <c r="K274" s="667"/>
      <c r="L274" s="667"/>
      <c r="M274" s="667"/>
      <c r="N274" s="667"/>
      <c r="O274" s="667"/>
      <c r="P274" s="667"/>
      <c r="Q274" s="667"/>
      <c r="R274" s="667"/>
      <c r="S274" s="667"/>
      <c r="T274" s="667"/>
      <c r="U274" s="667"/>
      <c r="V274" s="667"/>
      <c r="W274" s="667"/>
      <c r="X274" s="667"/>
      <c r="Y274" s="667"/>
      <c r="Z274" s="667"/>
      <c r="AA274" s="667"/>
      <c r="AB274" s="667"/>
      <c r="FJ274" s="668"/>
      <c r="FK274" s="668"/>
      <c r="FL274" s="668"/>
      <c r="FM274" s="668"/>
      <c r="FN274" s="668"/>
      <c r="FO274" s="668"/>
      <c r="FV274" s="669"/>
      <c r="FZ274" s="669"/>
      <c r="GA274" s="669"/>
      <c r="GB274" s="669"/>
      <c r="GC274" s="669"/>
      <c r="GD274" s="665"/>
      <c r="GF274" s="669"/>
      <c r="GG274" s="669"/>
      <c r="GH274" s="669"/>
      <c r="GI274" s="669"/>
      <c r="GJ274" s="669"/>
      <c r="GK274" s="669"/>
      <c r="GL274" s="669"/>
      <c r="GM274" s="669"/>
      <c r="GN274" s="669"/>
      <c r="GO274" s="669"/>
      <c r="GP274" s="669"/>
      <c r="GQ274" s="669"/>
      <c r="GR274" s="669"/>
      <c r="GS274" s="669"/>
      <c r="GT274" s="669"/>
      <c r="GU274" s="669"/>
      <c r="GV274" s="669"/>
      <c r="GW274" s="669"/>
      <c r="GX274" s="669"/>
      <c r="GY274" s="669"/>
      <c r="GZ274" s="669"/>
      <c r="HA274" s="669"/>
      <c r="HB274" s="669"/>
      <c r="HC274" s="669"/>
      <c r="HD274" s="669"/>
      <c r="HE274" s="669"/>
      <c r="HF274" s="669"/>
      <c r="HG274" s="669"/>
      <c r="HH274" s="670"/>
      <c r="HI274" s="670"/>
      <c r="HJ274" s="671"/>
      <c r="HK274" s="669"/>
      <c r="HL274" s="665"/>
      <c r="HM274" s="665"/>
      <c r="HP274" s="670"/>
      <c r="HQ274" s="671"/>
      <c r="HR274" s="671"/>
      <c r="HS274" s="671"/>
      <c r="HT274" s="671"/>
      <c r="HU274" s="671"/>
      <c r="HV274" s="671"/>
      <c r="HW274" s="671"/>
      <c r="HX274" s="671"/>
      <c r="HY274" s="671"/>
      <c r="HZ274" s="671"/>
      <c r="IA274" s="671"/>
      <c r="IB274" s="671"/>
      <c r="IC274" s="671"/>
      <c r="ID274" s="671"/>
      <c r="IE274" s="671"/>
      <c r="IF274" s="671"/>
      <c r="IG274" s="671"/>
      <c r="IH274" s="671"/>
      <c r="II274" s="671"/>
      <c r="IJ274" s="671"/>
      <c r="IK274" s="671"/>
      <c r="IL274" s="671"/>
      <c r="IM274" s="671"/>
      <c r="IN274" s="671"/>
      <c r="IO274" s="671"/>
      <c r="IP274" s="671"/>
      <c r="IQ274" s="671"/>
      <c r="IR274" s="671"/>
      <c r="IS274" s="671"/>
      <c r="IT274" s="671"/>
      <c r="IU274" s="671"/>
      <c r="IV274" s="671"/>
      <c r="IW274" s="671"/>
      <c r="IX274" s="671"/>
      <c r="IY274" s="671"/>
      <c r="IZ274" s="671"/>
      <c r="JA274" s="671"/>
      <c r="JB274" s="671"/>
      <c r="JC274" s="671"/>
      <c r="JD274" s="671"/>
      <c r="JE274" s="671"/>
      <c r="JF274" s="671"/>
      <c r="JG274" s="671"/>
      <c r="JH274" s="671"/>
      <c r="JI274" s="671"/>
      <c r="JJ274" s="671"/>
      <c r="JK274" s="671"/>
      <c r="JL274" s="671"/>
      <c r="JM274" s="671"/>
      <c r="JN274" s="671"/>
      <c r="JO274" s="671"/>
      <c r="JP274" s="671"/>
      <c r="JQ274" s="671"/>
      <c r="JR274" s="671"/>
      <c r="JS274" s="671"/>
      <c r="JT274" s="671"/>
      <c r="JU274" s="671"/>
      <c r="JV274" s="671"/>
      <c r="JW274" s="671"/>
      <c r="JX274" s="671"/>
      <c r="JY274" s="671"/>
      <c r="JZ274" s="671"/>
      <c r="KA274" s="671"/>
      <c r="KB274" s="671"/>
      <c r="KC274" s="671"/>
      <c r="KD274" s="671"/>
      <c r="KE274" s="671"/>
      <c r="KF274" s="671"/>
      <c r="KG274" s="671"/>
      <c r="KH274" s="671"/>
      <c r="KI274" s="671"/>
      <c r="KJ274" s="671"/>
      <c r="KL274" s="669"/>
      <c r="KM274" s="669"/>
      <c r="KQ274" s="672"/>
      <c r="KR274" s="673"/>
      <c r="KS274" s="672"/>
      <c r="KT274" s="673"/>
      <c r="KU274" s="672"/>
      <c r="KV274" s="673"/>
      <c r="KW274" s="672"/>
      <c r="KX274" s="673"/>
      <c r="KY274" s="672"/>
      <c r="KZ274" s="673"/>
    </row>
    <row r="275" s="628" customFormat="1" spans="2:312">
      <c r="B275" s="659"/>
      <c r="C275" s="662"/>
      <c r="E275" s="665"/>
      <c r="F275" s="665"/>
      <c r="G275" s="666"/>
      <c r="H275" s="666"/>
      <c r="I275" s="667"/>
      <c r="J275" s="667"/>
      <c r="K275" s="667"/>
      <c r="L275" s="667"/>
      <c r="M275" s="667"/>
      <c r="N275" s="667"/>
      <c r="O275" s="667"/>
      <c r="P275" s="667"/>
      <c r="Q275" s="667"/>
      <c r="R275" s="667"/>
      <c r="S275" s="667"/>
      <c r="T275" s="667"/>
      <c r="U275" s="667"/>
      <c r="V275" s="667"/>
      <c r="W275" s="667"/>
      <c r="X275" s="667"/>
      <c r="Y275" s="667"/>
      <c r="Z275" s="667"/>
      <c r="AA275" s="667"/>
      <c r="AB275" s="667"/>
      <c r="FJ275" s="668"/>
      <c r="FK275" s="668"/>
      <c r="FL275" s="668"/>
      <c r="FM275" s="668"/>
      <c r="FN275" s="668"/>
      <c r="FO275" s="668"/>
      <c r="FV275" s="669"/>
      <c r="FZ275" s="669"/>
      <c r="GA275" s="669"/>
      <c r="GB275" s="669"/>
      <c r="GC275" s="669"/>
      <c r="GD275" s="665"/>
      <c r="GF275" s="669"/>
      <c r="GG275" s="669"/>
      <c r="GH275" s="669"/>
      <c r="GI275" s="669"/>
      <c r="GJ275" s="669"/>
      <c r="GK275" s="669"/>
      <c r="GL275" s="669"/>
      <c r="GM275" s="669"/>
      <c r="GN275" s="669"/>
      <c r="GO275" s="669"/>
      <c r="GP275" s="669"/>
      <c r="GQ275" s="669"/>
      <c r="GR275" s="669"/>
      <c r="GS275" s="669"/>
      <c r="GT275" s="669"/>
      <c r="GU275" s="669"/>
      <c r="GV275" s="669"/>
      <c r="GW275" s="669"/>
      <c r="GX275" s="669"/>
      <c r="GY275" s="669"/>
      <c r="GZ275" s="669"/>
      <c r="HA275" s="669"/>
      <c r="HB275" s="669"/>
      <c r="HC275" s="669"/>
      <c r="HD275" s="669"/>
      <c r="HE275" s="669"/>
      <c r="HF275" s="669"/>
      <c r="HG275" s="669"/>
      <c r="HH275" s="670"/>
      <c r="HI275" s="670"/>
      <c r="HJ275" s="671"/>
      <c r="HK275" s="669"/>
      <c r="HL275" s="665"/>
      <c r="HM275" s="665"/>
      <c r="HP275" s="670"/>
      <c r="HQ275" s="671"/>
      <c r="HR275" s="671"/>
      <c r="HS275" s="671"/>
      <c r="HT275" s="671"/>
      <c r="HU275" s="671"/>
      <c r="HV275" s="671"/>
      <c r="HW275" s="671"/>
      <c r="HX275" s="671"/>
      <c r="HY275" s="671"/>
      <c r="HZ275" s="671"/>
      <c r="IA275" s="671"/>
      <c r="IB275" s="671"/>
      <c r="IC275" s="671"/>
      <c r="ID275" s="671"/>
      <c r="IE275" s="671"/>
      <c r="IF275" s="671"/>
      <c r="IG275" s="671"/>
      <c r="IH275" s="671"/>
      <c r="II275" s="671"/>
      <c r="IJ275" s="671"/>
      <c r="IK275" s="671"/>
      <c r="IL275" s="671"/>
      <c r="IM275" s="671"/>
      <c r="IN275" s="671"/>
      <c r="IO275" s="671"/>
      <c r="IP275" s="671"/>
      <c r="IQ275" s="671"/>
      <c r="IR275" s="671"/>
      <c r="IS275" s="671"/>
      <c r="IT275" s="671"/>
      <c r="IU275" s="671"/>
      <c r="IV275" s="671"/>
      <c r="IW275" s="671"/>
      <c r="IX275" s="671"/>
      <c r="IY275" s="671"/>
      <c r="IZ275" s="671"/>
      <c r="JA275" s="671"/>
      <c r="JB275" s="671"/>
      <c r="JC275" s="671"/>
      <c r="JD275" s="671"/>
      <c r="JE275" s="671"/>
      <c r="JF275" s="671"/>
      <c r="JG275" s="671"/>
      <c r="JH275" s="671"/>
      <c r="JI275" s="671"/>
      <c r="JJ275" s="671"/>
      <c r="JK275" s="671"/>
      <c r="JL275" s="671"/>
      <c r="JM275" s="671"/>
      <c r="JN275" s="671"/>
      <c r="JO275" s="671"/>
      <c r="JP275" s="671"/>
      <c r="JQ275" s="671"/>
      <c r="JR275" s="671"/>
      <c r="JS275" s="671"/>
      <c r="JT275" s="671"/>
      <c r="JU275" s="671"/>
      <c r="JV275" s="671"/>
      <c r="JW275" s="671"/>
      <c r="JX275" s="671"/>
      <c r="JY275" s="671"/>
      <c r="JZ275" s="671"/>
      <c r="KA275" s="671"/>
      <c r="KB275" s="671"/>
      <c r="KC275" s="671"/>
      <c r="KD275" s="671"/>
      <c r="KE275" s="671"/>
      <c r="KF275" s="671"/>
      <c r="KG275" s="671"/>
      <c r="KH275" s="671"/>
      <c r="KI275" s="671"/>
      <c r="KJ275" s="671"/>
      <c r="KL275" s="669"/>
      <c r="KM275" s="669"/>
      <c r="KQ275" s="672"/>
      <c r="KR275" s="673"/>
      <c r="KS275" s="672"/>
      <c r="KT275" s="673"/>
      <c r="KU275" s="672"/>
      <c r="KV275" s="673"/>
      <c r="KW275" s="672"/>
      <c r="KX275" s="673"/>
      <c r="KY275" s="672"/>
      <c r="KZ275" s="673"/>
    </row>
    <row r="276" s="628" customFormat="1" spans="2:312">
      <c r="B276" s="659"/>
      <c r="C276" s="662"/>
      <c r="E276" s="665"/>
      <c r="F276" s="665"/>
      <c r="G276" s="666"/>
      <c r="H276" s="666"/>
      <c r="I276" s="667"/>
      <c r="J276" s="667"/>
      <c r="K276" s="667"/>
      <c r="L276" s="667"/>
      <c r="M276" s="667"/>
      <c r="N276" s="667"/>
      <c r="O276" s="667"/>
      <c r="P276" s="667"/>
      <c r="Q276" s="667"/>
      <c r="R276" s="667"/>
      <c r="S276" s="667"/>
      <c r="T276" s="667"/>
      <c r="U276" s="667"/>
      <c r="V276" s="667"/>
      <c r="W276" s="667"/>
      <c r="X276" s="667"/>
      <c r="Y276" s="667"/>
      <c r="Z276" s="667"/>
      <c r="AA276" s="667"/>
      <c r="AB276" s="667"/>
      <c r="FJ276" s="668"/>
      <c r="FK276" s="668"/>
      <c r="FL276" s="668"/>
      <c r="FM276" s="668"/>
      <c r="FN276" s="668"/>
      <c r="FO276" s="668"/>
      <c r="FV276" s="669"/>
      <c r="FZ276" s="669"/>
      <c r="GA276" s="669"/>
      <c r="GB276" s="669"/>
      <c r="GC276" s="669"/>
      <c r="GD276" s="665"/>
      <c r="GF276" s="669"/>
      <c r="GG276" s="669"/>
      <c r="GH276" s="669"/>
      <c r="GI276" s="669"/>
      <c r="GJ276" s="669"/>
      <c r="GK276" s="669"/>
      <c r="GL276" s="669"/>
      <c r="GM276" s="669"/>
      <c r="GN276" s="669"/>
      <c r="GO276" s="669"/>
      <c r="GP276" s="669"/>
      <c r="GQ276" s="669"/>
      <c r="GR276" s="669"/>
      <c r="GS276" s="669"/>
      <c r="GT276" s="669"/>
      <c r="GU276" s="669"/>
      <c r="GV276" s="669"/>
      <c r="GW276" s="669"/>
      <c r="GX276" s="669"/>
      <c r="GY276" s="669"/>
      <c r="GZ276" s="669"/>
      <c r="HA276" s="669"/>
      <c r="HB276" s="669"/>
      <c r="HC276" s="669"/>
      <c r="HD276" s="669"/>
      <c r="HE276" s="669"/>
      <c r="HF276" s="669"/>
      <c r="HG276" s="669"/>
      <c r="HH276" s="670"/>
      <c r="HI276" s="670"/>
      <c r="HJ276" s="671"/>
      <c r="HK276" s="669"/>
      <c r="HL276" s="665"/>
      <c r="HM276" s="665"/>
      <c r="HP276" s="670"/>
      <c r="HQ276" s="671"/>
      <c r="HR276" s="671"/>
      <c r="HS276" s="671"/>
      <c r="HT276" s="671"/>
      <c r="HU276" s="671"/>
      <c r="HV276" s="671"/>
      <c r="HW276" s="671"/>
      <c r="HX276" s="671"/>
      <c r="HY276" s="671"/>
      <c r="HZ276" s="671"/>
      <c r="IA276" s="671"/>
      <c r="IB276" s="671"/>
      <c r="IC276" s="671"/>
      <c r="ID276" s="671"/>
      <c r="IE276" s="671"/>
      <c r="IF276" s="671"/>
      <c r="IG276" s="671"/>
      <c r="IH276" s="671"/>
      <c r="II276" s="671"/>
      <c r="IJ276" s="671"/>
      <c r="IK276" s="671"/>
      <c r="IL276" s="671"/>
      <c r="IM276" s="671"/>
      <c r="IN276" s="671"/>
      <c r="IO276" s="671"/>
      <c r="IP276" s="671"/>
      <c r="IQ276" s="671"/>
      <c r="IR276" s="671"/>
      <c r="IS276" s="671"/>
      <c r="IT276" s="671"/>
      <c r="IU276" s="671"/>
      <c r="IV276" s="671"/>
      <c r="IW276" s="671"/>
      <c r="IX276" s="671"/>
      <c r="IY276" s="671"/>
      <c r="IZ276" s="671"/>
      <c r="JA276" s="671"/>
      <c r="JB276" s="671"/>
      <c r="JC276" s="671"/>
      <c r="JD276" s="671"/>
      <c r="JE276" s="671"/>
      <c r="JF276" s="671"/>
      <c r="JG276" s="671"/>
      <c r="JH276" s="671"/>
      <c r="JI276" s="671"/>
      <c r="JJ276" s="671"/>
      <c r="JK276" s="671"/>
      <c r="JL276" s="671"/>
      <c r="JM276" s="671"/>
      <c r="JN276" s="671"/>
      <c r="JO276" s="671"/>
      <c r="JP276" s="671"/>
      <c r="JQ276" s="671"/>
      <c r="JR276" s="671"/>
      <c r="JS276" s="671"/>
      <c r="JT276" s="671"/>
      <c r="JU276" s="671"/>
      <c r="JV276" s="671"/>
      <c r="JW276" s="671"/>
      <c r="JX276" s="671"/>
      <c r="JY276" s="671"/>
      <c r="JZ276" s="671"/>
      <c r="KA276" s="671"/>
      <c r="KB276" s="671"/>
      <c r="KC276" s="671"/>
      <c r="KD276" s="671"/>
      <c r="KE276" s="671"/>
      <c r="KF276" s="671"/>
      <c r="KG276" s="671"/>
      <c r="KH276" s="671"/>
      <c r="KI276" s="671"/>
      <c r="KJ276" s="671"/>
      <c r="KL276" s="669"/>
      <c r="KM276" s="669"/>
      <c r="KQ276" s="672"/>
      <c r="KR276" s="673"/>
      <c r="KS276" s="672"/>
      <c r="KT276" s="673"/>
      <c r="KU276" s="672"/>
      <c r="KV276" s="673"/>
      <c r="KW276" s="672"/>
      <c r="KX276" s="673"/>
      <c r="KY276" s="672"/>
      <c r="KZ276" s="673"/>
    </row>
    <row r="277" s="628" customFormat="1" spans="2:312">
      <c r="B277" s="659"/>
      <c r="C277" s="662"/>
      <c r="E277" s="665"/>
      <c r="F277" s="665"/>
      <c r="G277" s="666"/>
      <c r="H277" s="666"/>
      <c r="I277" s="667"/>
      <c r="J277" s="667"/>
      <c r="K277" s="667"/>
      <c r="L277" s="667"/>
      <c r="M277" s="667"/>
      <c r="N277" s="667"/>
      <c r="O277" s="667"/>
      <c r="P277" s="667"/>
      <c r="Q277" s="667"/>
      <c r="R277" s="667"/>
      <c r="S277" s="667"/>
      <c r="T277" s="667"/>
      <c r="U277" s="667"/>
      <c r="V277" s="667"/>
      <c r="W277" s="667"/>
      <c r="X277" s="667"/>
      <c r="Y277" s="667"/>
      <c r="Z277" s="667"/>
      <c r="AA277" s="667"/>
      <c r="AB277" s="667"/>
      <c r="FJ277" s="668"/>
      <c r="FK277" s="668"/>
      <c r="FL277" s="668"/>
      <c r="FM277" s="668"/>
      <c r="FN277" s="668"/>
      <c r="FO277" s="668"/>
      <c r="FV277" s="669"/>
      <c r="FZ277" s="669"/>
      <c r="GA277" s="669"/>
      <c r="GB277" s="669"/>
      <c r="GC277" s="669"/>
      <c r="GD277" s="665"/>
      <c r="GF277" s="669"/>
      <c r="GG277" s="669"/>
      <c r="GH277" s="669"/>
      <c r="GI277" s="669"/>
      <c r="GJ277" s="669"/>
      <c r="GK277" s="669"/>
      <c r="GL277" s="669"/>
      <c r="GM277" s="669"/>
      <c r="GN277" s="669"/>
      <c r="GO277" s="669"/>
      <c r="GP277" s="669"/>
      <c r="GQ277" s="669"/>
      <c r="GR277" s="669"/>
      <c r="GS277" s="669"/>
      <c r="GT277" s="669"/>
      <c r="GU277" s="669"/>
      <c r="GV277" s="669"/>
      <c r="GW277" s="669"/>
      <c r="GX277" s="669"/>
      <c r="GY277" s="669"/>
      <c r="GZ277" s="669"/>
      <c r="HA277" s="669"/>
      <c r="HB277" s="669"/>
      <c r="HC277" s="669"/>
      <c r="HD277" s="669"/>
      <c r="HE277" s="669"/>
      <c r="HF277" s="669"/>
      <c r="HG277" s="669"/>
      <c r="HH277" s="670"/>
      <c r="HI277" s="670"/>
      <c r="HJ277" s="671"/>
      <c r="HK277" s="669"/>
      <c r="HL277" s="665"/>
      <c r="HM277" s="665"/>
      <c r="HP277" s="670"/>
      <c r="HQ277" s="671"/>
      <c r="HR277" s="671"/>
      <c r="HS277" s="671"/>
      <c r="HT277" s="671"/>
      <c r="HU277" s="671"/>
      <c r="HV277" s="671"/>
      <c r="HW277" s="671"/>
      <c r="HX277" s="671"/>
      <c r="HY277" s="671"/>
      <c r="HZ277" s="671"/>
      <c r="IA277" s="671"/>
      <c r="IB277" s="671"/>
      <c r="IC277" s="671"/>
      <c r="ID277" s="671"/>
      <c r="IE277" s="671"/>
      <c r="IF277" s="671"/>
      <c r="IG277" s="671"/>
      <c r="IH277" s="671"/>
      <c r="II277" s="671"/>
      <c r="IJ277" s="671"/>
      <c r="IK277" s="671"/>
      <c r="IL277" s="671"/>
      <c r="IM277" s="671"/>
      <c r="IN277" s="671"/>
      <c r="IO277" s="671"/>
      <c r="IP277" s="671"/>
      <c r="IQ277" s="671"/>
      <c r="IR277" s="671"/>
      <c r="IS277" s="671"/>
      <c r="IT277" s="671"/>
      <c r="IU277" s="671"/>
      <c r="IV277" s="671"/>
      <c r="IW277" s="671"/>
      <c r="IX277" s="671"/>
      <c r="IY277" s="671"/>
      <c r="IZ277" s="671"/>
      <c r="JA277" s="671"/>
      <c r="JB277" s="671"/>
      <c r="JC277" s="671"/>
      <c r="JD277" s="671"/>
      <c r="JE277" s="671"/>
      <c r="JF277" s="671"/>
      <c r="JG277" s="671"/>
      <c r="JH277" s="671"/>
      <c r="JI277" s="671"/>
      <c r="JJ277" s="671"/>
      <c r="JK277" s="671"/>
      <c r="JL277" s="671"/>
      <c r="JM277" s="671"/>
      <c r="JN277" s="671"/>
      <c r="JO277" s="671"/>
      <c r="JP277" s="671"/>
      <c r="JQ277" s="671"/>
      <c r="JR277" s="671"/>
      <c r="JS277" s="671"/>
      <c r="JT277" s="671"/>
      <c r="JU277" s="671"/>
      <c r="JV277" s="671"/>
      <c r="JW277" s="671"/>
      <c r="JX277" s="671"/>
      <c r="JY277" s="671"/>
      <c r="JZ277" s="671"/>
      <c r="KA277" s="671"/>
      <c r="KB277" s="671"/>
      <c r="KC277" s="671"/>
      <c r="KD277" s="671"/>
      <c r="KE277" s="671"/>
      <c r="KF277" s="671"/>
      <c r="KG277" s="671"/>
      <c r="KH277" s="671"/>
      <c r="KI277" s="671"/>
      <c r="KJ277" s="671"/>
      <c r="KL277" s="669"/>
      <c r="KM277" s="669"/>
      <c r="KQ277" s="672"/>
      <c r="KR277" s="673"/>
      <c r="KS277" s="672"/>
      <c r="KT277" s="673"/>
      <c r="KU277" s="672"/>
      <c r="KV277" s="673"/>
      <c r="KW277" s="672"/>
      <c r="KX277" s="673"/>
      <c r="KY277" s="672"/>
      <c r="KZ277" s="673"/>
    </row>
    <row r="278" s="628" customFormat="1" spans="2:312">
      <c r="B278" s="659"/>
      <c r="C278" s="662"/>
      <c r="E278" s="665"/>
      <c r="F278" s="665"/>
      <c r="G278" s="666"/>
      <c r="H278" s="666"/>
      <c r="I278" s="667"/>
      <c r="J278" s="667"/>
      <c r="K278" s="667"/>
      <c r="L278" s="667"/>
      <c r="M278" s="667"/>
      <c r="N278" s="667"/>
      <c r="O278" s="667"/>
      <c r="P278" s="667"/>
      <c r="Q278" s="667"/>
      <c r="R278" s="667"/>
      <c r="S278" s="667"/>
      <c r="T278" s="667"/>
      <c r="U278" s="667"/>
      <c r="V278" s="667"/>
      <c r="W278" s="667"/>
      <c r="X278" s="667"/>
      <c r="Y278" s="667"/>
      <c r="Z278" s="667"/>
      <c r="AA278" s="667"/>
      <c r="AB278" s="667"/>
      <c r="FJ278" s="668"/>
      <c r="FK278" s="668"/>
      <c r="FL278" s="668"/>
      <c r="FM278" s="668"/>
      <c r="FN278" s="668"/>
      <c r="FO278" s="668"/>
      <c r="FV278" s="669"/>
      <c r="FZ278" s="669"/>
      <c r="GA278" s="669"/>
      <c r="GB278" s="669"/>
      <c r="GC278" s="669"/>
      <c r="GD278" s="665"/>
      <c r="GF278" s="669"/>
      <c r="GG278" s="669"/>
      <c r="GH278" s="669"/>
      <c r="GI278" s="669"/>
      <c r="GJ278" s="669"/>
      <c r="GK278" s="669"/>
      <c r="GL278" s="669"/>
      <c r="GM278" s="669"/>
      <c r="GN278" s="669"/>
      <c r="GO278" s="669"/>
      <c r="GP278" s="669"/>
      <c r="GQ278" s="669"/>
      <c r="GR278" s="669"/>
      <c r="GS278" s="669"/>
      <c r="GT278" s="669"/>
      <c r="GU278" s="669"/>
      <c r="GV278" s="669"/>
      <c r="GW278" s="669"/>
      <c r="GX278" s="669"/>
      <c r="GY278" s="669"/>
      <c r="GZ278" s="669"/>
      <c r="HA278" s="669"/>
      <c r="HB278" s="669"/>
      <c r="HC278" s="669"/>
      <c r="HD278" s="669"/>
      <c r="HE278" s="669"/>
      <c r="HF278" s="669"/>
      <c r="HG278" s="669"/>
      <c r="HH278" s="670"/>
      <c r="HI278" s="670"/>
      <c r="HJ278" s="671"/>
      <c r="HK278" s="669"/>
      <c r="HL278" s="665"/>
      <c r="HM278" s="665"/>
      <c r="HP278" s="670"/>
      <c r="HQ278" s="671"/>
      <c r="HR278" s="671"/>
      <c r="HS278" s="671"/>
      <c r="HT278" s="671"/>
      <c r="HU278" s="671"/>
      <c r="HV278" s="671"/>
      <c r="HW278" s="671"/>
      <c r="HX278" s="671"/>
      <c r="HY278" s="671"/>
      <c r="HZ278" s="671"/>
      <c r="IA278" s="671"/>
      <c r="IB278" s="671"/>
      <c r="IC278" s="671"/>
      <c r="ID278" s="671"/>
      <c r="IE278" s="671"/>
      <c r="IF278" s="671"/>
      <c r="IG278" s="671"/>
      <c r="IH278" s="671"/>
      <c r="II278" s="671"/>
      <c r="IJ278" s="671"/>
      <c r="IK278" s="671"/>
      <c r="IL278" s="671"/>
      <c r="IM278" s="671"/>
      <c r="IN278" s="671"/>
      <c r="IO278" s="671"/>
      <c r="IP278" s="671"/>
      <c r="IQ278" s="671"/>
      <c r="IR278" s="671"/>
      <c r="IS278" s="671"/>
      <c r="IT278" s="671"/>
      <c r="IU278" s="671"/>
      <c r="IV278" s="671"/>
      <c r="IW278" s="671"/>
      <c r="IX278" s="671"/>
      <c r="IY278" s="671"/>
      <c r="IZ278" s="671"/>
      <c r="JA278" s="671"/>
      <c r="JB278" s="671"/>
      <c r="JC278" s="671"/>
      <c r="JD278" s="671"/>
      <c r="JE278" s="671"/>
      <c r="JF278" s="671"/>
      <c r="JG278" s="671"/>
      <c r="JH278" s="671"/>
      <c r="JI278" s="671"/>
      <c r="JJ278" s="671"/>
      <c r="JK278" s="671"/>
      <c r="JL278" s="671"/>
      <c r="JM278" s="671"/>
      <c r="JN278" s="671"/>
      <c r="JO278" s="671"/>
      <c r="JP278" s="671"/>
      <c r="JQ278" s="671"/>
      <c r="JR278" s="671"/>
      <c r="JS278" s="671"/>
      <c r="JT278" s="671"/>
      <c r="JU278" s="671"/>
      <c r="JV278" s="671"/>
      <c r="JW278" s="671"/>
      <c r="JX278" s="671"/>
      <c r="JY278" s="671"/>
      <c r="JZ278" s="671"/>
      <c r="KA278" s="671"/>
      <c r="KB278" s="671"/>
      <c r="KC278" s="671"/>
      <c r="KD278" s="671"/>
      <c r="KE278" s="671"/>
      <c r="KF278" s="671"/>
      <c r="KG278" s="671"/>
      <c r="KH278" s="671"/>
      <c r="KI278" s="671"/>
      <c r="KJ278" s="671"/>
      <c r="KL278" s="669"/>
      <c r="KM278" s="669"/>
      <c r="KQ278" s="672"/>
      <c r="KR278" s="673"/>
      <c r="KS278" s="672"/>
      <c r="KT278" s="673"/>
      <c r="KU278" s="672"/>
      <c r="KV278" s="673"/>
      <c r="KW278" s="672"/>
      <c r="KX278" s="673"/>
      <c r="KY278" s="672"/>
      <c r="KZ278" s="673"/>
    </row>
    <row r="279" s="628" customFormat="1" spans="2:312">
      <c r="B279" s="659"/>
      <c r="C279" s="662"/>
      <c r="E279" s="665"/>
      <c r="F279" s="665"/>
      <c r="G279" s="666"/>
      <c r="H279" s="666"/>
      <c r="I279" s="667"/>
      <c r="J279" s="667"/>
      <c r="K279" s="667"/>
      <c r="L279" s="667"/>
      <c r="M279" s="667"/>
      <c r="N279" s="667"/>
      <c r="O279" s="667"/>
      <c r="P279" s="667"/>
      <c r="Q279" s="667"/>
      <c r="R279" s="667"/>
      <c r="S279" s="667"/>
      <c r="T279" s="667"/>
      <c r="U279" s="667"/>
      <c r="V279" s="667"/>
      <c r="W279" s="667"/>
      <c r="X279" s="667"/>
      <c r="Y279" s="667"/>
      <c r="Z279" s="667"/>
      <c r="AA279" s="667"/>
      <c r="AB279" s="667"/>
      <c r="FJ279" s="668"/>
      <c r="FK279" s="668"/>
      <c r="FL279" s="668"/>
      <c r="FM279" s="668"/>
      <c r="FN279" s="668"/>
      <c r="FO279" s="668"/>
      <c r="FV279" s="669"/>
      <c r="FZ279" s="669"/>
      <c r="GA279" s="669"/>
      <c r="GB279" s="669"/>
      <c r="GC279" s="669"/>
      <c r="GD279" s="665"/>
      <c r="GF279" s="669"/>
      <c r="GG279" s="669"/>
      <c r="GH279" s="669"/>
      <c r="GI279" s="669"/>
      <c r="GJ279" s="669"/>
      <c r="GK279" s="669"/>
      <c r="GL279" s="669"/>
      <c r="GM279" s="669"/>
      <c r="GN279" s="669"/>
      <c r="GO279" s="669"/>
      <c r="GP279" s="669"/>
      <c r="GQ279" s="669"/>
      <c r="GR279" s="669"/>
      <c r="GS279" s="669"/>
      <c r="GT279" s="669"/>
      <c r="GU279" s="669"/>
      <c r="GV279" s="669"/>
      <c r="GW279" s="669"/>
      <c r="GX279" s="669"/>
      <c r="GY279" s="669"/>
      <c r="GZ279" s="669"/>
      <c r="HA279" s="669"/>
      <c r="HB279" s="669"/>
      <c r="HC279" s="669"/>
      <c r="HD279" s="669"/>
      <c r="HE279" s="669"/>
      <c r="HF279" s="669"/>
      <c r="HG279" s="669"/>
      <c r="HH279" s="670"/>
      <c r="HI279" s="670"/>
      <c r="HJ279" s="671"/>
      <c r="HK279" s="669"/>
      <c r="HL279" s="665"/>
      <c r="HM279" s="665"/>
      <c r="HP279" s="670"/>
      <c r="HQ279" s="671"/>
      <c r="HR279" s="671"/>
      <c r="HS279" s="671"/>
      <c r="HT279" s="671"/>
      <c r="HU279" s="671"/>
      <c r="HV279" s="671"/>
      <c r="HW279" s="671"/>
      <c r="HX279" s="671"/>
      <c r="HY279" s="671"/>
      <c r="HZ279" s="671"/>
      <c r="IA279" s="671"/>
      <c r="IB279" s="671"/>
      <c r="IC279" s="671"/>
      <c r="ID279" s="671"/>
      <c r="IE279" s="671"/>
      <c r="IF279" s="671"/>
      <c r="IG279" s="671"/>
      <c r="IH279" s="671"/>
      <c r="II279" s="671"/>
      <c r="IJ279" s="671"/>
      <c r="IK279" s="671"/>
      <c r="IL279" s="671"/>
      <c r="IM279" s="671"/>
      <c r="IN279" s="671"/>
      <c r="IO279" s="671"/>
      <c r="IP279" s="671"/>
      <c r="IQ279" s="671"/>
      <c r="IR279" s="671"/>
      <c r="IS279" s="671"/>
      <c r="IT279" s="671"/>
      <c r="IU279" s="671"/>
      <c r="IV279" s="671"/>
      <c r="IW279" s="671"/>
      <c r="IX279" s="671"/>
      <c r="IY279" s="671"/>
      <c r="IZ279" s="671"/>
      <c r="JA279" s="671"/>
      <c r="JB279" s="671"/>
      <c r="JC279" s="671"/>
      <c r="JD279" s="671"/>
      <c r="JE279" s="671"/>
      <c r="JF279" s="671"/>
      <c r="JG279" s="671"/>
      <c r="JH279" s="671"/>
      <c r="JI279" s="671"/>
      <c r="JJ279" s="671"/>
      <c r="JK279" s="671"/>
      <c r="JL279" s="671"/>
      <c r="JM279" s="671"/>
      <c r="JN279" s="671"/>
      <c r="JO279" s="671"/>
      <c r="JP279" s="671"/>
      <c r="JQ279" s="671"/>
      <c r="JR279" s="671"/>
      <c r="JS279" s="671"/>
      <c r="JT279" s="671"/>
      <c r="JU279" s="671"/>
      <c r="JV279" s="671"/>
      <c r="JW279" s="671"/>
      <c r="JX279" s="671"/>
      <c r="JY279" s="671"/>
      <c r="JZ279" s="671"/>
      <c r="KA279" s="671"/>
      <c r="KB279" s="671"/>
      <c r="KC279" s="671"/>
      <c r="KD279" s="671"/>
      <c r="KE279" s="671"/>
      <c r="KF279" s="671"/>
      <c r="KG279" s="671"/>
      <c r="KH279" s="671"/>
      <c r="KI279" s="671"/>
      <c r="KJ279" s="671"/>
      <c r="KL279" s="669"/>
      <c r="KM279" s="669"/>
      <c r="KQ279" s="672"/>
      <c r="KR279" s="673"/>
      <c r="KS279" s="672"/>
      <c r="KT279" s="673"/>
      <c r="KU279" s="672"/>
      <c r="KV279" s="673"/>
      <c r="KW279" s="672"/>
      <c r="KX279" s="673"/>
      <c r="KY279" s="672"/>
      <c r="KZ279" s="673"/>
    </row>
    <row r="280" s="628" customFormat="1" spans="2:312">
      <c r="B280" s="659"/>
      <c r="C280" s="662"/>
      <c r="E280" s="665"/>
      <c r="F280" s="665"/>
      <c r="G280" s="666"/>
      <c r="H280" s="666"/>
      <c r="I280" s="667"/>
      <c r="J280" s="667"/>
      <c r="K280" s="667"/>
      <c r="L280" s="667"/>
      <c r="M280" s="667"/>
      <c r="N280" s="667"/>
      <c r="O280" s="667"/>
      <c r="P280" s="667"/>
      <c r="Q280" s="667"/>
      <c r="R280" s="667"/>
      <c r="S280" s="667"/>
      <c r="T280" s="667"/>
      <c r="U280" s="667"/>
      <c r="V280" s="667"/>
      <c r="W280" s="667"/>
      <c r="X280" s="667"/>
      <c r="Y280" s="667"/>
      <c r="Z280" s="667"/>
      <c r="AA280" s="667"/>
      <c r="AB280" s="667"/>
      <c r="FJ280" s="668"/>
      <c r="FK280" s="668"/>
      <c r="FL280" s="668"/>
      <c r="FM280" s="668"/>
      <c r="FN280" s="668"/>
      <c r="FO280" s="668"/>
      <c r="FV280" s="669"/>
      <c r="FZ280" s="669"/>
      <c r="GA280" s="669"/>
      <c r="GB280" s="669"/>
      <c r="GC280" s="669"/>
      <c r="GD280" s="665"/>
      <c r="GF280" s="669"/>
      <c r="GG280" s="669"/>
      <c r="GH280" s="669"/>
      <c r="GI280" s="669"/>
      <c r="GJ280" s="669"/>
      <c r="GK280" s="669"/>
      <c r="GL280" s="669"/>
      <c r="GM280" s="669"/>
      <c r="GN280" s="669"/>
      <c r="GO280" s="669"/>
      <c r="GP280" s="669"/>
      <c r="GQ280" s="669"/>
      <c r="GR280" s="669"/>
      <c r="GS280" s="669"/>
      <c r="GT280" s="669"/>
      <c r="GU280" s="669"/>
      <c r="GV280" s="669"/>
      <c r="GW280" s="669"/>
      <c r="GX280" s="669"/>
      <c r="GY280" s="669"/>
      <c r="GZ280" s="669"/>
      <c r="HA280" s="669"/>
      <c r="HB280" s="669"/>
      <c r="HC280" s="669"/>
      <c r="HD280" s="669"/>
      <c r="HE280" s="669"/>
      <c r="HF280" s="669"/>
      <c r="HG280" s="669"/>
      <c r="HH280" s="670"/>
      <c r="HI280" s="670"/>
      <c r="HJ280" s="671"/>
      <c r="HK280" s="669"/>
      <c r="HL280" s="665"/>
      <c r="HM280" s="665"/>
      <c r="HP280" s="670"/>
      <c r="HQ280" s="671"/>
      <c r="HR280" s="671"/>
      <c r="HS280" s="671"/>
      <c r="HT280" s="671"/>
      <c r="HU280" s="671"/>
      <c r="HV280" s="671"/>
      <c r="HW280" s="671"/>
      <c r="HX280" s="671"/>
      <c r="HY280" s="671"/>
      <c r="HZ280" s="671"/>
      <c r="IA280" s="671"/>
      <c r="IB280" s="671"/>
      <c r="IC280" s="671"/>
      <c r="ID280" s="671"/>
      <c r="IE280" s="671"/>
      <c r="IF280" s="671"/>
      <c r="IG280" s="671"/>
      <c r="IH280" s="671"/>
      <c r="II280" s="671"/>
      <c r="IJ280" s="671"/>
      <c r="IK280" s="671"/>
      <c r="IL280" s="671"/>
      <c r="IM280" s="671"/>
      <c r="IN280" s="671"/>
      <c r="IO280" s="671"/>
      <c r="IP280" s="671"/>
      <c r="IQ280" s="671"/>
      <c r="IR280" s="671"/>
      <c r="IS280" s="671"/>
      <c r="IT280" s="671"/>
      <c r="IU280" s="671"/>
      <c r="IV280" s="671"/>
      <c r="IW280" s="671"/>
      <c r="IX280" s="671"/>
      <c r="IY280" s="671"/>
      <c r="IZ280" s="671"/>
      <c r="JA280" s="671"/>
      <c r="JB280" s="671"/>
      <c r="JC280" s="671"/>
      <c r="JD280" s="671"/>
      <c r="JE280" s="671"/>
      <c r="JF280" s="671"/>
      <c r="JG280" s="671"/>
      <c r="JH280" s="671"/>
      <c r="JI280" s="671"/>
      <c r="JJ280" s="671"/>
      <c r="JK280" s="671"/>
      <c r="JL280" s="671"/>
      <c r="JM280" s="671"/>
      <c r="JN280" s="671"/>
      <c r="JO280" s="671"/>
      <c r="JP280" s="671"/>
      <c r="JQ280" s="671"/>
      <c r="JR280" s="671"/>
      <c r="JS280" s="671"/>
      <c r="JT280" s="671"/>
      <c r="JU280" s="671"/>
      <c r="JV280" s="671"/>
      <c r="JW280" s="671"/>
      <c r="JX280" s="671"/>
      <c r="JY280" s="671"/>
      <c r="JZ280" s="671"/>
      <c r="KA280" s="671"/>
      <c r="KB280" s="671"/>
      <c r="KC280" s="671"/>
      <c r="KD280" s="671"/>
      <c r="KE280" s="671"/>
      <c r="KF280" s="671"/>
      <c r="KG280" s="671"/>
      <c r="KH280" s="671"/>
      <c r="KI280" s="671"/>
      <c r="KJ280" s="671"/>
      <c r="KL280" s="669"/>
      <c r="KM280" s="669"/>
      <c r="KQ280" s="672"/>
      <c r="KR280" s="673"/>
      <c r="KS280" s="672"/>
      <c r="KT280" s="673"/>
      <c r="KU280" s="672"/>
      <c r="KV280" s="673"/>
      <c r="KW280" s="672"/>
      <c r="KX280" s="673"/>
      <c r="KY280" s="672"/>
      <c r="KZ280" s="673"/>
    </row>
    <row r="281" s="628" customFormat="1" spans="2:312">
      <c r="B281" s="659"/>
      <c r="C281" s="662"/>
      <c r="E281" s="665"/>
      <c r="F281" s="665"/>
      <c r="G281" s="666"/>
      <c r="H281" s="666"/>
      <c r="I281" s="667"/>
      <c r="J281" s="667"/>
      <c r="K281" s="667"/>
      <c r="L281" s="667"/>
      <c r="M281" s="667"/>
      <c r="N281" s="667"/>
      <c r="O281" s="667"/>
      <c r="P281" s="667"/>
      <c r="Q281" s="667"/>
      <c r="R281" s="667"/>
      <c r="S281" s="667"/>
      <c r="T281" s="667"/>
      <c r="U281" s="667"/>
      <c r="V281" s="667"/>
      <c r="W281" s="667"/>
      <c r="X281" s="667"/>
      <c r="Y281" s="667"/>
      <c r="Z281" s="667"/>
      <c r="AA281" s="667"/>
      <c r="AB281" s="667"/>
      <c r="FJ281" s="668"/>
      <c r="FK281" s="668"/>
      <c r="FL281" s="668"/>
      <c r="FM281" s="668"/>
      <c r="FN281" s="668"/>
      <c r="FO281" s="668"/>
      <c r="FV281" s="669"/>
      <c r="FZ281" s="669"/>
      <c r="GA281" s="669"/>
      <c r="GB281" s="669"/>
      <c r="GC281" s="669"/>
      <c r="GD281" s="665"/>
      <c r="GF281" s="669"/>
      <c r="GG281" s="669"/>
      <c r="GH281" s="669"/>
      <c r="GI281" s="669"/>
      <c r="GJ281" s="669"/>
      <c r="GK281" s="669"/>
      <c r="GL281" s="669"/>
      <c r="GM281" s="669"/>
      <c r="GN281" s="669"/>
      <c r="GO281" s="669"/>
      <c r="GP281" s="669"/>
      <c r="GQ281" s="669"/>
      <c r="GR281" s="669"/>
      <c r="GS281" s="669"/>
      <c r="GT281" s="669"/>
      <c r="GU281" s="669"/>
      <c r="GV281" s="669"/>
      <c r="GW281" s="669"/>
      <c r="GX281" s="669"/>
      <c r="GY281" s="669"/>
      <c r="GZ281" s="669"/>
      <c r="HA281" s="669"/>
      <c r="HB281" s="669"/>
      <c r="HC281" s="669"/>
      <c r="HD281" s="669"/>
      <c r="HE281" s="669"/>
      <c r="HF281" s="669"/>
      <c r="HG281" s="669"/>
      <c r="HH281" s="670"/>
      <c r="HI281" s="670"/>
      <c r="HJ281" s="671"/>
      <c r="HK281" s="669"/>
      <c r="HL281" s="665"/>
      <c r="HM281" s="665"/>
      <c r="HP281" s="670"/>
      <c r="HQ281" s="671"/>
      <c r="HR281" s="671"/>
      <c r="HS281" s="671"/>
      <c r="HT281" s="671"/>
      <c r="HU281" s="671"/>
      <c r="HV281" s="671"/>
      <c r="HW281" s="671"/>
      <c r="HX281" s="671"/>
      <c r="HY281" s="671"/>
      <c r="HZ281" s="671"/>
      <c r="IA281" s="671"/>
      <c r="IB281" s="671"/>
      <c r="IC281" s="671"/>
      <c r="ID281" s="671"/>
      <c r="IE281" s="671"/>
      <c r="IF281" s="671"/>
      <c r="IG281" s="671"/>
      <c r="IH281" s="671"/>
      <c r="II281" s="671"/>
      <c r="IJ281" s="671"/>
      <c r="IK281" s="671"/>
      <c r="IL281" s="671"/>
      <c r="IM281" s="671"/>
      <c r="IN281" s="671"/>
      <c r="IO281" s="671"/>
      <c r="IP281" s="671"/>
      <c r="IQ281" s="671"/>
      <c r="IR281" s="671"/>
      <c r="IS281" s="671"/>
      <c r="IT281" s="671"/>
      <c r="IU281" s="671"/>
      <c r="IV281" s="671"/>
      <c r="IW281" s="671"/>
      <c r="IX281" s="671"/>
      <c r="IY281" s="671"/>
      <c r="IZ281" s="671"/>
      <c r="JA281" s="671"/>
      <c r="JB281" s="671"/>
      <c r="JC281" s="671"/>
      <c r="JD281" s="671"/>
      <c r="JE281" s="671"/>
      <c r="JF281" s="671"/>
      <c r="JG281" s="671"/>
      <c r="JH281" s="671"/>
      <c r="JI281" s="671"/>
      <c r="JJ281" s="671"/>
      <c r="JK281" s="671"/>
      <c r="JL281" s="671"/>
      <c r="JM281" s="671"/>
      <c r="JN281" s="671"/>
      <c r="JO281" s="671"/>
      <c r="JP281" s="671"/>
      <c r="JQ281" s="671"/>
      <c r="JR281" s="671"/>
      <c r="JS281" s="671"/>
      <c r="JT281" s="671"/>
      <c r="JU281" s="671"/>
      <c r="JV281" s="671"/>
      <c r="JW281" s="671"/>
      <c r="JX281" s="671"/>
      <c r="JY281" s="671"/>
      <c r="JZ281" s="671"/>
      <c r="KA281" s="671"/>
      <c r="KB281" s="671"/>
      <c r="KC281" s="671"/>
      <c r="KD281" s="671"/>
      <c r="KE281" s="671"/>
      <c r="KF281" s="671"/>
      <c r="KG281" s="671"/>
      <c r="KH281" s="671"/>
      <c r="KI281" s="671"/>
      <c r="KJ281" s="671"/>
      <c r="KL281" s="669"/>
      <c r="KM281" s="669"/>
      <c r="KQ281" s="672"/>
      <c r="KR281" s="673"/>
      <c r="KS281" s="672"/>
      <c r="KT281" s="673"/>
      <c r="KU281" s="672"/>
      <c r="KV281" s="673"/>
      <c r="KW281" s="672"/>
      <c r="KX281" s="673"/>
      <c r="KY281" s="672"/>
      <c r="KZ281" s="673"/>
    </row>
    <row r="282" s="628" customFormat="1" spans="2:312">
      <c r="B282" s="659"/>
      <c r="C282" s="662"/>
      <c r="E282" s="665"/>
      <c r="F282" s="665"/>
      <c r="G282" s="666"/>
      <c r="H282" s="666"/>
      <c r="I282" s="667"/>
      <c r="J282" s="667"/>
      <c r="K282" s="667"/>
      <c r="L282" s="667"/>
      <c r="M282" s="667"/>
      <c r="N282" s="667"/>
      <c r="O282" s="667"/>
      <c r="P282" s="667"/>
      <c r="Q282" s="667"/>
      <c r="R282" s="667"/>
      <c r="S282" s="667"/>
      <c r="T282" s="667"/>
      <c r="U282" s="667"/>
      <c r="V282" s="667"/>
      <c r="W282" s="667"/>
      <c r="X282" s="667"/>
      <c r="Y282" s="667"/>
      <c r="Z282" s="667"/>
      <c r="AA282" s="667"/>
      <c r="AB282" s="667"/>
      <c r="FJ282" s="668"/>
      <c r="FK282" s="668"/>
      <c r="FL282" s="668"/>
      <c r="FM282" s="668"/>
      <c r="FN282" s="668"/>
      <c r="FO282" s="668"/>
      <c r="FV282" s="669"/>
      <c r="FZ282" s="669"/>
      <c r="GA282" s="669"/>
      <c r="GB282" s="669"/>
      <c r="GC282" s="669"/>
      <c r="GD282" s="665"/>
      <c r="GF282" s="669"/>
      <c r="GG282" s="669"/>
      <c r="GH282" s="669"/>
      <c r="GI282" s="669"/>
      <c r="GJ282" s="669"/>
      <c r="GK282" s="669"/>
      <c r="GL282" s="669"/>
      <c r="GM282" s="669"/>
      <c r="GN282" s="669"/>
      <c r="GO282" s="669"/>
      <c r="GP282" s="669"/>
      <c r="GQ282" s="669"/>
      <c r="GR282" s="669"/>
      <c r="GS282" s="669"/>
      <c r="GT282" s="669"/>
      <c r="GU282" s="669"/>
      <c r="GV282" s="669"/>
      <c r="GW282" s="669"/>
      <c r="GX282" s="669"/>
      <c r="GY282" s="669"/>
      <c r="GZ282" s="669"/>
      <c r="HA282" s="669"/>
      <c r="HB282" s="669"/>
      <c r="HC282" s="669"/>
      <c r="HD282" s="669"/>
      <c r="HE282" s="669"/>
      <c r="HF282" s="669"/>
      <c r="HG282" s="669"/>
      <c r="HH282" s="670"/>
      <c r="HI282" s="670"/>
      <c r="HJ282" s="671"/>
      <c r="HK282" s="669"/>
      <c r="HL282" s="665"/>
      <c r="HM282" s="665"/>
      <c r="HP282" s="670"/>
      <c r="HQ282" s="671"/>
      <c r="HR282" s="671"/>
      <c r="HS282" s="671"/>
      <c r="HT282" s="671"/>
      <c r="HU282" s="671"/>
      <c r="HV282" s="671"/>
      <c r="HW282" s="671"/>
      <c r="HX282" s="671"/>
      <c r="HY282" s="671"/>
      <c r="HZ282" s="671"/>
      <c r="IA282" s="671"/>
      <c r="IB282" s="671"/>
      <c r="IC282" s="671"/>
      <c r="ID282" s="671"/>
      <c r="IE282" s="671"/>
      <c r="IF282" s="671"/>
      <c r="IG282" s="671"/>
      <c r="IH282" s="671"/>
      <c r="II282" s="671"/>
      <c r="IJ282" s="671"/>
      <c r="IK282" s="671"/>
      <c r="IL282" s="671"/>
      <c r="IM282" s="671"/>
      <c r="IN282" s="671"/>
      <c r="IO282" s="671"/>
      <c r="IP282" s="671"/>
      <c r="IQ282" s="671"/>
      <c r="IR282" s="671"/>
      <c r="IS282" s="671"/>
      <c r="IT282" s="671"/>
      <c r="IU282" s="671"/>
      <c r="IV282" s="671"/>
      <c r="IW282" s="671"/>
      <c r="IX282" s="671"/>
      <c r="IY282" s="671"/>
      <c r="IZ282" s="671"/>
      <c r="JA282" s="671"/>
      <c r="JB282" s="671"/>
      <c r="JC282" s="671"/>
      <c r="JD282" s="671"/>
      <c r="JE282" s="671"/>
      <c r="JF282" s="671"/>
      <c r="JG282" s="671"/>
      <c r="JH282" s="671"/>
      <c r="JI282" s="671"/>
      <c r="JJ282" s="671"/>
      <c r="JK282" s="671"/>
      <c r="JL282" s="671"/>
      <c r="JM282" s="671"/>
      <c r="JN282" s="671"/>
      <c r="JO282" s="671"/>
      <c r="JP282" s="671"/>
      <c r="JQ282" s="671"/>
      <c r="JR282" s="671"/>
      <c r="JS282" s="671"/>
      <c r="JT282" s="671"/>
      <c r="JU282" s="671"/>
      <c r="JV282" s="671"/>
      <c r="JW282" s="671"/>
      <c r="JX282" s="671"/>
      <c r="JY282" s="671"/>
      <c r="JZ282" s="671"/>
      <c r="KA282" s="671"/>
      <c r="KB282" s="671"/>
      <c r="KC282" s="671"/>
      <c r="KD282" s="671"/>
      <c r="KE282" s="671"/>
      <c r="KF282" s="671"/>
      <c r="KG282" s="671"/>
      <c r="KH282" s="671"/>
      <c r="KI282" s="671"/>
      <c r="KJ282" s="671"/>
      <c r="KL282" s="669"/>
      <c r="KM282" s="669"/>
      <c r="KQ282" s="672"/>
      <c r="KR282" s="673"/>
      <c r="KS282" s="672"/>
      <c r="KT282" s="673"/>
      <c r="KU282" s="672"/>
      <c r="KV282" s="673"/>
      <c r="KW282" s="672"/>
      <c r="KX282" s="673"/>
      <c r="KY282" s="672"/>
      <c r="KZ282" s="673"/>
    </row>
    <row r="283" s="628" customFormat="1" spans="2:312">
      <c r="B283" s="659"/>
      <c r="C283" s="662"/>
      <c r="E283" s="665"/>
      <c r="F283" s="665"/>
      <c r="G283" s="666"/>
      <c r="H283" s="666"/>
      <c r="I283" s="667"/>
      <c r="J283" s="667"/>
      <c r="K283" s="667"/>
      <c r="L283" s="667"/>
      <c r="M283" s="667"/>
      <c r="N283" s="667"/>
      <c r="O283" s="667"/>
      <c r="P283" s="667"/>
      <c r="Q283" s="667"/>
      <c r="R283" s="667"/>
      <c r="S283" s="667"/>
      <c r="T283" s="667"/>
      <c r="U283" s="667"/>
      <c r="V283" s="667"/>
      <c r="W283" s="667"/>
      <c r="X283" s="667"/>
      <c r="Y283" s="667"/>
      <c r="Z283" s="667"/>
      <c r="AA283" s="667"/>
      <c r="AB283" s="667"/>
      <c r="FJ283" s="668"/>
      <c r="FK283" s="668"/>
      <c r="FL283" s="668"/>
      <c r="FM283" s="668"/>
      <c r="FN283" s="668"/>
      <c r="FO283" s="668"/>
      <c r="FV283" s="669"/>
      <c r="FZ283" s="669"/>
      <c r="GA283" s="669"/>
      <c r="GB283" s="669"/>
      <c r="GC283" s="669"/>
      <c r="GD283" s="665"/>
      <c r="GF283" s="669"/>
      <c r="GG283" s="669"/>
      <c r="GH283" s="669"/>
      <c r="GI283" s="669"/>
      <c r="GJ283" s="669"/>
      <c r="GK283" s="669"/>
      <c r="GL283" s="669"/>
      <c r="GM283" s="669"/>
      <c r="GN283" s="669"/>
      <c r="GO283" s="669"/>
      <c r="GP283" s="669"/>
      <c r="GQ283" s="669"/>
      <c r="GR283" s="669"/>
      <c r="GS283" s="669"/>
      <c r="GT283" s="669"/>
      <c r="GU283" s="669"/>
      <c r="GV283" s="669"/>
      <c r="GW283" s="669"/>
      <c r="GX283" s="669"/>
      <c r="GY283" s="669"/>
      <c r="GZ283" s="669"/>
      <c r="HA283" s="669"/>
      <c r="HB283" s="669"/>
      <c r="HC283" s="669"/>
      <c r="HD283" s="669"/>
      <c r="HE283" s="669"/>
      <c r="HF283" s="669"/>
      <c r="HG283" s="669"/>
      <c r="HH283" s="670"/>
      <c r="HI283" s="670"/>
      <c r="HJ283" s="671"/>
      <c r="HK283" s="669"/>
      <c r="HL283" s="665"/>
      <c r="HM283" s="665"/>
      <c r="HP283" s="670"/>
      <c r="HQ283" s="671"/>
      <c r="HR283" s="671"/>
      <c r="HS283" s="671"/>
      <c r="HT283" s="671"/>
      <c r="HU283" s="671"/>
      <c r="HV283" s="671"/>
      <c r="HW283" s="671"/>
      <c r="HX283" s="671"/>
      <c r="HY283" s="671"/>
      <c r="HZ283" s="671"/>
      <c r="IA283" s="671"/>
      <c r="IB283" s="671"/>
      <c r="IC283" s="671"/>
      <c r="ID283" s="671"/>
      <c r="IE283" s="671"/>
      <c r="IF283" s="671"/>
      <c r="IG283" s="671"/>
      <c r="IH283" s="671"/>
      <c r="II283" s="671"/>
      <c r="IJ283" s="671"/>
      <c r="IK283" s="671"/>
      <c r="IL283" s="671"/>
      <c r="IM283" s="671"/>
      <c r="IN283" s="671"/>
      <c r="IO283" s="671"/>
      <c r="IP283" s="671"/>
      <c r="IQ283" s="671"/>
      <c r="IR283" s="671"/>
      <c r="IS283" s="671"/>
      <c r="IT283" s="671"/>
      <c r="IU283" s="671"/>
      <c r="IV283" s="671"/>
      <c r="IW283" s="671"/>
      <c r="IX283" s="671"/>
      <c r="IY283" s="671"/>
      <c r="IZ283" s="671"/>
      <c r="JA283" s="671"/>
      <c r="JB283" s="671"/>
      <c r="JC283" s="671"/>
      <c r="JD283" s="671"/>
      <c r="JE283" s="671"/>
      <c r="JF283" s="671"/>
      <c r="JG283" s="671"/>
      <c r="JH283" s="671"/>
      <c r="JI283" s="671"/>
      <c r="JJ283" s="671"/>
      <c r="JK283" s="671"/>
      <c r="JL283" s="671"/>
      <c r="JM283" s="671"/>
      <c r="JN283" s="671"/>
      <c r="JO283" s="671"/>
      <c r="JP283" s="671"/>
      <c r="JQ283" s="671"/>
      <c r="JR283" s="671"/>
      <c r="JS283" s="671"/>
      <c r="JT283" s="671"/>
      <c r="JU283" s="671"/>
      <c r="JV283" s="671"/>
      <c r="JW283" s="671"/>
      <c r="JX283" s="671"/>
      <c r="JY283" s="671"/>
      <c r="JZ283" s="671"/>
      <c r="KA283" s="671"/>
      <c r="KB283" s="671"/>
      <c r="KC283" s="671"/>
      <c r="KD283" s="671"/>
      <c r="KE283" s="671"/>
      <c r="KF283" s="671"/>
      <c r="KG283" s="671"/>
      <c r="KH283" s="671"/>
      <c r="KI283" s="671"/>
      <c r="KJ283" s="671"/>
      <c r="KL283" s="669"/>
      <c r="KM283" s="669"/>
      <c r="KQ283" s="672"/>
      <c r="KR283" s="673"/>
      <c r="KS283" s="672"/>
      <c r="KT283" s="673"/>
      <c r="KU283" s="672"/>
      <c r="KV283" s="673"/>
      <c r="KW283" s="672"/>
      <c r="KX283" s="673"/>
      <c r="KY283" s="672"/>
      <c r="KZ283" s="673"/>
    </row>
    <row r="284" s="628" customFormat="1" spans="2:312">
      <c r="B284" s="659"/>
      <c r="C284" s="662"/>
      <c r="E284" s="665"/>
      <c r="F284" s="665"/>
      <c r="G284" s="666"/>
      <c r="H284" s="666"/>
      <c r="I284" s="667"/>
      <c r="J284" s="667"/>
      <c r="K284" s="667"/>
      <c r="L284" s="667"/>
      <c r="M284" s="667"/>
      <c r="N284" s="667"/>
      <c r="O284" s="667"/>
      <c r="P284" s="667"/>
      <c r="Q284" s="667"/>
      <c r="R284" s="667"/>
      <c r="S284" s="667"/>
      <c r="T284" s="667"/>
      <c r="U284" s="667"/>
      <c r="V284" s="667"/>
      <c r="W284" s="667"/>
      <c r="X284" s="667"/>
      <c r="Y284" s="667"/>
      <c r="Z284" s="667"/>
      <c r="AA284" s="667"/>
      <c r="AB284" s="667"/>
      <c r="FJ284" s="668"/>
      <c r="FK284" s="668"/>
      <c r="FL284" s="668"/>
      <c r="FM284" s="668"/>
      <c r="FN284" s="668"/>
      <c r="FO284" s="668"/>
      <c r="FV284" s="669"/>
      <c r="FZ284" s="669"/>
      <c r="GA284" s="669"/>
      <c r="GB284" s="669"/>
      <c r="GC284" s="669"/>
      <c r="GD284" s="665"/>
      <c r="GF284" s="669"/>
      <c r="GG284" s="669"/>
      <c r="GH284" s="669"/>
      <c r="GI284" s="669"/>
      <c r="GJ284" s="669"/>
      <c r="GK284" s="669"/>
      <c r="GL284" s="669"/>
      <c r="GM284" s="669"/>
      <c r="GN284" s="669"/>
      <c r="GO284" s="669"/>
      <c r="GP284" s="669"/>
      <c r="GQ284" s="669"/>
      <c r="GR284" s="669"/>
      <c r="GS284" s="669"/>
      <c r="GT284" s="669"/>
      <c r="GU284" s="669"/>
      <c r="GV284" s="669"/>
      <c r="GW284" s="669"/>
      <c r="GX284" s="669"/>
      <c r="GY284" s="669"/>
      <c r="GZ284" s="669"/>
      <c r="HA284" s="669"/>
      <c r="HB284" s="669"/>
      <c r="HC284" s="669"/>
      <c r="HD284" s="669"/>
      <c r="HE284" s="669"/>
      <c r="HF284" s="669"/>
      <c r="HG284" s="669"/>
      <c r="HH284" s="670"/>
      <c r="HI284" s="670"/>
      <c r="HJ284" s="671"/>
      <c r="HK284" s="669"/>
      <c r="HL284" s="665"/>
      <c r="HM284" s="665"/>
      <c r="HP284" s="670"/>
      <c r="HQ284" s="671"/>
      <c r="HR284" s="671"/>
      <c r="HS284" s="671"/>
      <c r="HT284" s="671"/>
      <c r="HU284" s="671"/>
      <c r="HV284" s="671"/>
      <c r="HW284" s="671"/>
      <c r="HX284" s="671"/>
      <c r="HY284" s="671"/>
      <c r="HZ284" s="671"/>
      <c r="IA284" s="671"/>
      <c r="IB284" s="671"/>
      <c r="IC284" s="671"/>
      <c r="ID284" s="671"/>
      <c r="IE284" s="671"/>
      <c r="IF284" s="671"/>
      <c r="IG284" s="671"/>
      <c r="IH284" s="671"/>
      <c r="II284" s="671"/>
      <c r="IJ284" s="671"/>
      <c r="IK284" s="671"/>
      <c r="IL284" s="671"/>
      <c r="IM284" s="671"/>
      <c r="IN284" s="671"/>
      <c r="IO284" s="671"/>
      <c r="IP284" s="671"/>
      <c r="IQ284" s="671"/>
      <c r="IR284" s="671"/>
      <c r="IS284" s="671"/>
      <c r="IT284" s="671"/>
      <c r="IU284" s="671"/>
      <c r="IV284" s="671"/>
      <c r="IW284" s="671"/>
      <c r="IX284" s="671"/>
      <c r="IY284" s="671"/>
      <c r="IZ284" s="671"/>
      <c r="JA284" s="671"/>
      <c r="JB284" s="671"/>
      <c r="JC284" s="671"/>
      <c r="JD284" s="671"/>
      <c r="JE284" s="671"/>
      <c r="JF284" s="671"/>
      <c r="JG284" s="671"/>
      <c r="JH284" s="671"/>
      <c r="JI284" s="671"/>
      <c r="JJ284" s="671"/>
      <c r="JK284" s="671"/>
      <c r="JL284" s="671"/>
      <c r="JM284" s="671"/>
      <c r="JN284" s="671"/>
      <c r="JO284" s="671"/>
      <c r="JP284" s="671"/>
      <c r="JQ284" s="671"/>
      <c r="JR284" s="671"/>
      <c r="JS284" s="671"/>
      <c r="JT284" s="671"/>
      <c r="JU284" s="671"/>
      <c r="JV284" s="671"/>
      <c r="JW284" s="671"/>
      <c r="JX284" s="671"/>
      <c r="JY284" s="671"/>
      <c r="JZ284" s="671"/>
      <c r="KA284" s="671"/>
      <c r="KB284" s="671"/>
      <c r="KC284" s="671"/>
      <c r="KD284" s="671"/>
      <c r="KE284" s="671"/>
      <c r="KF284" s="671"/>
      <c r="KG284" s="671"/>
      <c r="KH284" s="671"/>
      <c r="KI284" s="671"/>
      <c r="KJ284" s="671"/>
      <c r="KL284" s="669"/>
      <c r="KM284" s="669"/>
      <c r="KQ284" s="672"/>
      <c r="KR284" s="673"/>
      <c r="KS284" s="672"/>
      <c r="KT284" s="673"/>
      <c r="KU284" s="672"/>
      <c r="KV284" s="673"/>
      <c r="KW284" s="672"/>
      <c r="KX284" s="673"/>
      <c r="KY284" s="672"/>
      <c r="KZ284" s="673"/>
    </row>
    <row r="285" s="628" customFormat="1" spans="2:312">
      <c r="B285" s="659"/>
      <c r="C285" s="662"/>
      <c r="E285" s="665"/>
      <c r="F285" s="665"/>
      <c r="G285" s="666"/>
      <c r="H285" s="666"/>
      <c r="I285" s="667"/>
      <c r="J285" s="667"/>
      <c r="K285" s="667"/>
      <c r="L285" s="667"/>
      <c r="M285" s="667"/>
      <c r="N285" s="667"/>
      <c r="O285" s="667"/>
      <c r="P285" s="667"/>
      <c r="Q285" s="667"/>
      <c r="R285" s="667"/>
      <c r="S285" s="667"/>
      <c r="T285" s="667"/>
      <c r="U285" s="667"/>
      <c r="V285" s="667"/>
      <c r="W285" s="667"/>
      <c r="X285" s="667"/>
      <c r="Y285" s="667"/>
      <c r="Z285" s="667"/>
      <c r="AA285" s="667"/>
      <c r="AB285" s="667"/>
      <c r="FJ285" s="668"/>
      <c r="FK285" s="668"/>
      <c r="FL285" s="668"/>
      <c r="FM285" s="668"/>
      <c r="FN285" s="668"/>
      <c r="FO285" s="668"/>
      <c r="FV285" s="669"/>
      <c r="FZ285" s="669"/>
      <c r="GA285" s="669"/>
      <c r="GB285" s="669"/>
      <c r="GC285" s="669"/>
      <c r="GD285" s="665"/>
      <c r="GF285" s="669"/>
      <c r="GG285" s="669"/>
      <c r="GH285" s="669"/>
      <c r="GI285" s="669"/>
      <c r="GJ285" s="669"/>
      <c r="GK285" s="669"/>
      <c r="GL285" s="669"/>
      <c r="GM285" s="669"/>
      <c r="GN285" s="669"/>
      <c r="GO285" s="669"/>
      <c r="GP285" s="669"/>
      <c r="GQ285" s="669"/>
      <c r="GR285" s="669"/>
      <c r="GS285" s="669"/>
      <c r="GT285" s="669"/>
      <c r="GU285" s="669"/>
      <c r="GV285" s="669"/>
      <c r="GW285" s="669"/>
      <c r="GX285" s="669"/>
      <c r="GY285" s="669"/>
      <c r="GZ285" s="669"/>
      <c r="HA285" s="669"/>
      <c r="HB285" s="669"/>
      <c r="HC285" s="669"/>
      <c r="HD285" s="669"/>
      <c r="HE285" s="669"/>
      <c r="HF285" s="669"/>
      <c r="HG285" s="669"/>
      <c r="HH285" s="670"/>
      <c r="HI285" s="670"/>
      <c r="HJ285" s="671"/>
      <c r="HK285" s="669"/>
      <c r="HL285" s="665"/>
      <c r="HM285" s="665"/>
      <c r="HP285" s="670"/>
      <c r="HQ285" s="671"/>
      <c r="HR285" s="671"/>
      <c r="HS285" s="671"/>
      <c r="HT285" s="671"/>
      <c r="HU285" s="671"/>
      <c r="HV285" s="671"/>
      <c r="HW285" s="671"/>
      <c r="HX285" s="671"/>
      <c r="HY285" s="671"/>
      <c r="HZ285" s="671"/>
      <c r="IA285" s="671"/>
      <c r="IB285" s="671"/>
      <c r="IC285" s="671"/>
      <c r="ID285" s="671"/>
      <c r="IE285" s="671"/>
      <c r="IF285" s="671"/>
      <c r="IG285" s="671"/>
      <c r="IH285" s="671"/>
      <c r="II285" s="671"/>
      <c r="IJ285" s="671"/>
      <c r="IK285" s="671"/>
      <c r="IL285" s="671"/>
      <c r="IM285" s="671"/>
      <c r="IN285" s="671"/>
      <c r="IO285" s="671"/>
      <c r="IP285" s="671"/>
      <c r="IQ285" s="671"/>
      <c r="IR285" s="671"/>
      <c r="IS285" s="671"/>
      <c r="IT285" s="671"/>
      <c r="IU285" s="671"/>
      <c r="IV285" s="671"/>
      <c r="IW285" s="671"/>
      <c r="IX285" s="671"/>
      <c r="IY285" s="671"/>
      <c r="IZ285" s="671"/>
      <c r="JA285" s="671"/>
      <c r="JB285" s="671"/>
      <c r="JC285" s="671"/>
      <c r="JD285" s="671"/>
      <c r="JE285" s="671"/>
      <c r="JF285" s="671"/>
      <c r="JG285" s="671"/>
      <c r="JH285" s="671"/>
      <c r="JI285" s="671"/>
      <c r="JJ285" s="671"/>
      <c r="JK285" s="671"/>
      <c r="JL285" s="671"/>
      <c r="JM285" s="671"/>
      <c r="JN285" s="671"/>
      <c r="JO285" s="671"/>
      <c r="JP285" s="671"/>
      <c r="JQ285" s="671"/>
      <c r="JR285" s="671"/>
      <c r="JS285" s="671"/>
      <c r="JT285" s="671"/>
      <c r="JU285" s="671"/>
      <c r="JV285" s="671"/>
      <c r="JW285" s="671"/>
      <c r="JX285" s="671"/>
      <c r="JY285" s="671"/>
      <c r="JZ285" s="671"/>
      <c r="KA285" s="671"/>
      <c r="KB285" s="671"/>
      <c r="KC285" s="671"/>
      <c r="KD285" s="671"/>
      <c r="KE285" s="671"/>
      <c r="KF285" s="671"/>
      <c r="KG285" s="671"/>
      <c r="KH285" s="671"/>
      <c r="KI285" s="671"/>
      <c r="KJ285" s="671"/>
      <c r="KL285" s="669"/>
      <c r="KM285" s="669"/>
      <c r="KQ285" s="672"/>
      <c r="KR285" s="673"/>
      <c r="KS285" s="672"/>
      <c r="KT285" s="673"/>
      <c r="KU285" s="672"/>
      <c r="KV285" s="673"/>
      <c r="KW285" s="672"/>
      <c r="KX285" s="673"/>
      <c r="KY285" s="672"/>
      <c r="KZ285" s="673"/>
    </row>
    <row r="286" s="628" customFormat="1" spans="2:312">
      <c r="B286" s="659"/>
      <c r="C286" s="662"/>
      <c r="E286" s="665"/>
      <c r="F286" s="665"/>
      <c r="G286" s="666"/>
      <c r="H286" s="666"/>
      <c r="I286" s="667"/>
      <c r="J286" s="667"/>
      <c r="K286" s="667"/>
      <c r="L286" s="667"/>
      <c r="M286" s="667"/>
      <c r="N286" s="667"/>
      <c r="O286" s="667"/>
      <c r="P286" s="667"/>
      <c r="Q286" s="667"/>
      <c r="R286" s="667"/>
      <c r="S286" s="667"/>
      <c r="T286" s="667"/>
      <c r="U286" s="667"/>
      <c r="V286" s="667"/>
      <c r="W286" s="667"/>
      <c r="X286" s="667"/>
      <c r="Y286" s="667"/>
      <c r="Z286" s="667"/>
      <c r="AA286" s="667"/>
      <c r="AB286" s="667"/>
      <c r="FJ286" s="668"/>
      <c r="FK286" s="668"/>
      <c r="FL286" s="668"/>
      <c r="FM286" s="668"/>
      <c r="FN286" s="668"/>
      <c r="FO286" s="668"/>
      <c r="FV286" s="669"/>
      <c r="FZ286" s="669"/>
      <c r="GA286" s="669"/>
      <c r="GB286" s="669"/>
      <c r="GC286" s="669"/>
      <c r="GD286" s="665"/>
      <c r="GF286" s="669"/>
      <c r="GG286" s="669"/>
      <c r="GH286" s="669"/>
      <c r="GI286" s="669"/>
      <c r="GJ286" s="669"/>
      <c r="GK286" s="669"/>
      <c r="GL286" s="669"/>
      <c r="GM286" s="669"/>
      <c r="GN286" s="669"/>
      <c r="GO286" s="669"/>
      <c r="GP286" s="669"/>
      <c r="GQ286" s="669"/>
      <c r="GR286" s="669"/>
      <c r="GS286" s="669"/>
      <c r="GT286" s="669"/>
      <c r="GU286" s="669"/>
      <c r="GV286" s="669"/>
      <c r="GW286" s="669"/>
      <c r="GX286" s="669"/>
      <c r="GY286" s="669"/>
      <c r="GZ286" s="669"/>
      <c r="HA286" s="669"/>
      <c r="HB286" s="669"/>
      <c r="HC286" s="669"/>
      <c r="HD286" s="669"/>
      <c r="HE286" s="669"/>
      <c r="HF286" s="669"/>
      <c r="HG286" s="669"/>
      <c r="HH286" s="670"/>
      <c r="HI286" s="670"/>
      <c r="HJ286" s="671"/>
      <c r="HK286" s="669"/>
      <c r="HL286" s="665"/>
      <c r="HM286" s="665"/>
      <c r="HP286" s="670"/>
      <c r="HQ286" s="671"/>
      <c r="HR286" s="671"/>
      <c r="HS286" s="671"/>
      <c r="HT286" s="671"/>
      <c r="HU286" s="671"/>
      <c r="HV286" s="671"/>
      <c r="HW286" s="671"/>
      <c r="HX286" s="671"/>
      <c r="HY286" s="671"/>
      <c r="HZ286" s="671"/>
      <c r="IA286" s="671"/>
      <c r="IB286" s="671"/>
      <c r="IC286" s="671"/>
      <c r="ID286" s="671"/>
      <c r="IE286" s="671"/>
      <c r="IF286" s="671"/>
      <c r="IG286" s="671"/>
      <c r="IH286" s="671"/>
      <c r="II286" s="671"/>
      <c r="IJ286" s="671"/>
      <c r="IK286" s="671"/>
      <c r="IL286" s="671"/>
      <c r="IM286" s="671"/>
      <c r="IN286" s="671"/>
      <c r="IO286" s="671"/>
      <c r="IP286" s="671"/>
      <c r="IQ286" s="671"/>
      <c r="IR286" s="671"/>
      <c r="IS286" s="671"/>
      <c r="IT286" s="671"/>
      <c r="IU286" s="671"/>
      <c r="IV286" s="671"/>
      <c r="IW286" s="671"/>
      <c r="IX286" s="671"/>
      <c r="IY286" s="671"/>
      <c r="IZ286" s="671"/>
      <c r="JA286" s="671"/>
      <c r="JB286" s="671"/>
      <c r="JC286" s="671"/>
      <c r="JD286" s="671"/>
      <c r="JE286" s="671"/>
      <c r="JF286" s="671"/>
      <c r="JG286" s="671"/>
      <c r="JH286" s="671"/>
      <c r="JI286" s="671"/>
      <c r="JJ286" s="671"/>
      <c r="JK286" s="671"/>
      <c r="JL286" s="671"/>
      <c r="JM286" s="671"/>
      <c r="JN286" s="671"/>
      <c r="JO286" s="671"/>
      <c r="JP286" s="671"/>
      <c r="JQ286" s="671"/>
      <c r="JR286" s="671"/>
      <c r="JS286" s="671"/>
      <c r="JT286" s="671"/>
      <c r="JU286" s="671"/>
      <c r="JV286" s="671"/>
      <c r="JW286" s="671"/>
      <c r="JX286" s="671"/>
      <c r="JY286" s="671"/>
      <c r="JZ286" s="671"/>
      <c r="KA286" s="671"/>
      <c r="KB286" s="671"/>
      <c r="KC286" s="671"/>
      <c r="KD286" s="671"/>
      <c r="KE286" s="671"/>
      <c r="KF286" s="671"/>
      <c r="KG286" s="671"/>
      <c r="KH286" s="671"/>
      <c r="KI286" s="671"/>
      <c r="KJ286" s="671"/>
      <c r="KL286" s="669"/>
      <c r="KM286" s="669"/>
      <c r="KQ286" s="672"/>
      <c r="KR286" s="673"/>
      <c r="KS286" s="672"/>
      <c r="KT286" s="673"/>
      <c r="KU286" s="672"/>
      <c r="KV286" s="673"/>
      <c r="KW286" s="672"/>
      <c r="KX286" s="673"/>
      <c r="KY286" s="672"/>
      <c r="KZ286" s="673"/>
    </row>
    <row r="287" s="628" customFormat="1" spans="2:312">
      <c r="B287" s="659"/>
      <c r="C287" s="662"/>
      <c r="E287" s="665"/>
      <c r="F287" s="665"/>
      <c r="G287" s="666"/>
      <c r="H287" s="666"/>
      <c r="I287" s="667"/>
      <c r="J287" s="667"/>
      <c r="K287" s="667"/>
      <c r="L287" s="667"/>
      <c r="M287" s="667"/>
      <c r="N287" s="667"/>
      <c r="O287" s="667"/>
      <c r="P287" s="667"/>
      <c r="Q287" s="667"/>
      <c r="R287" s="667"/>
      <c r="S287" s="667"/>
      <c r="T287" s="667"/>
      <c r="U287" s="667"/>
      <c r="V287" s="667"/>
      <c r="W287" s="667"/>
      <c r="X287" s="667"/>
      <c r="Y287" s="667"/>
      <c r="Z287" s="667"/>
      <c r="AA287" s="667"/>
      <c r="AB287" s="667"/>
      <c r="FJ287" s="668"/>
      <c r="FK287" s="668"/>
      <c r="FL287" s="668"/>
      <c r="FM287" s="668"/>
      <c r="FN287" s="668"/>
      <c r="FO287" s="668"/>
      <c r="FV287" s="669"/>
      <c r="FZ287" s="669"/>
      <c r="GA287" s="669"/>
      <c r="GB287" s="669"/>
      <c r="GC287" s="669"/>
      <c r="GD287" s="665"/>
      <c r="GF287" s="669"/>
      <c r="GG287" s="669"/>
      <c r="GH287" s="669"/>
      <c r="GI287" s="669"/>
      <c r="GJ287" s="669"/>
      <c r="GK287" s="669"/>
      <c r="GL287" s="669"/>
      <c r="GM287" s="669"/>
      <c r="GN287" s="669"/>
      <c r="GO287" s="669"/>
      <c r="GP287" s="669"/>
      <c r="GQ287" s="669"/>
      <c r="GR287" s="669"/>
      <c r="GS287" s="669"/>
      <c r="GT287" s="669"/>
      <c r="GU287" s="669"/>
      <c r="GV287" s="669"/>
      <c r="GW287" s="669"/>
      <c r="GX287" s="669"/>
      <c r="GY287" s="669"/>
      <c r="GZ287" s="669"/>
      <c r="HA287" s="669"/>
      <c r="HB287" s="669"/>
      <c r="HC287" s="669"/>
      <c r="HD287" s="669"/>
      <c r="HE287" s="669"/>
      <c r="HF287" s="669"/>
      <c r="HG287" s="669"/>
      <c r="HH287" s="670"/>
      <c r="HI287" s="670"/>
      <c r="HJ287" s="671"/>
      <c r="HK287" s="669"/>
      <c r="HL287" s="665"/>
      <c r="HM287" s="665"/>
      <c r="HP287" s="670"/>
      <c r="HQ287" s="671"/>
      <c r="HR287" s="671"/>
      <c r="HS287" s="671"/>
      <c r="HT287" s="671"/>
      <c r="HU287" s="671"/>
      <c r="HV287" s="671"/>
      <c r="HW287" s="671"/>
      <c r="HX287" s="671"/>
      <c r="HY287" s="671"/>
      <c r="HZ287" s="671"/>
      <c r="IA287" s="671"/>
      <c r="IB287" s="671"/>
      <c r="IC287" s="671"/>
      <c r="ID287" s="671"/>
      <c r="IE287" s="671"/>
      <c r="IF287" s="671"/>
      <c r="IG287" s="671"/>
      <c r="IH287" s="671"/>
      <c r="II287" s="671"/>
      <c r="IJ287" s="671"/>
      <c r="IK287" s="671"/>
      <c r="IL287" s="671"/>
      <c r="IM287" s="671"/>
      <c r="IN287" s="671"/>
      <c r="IO287" s="671"/>
      <c r="IP287" s="671"/>
      <c r="IQ287" s="671"/>
      <c r="IR287" s="671"/>
      <c r="IS287" s="671"/>
      <c r="IT287" s="671"/>
      <c r="IU287" s="671"/>
      <c r="IV287" s="671"/>
      <c r="IW287" s="671"/>
      <c r="IX287" s="671"/>
      <c r="IY287" s="671"/>
      <c r="IZ287" s="671"/>
      <c r="JA287" s="671"/>
      <c r="JB287" s="671"/>
      <c r="JC287" s="671"/>
      <c r="JD287" s="671"/>
      <c r="JE287" s="671"/>
      <c r="JF287" s="671"/>
      <c r="JG287" s="671"/>
      <c r="JH287" s="671"/>
      <c r="JI287" s="671"/>
      <c r="JJ287" s="671"/>
      <c r="JK287" s="671"/>
      <c r="JL287" s="671"/>
      <c r="JM287" s="671"/>
      <c r="JN287" s="671"/>
      <c r="JO287" s="671"/>
      <c r="JP287" s="671"/>
      <c r="JQ287" s="671"/>
      <c r="JR287" s="671"/>
      <c r="JS287" s="671"/>
      <c r="JT287" s="671"/>
      <c r="JU287" s="671"/>
      <c r="JV287" s="671"/>
      <c r="JW287" s="671"/>
      <c r="JX287" s="671"/>
      <c r="JY287" s="671"/>
      <c r="JZ287" s="671"/>
      <c r="KA287" s="671"/>
      <c r="KB287" s="671"/>
      <c r="KC287" s="671"/>
      <c r="KD287" s="671"/>
      <c r="KE287" s="671"/>
      <c r="KF287" s="671"/>
      <c r="KG287" s="671"/>
      <c r="KH287" s="671"/>
      <c r="KI287" s="671"/>
      <c r="KJ287" s="671"/>
      <c r="KL287" s="669"/>
      <c r="KM287" s="669"/>
      <c r="KQ287" s="672"/>
      <c r="KR287" s="673"/>
      <c r="KS287" s="672"/>
      <c r="KT287" s="673"/>
      <c r="KU287" s="672"/>
      <c r="KV287" s="673"/>
      <c r="KW287" s="672"/>
      <c r="KX287" s="673"/>
      <c r="KY287" s="672"/>
      <c r="KZ287" s="673"/>
    </row>
    <row r="288" s="628" customFormat="1" spans="2:312">
      <c r="B288" s="659"/>
      <c r="C288" s="662"/>
      <c r="E288" s="665"/>
      <c r="F288" s="665"/>
      <c r="G288" s="666"/>
      <c r="H288" s="666"/>
      <c r="I288" s="667"/>
      <c r="J288" s="667"/>
      <c r="K288" s="667"/>
      <c r="L288" s="667"/>
      <c r="M288" s="667"/>
      <c r="N288" s="667"/>
      <c r="O288" s="667"/>
      <c r="P288" s="667"/>
      <c r="Q288" s="667"/>
      <c r="R288" s="667"/>
      <c r="S288" s="667"/>
      <c r="T288" s="667"/>
      <c r="U288" s="667"/>
      <c r="V288" s="667"/>
      <c r="W288" s="667"/>
      <c r="X288" s="667"/>
      <c r="Y288" s="667"/>
      <c r="Z288" s="667"/>
      <c r="AA288" s="667"/>
      <c r="AB288" s="667"/>
      <c r="FJ288" s="668"/>
      <c r="FK288" s="668"/>
      <c r="FL288" s="668"/>
      <c r="FM288" s="668"/>
      <c r="FN288" s="668"/>
      <c r="FO288" s="668"/>
      <c r="FV288" s="669"/>
      <c r="FZ288" s="669"/>
      <c r="GA288" s="669"/>
      <c r="GB288" s="669"/>
      <c r="GC288" s="669"/>
      <c r="GD288" s="665"/>
      <c r="GF288" s="669"/>
      <c r="GG288" s="669"/>
      <c r="GH288" s="669"/>
      <c r="GI288" s="669"/>
      <c r="GJ288" s="669"/>
      <c r="GK288" s="669"/>
      <c r="GL288" s="669"/>
      <c r="GM288" s="669"/>
      <c r="GN288" s="669"/>
      <c r="GO288" s="669"/>
      <c r="GP288" s="669"/>
      <c r="GQ288" s="669"/>
      <c r="GR288" s="669"/>
      <c r="GS288" s="669"/>
      <c r="GT288" s="669"/>
      <c r="GU288" s="669"/>
      <c r="GV288" s="669"/>
      <c r="GW288" s="669"/>
      <c r="GX288" s="669"/>
      <c r="GY288" s="669"/>
      <c r="GZ288" s="669"/>
      <c r="HA288" s="669"/>
      <c r="HB288" s="669"/>
      <c r="HC288" s="669"/>
      <c r="HD288" s="669"/>
      <c r="HE288" s="669"/>
      <c r="HF288" s="669"/>
      <c r="HG288" s="669"/>
      <c r="HH288" s="670"/>
      <c r="HI288" s="670"/>
      <c r="HJ288" s="671"/>
      <c r="HK288" s="669"/>
      <c r="HL288" s="665"/>
      <c r="HM288" s="665"/>
      <c r="HP288" s="670"/>
      <c r="HQ288" s="671"/>
      <c r="HR288" s="671"/>
      <c r="HS288" s="671"/>
      <c r="HT288" s="671"/>
      <c r="HU288" s="671"/>
      <c r="HV288" s="671"/>
      <c r="HW288" s="671"/>
      <c r="HX288" s="671"/>
      <c r="HY288" s="671"/>
      <c r="HZ288" s="671"/>
      <c r="IA288" s="671"/>
      <c r="IB288" s="671"/>
      <c r="IC288" s="671"/>
      <c r="ID288" s="671"/>
      <c r="IE288" s="671"/>
      <c r="IF288" s="671"/>
      <c r="IG288" s="671"/>
      <c r="IH288" s="671"/>
      <c r="II288" s="671"/>
      <c r="IJ288" s="671"/>
      <c r="IK288" s="671"/>
      <c r="IL288" s="671"/>
      <c r="IM288" s="671"/>
      <c r="IN288" s="671"/>
      <c r="IO288" s="671"/>
      <c r="IP288" s="671"/>
      <c r="IQ288" s="671"/>
      <c r="IR288" s="671"/>
      <c r="IS288" s="671"/>
      <c r="IT288" s="671"/>
      <c r="IU288" s="671"/>
      <c r="IV288" s="671"/>
      <c r="IW288" s="671"/>
      <c r="IX288" s="671"/>
      <c r="IY288" s="671"/>
      <c r="IZ288" s="671"/>
      <c r="JA288" s="671"/>
      <c r="JB288" s="671"/>
      <c r="JC288" s="671"/>
      <c r="JD288" s="671"/>
      <c r="JE288" s="671"/>
      <c r="JF288" s="671"/>
      <c r="JG288" s="671"/>
      <c r="JH288" s="671"/>
      <c r="JI288" s="671"/>
      <c r="JJ288" s="671"/>
      <c r="JK288" s="671"/>
      <c r="JL288" s="671"/>
      <c r="JM288" s="671"/>
      <c r="JN288" s="671"/>
      <c r="JO288" s="671"/>
      <c r="JP288" s="671"/>
      <c r="JQ288" s="671"/>
      <c r="JR288" s="671"/>
      <c r="JS288" s="671"/>
      <c r="JT288" s="671"/>
      <c r="JU288" s="671"/>
      <c r="JV288" s="671"/>
      <c r="JW288" s="671"/>
      <c r="JX288" s="671"/>
      <c r="JY288" s="671"/>
      <c r="JZ288" s="671"/>
      <c r="KA288" s="671"/>
      <c r="KB288" s="671"/>
      <c r="KC288" s="671"/>
      <c r="KD288" s="671"/>
      <c r="KE288" s="671"/>
      <c r="KF288" s="671"/>
      <c r="KG288" s="671"/>
      <c r="KH288" s="671"/>
      <c r="KI288" s="671"/>
      <c r="KJ288" s="671"/>
      <c r="KL288" s="669"/>
      <c r="KM288" s="669"/>
      <c r="KQ288" s="672"/>
      <c r="KR288" s="673"/>
      <c r="KS288" s="672"/>
      <c r="KT288" s="673"/>
      <c r="KU288" s="672"/>
      <c r="KV288" s="673"/>
      <c r="KW288" s="672"/>
      <c r="KX288" s="673"/>
      <c r="KY288" s="672"/>
      <c r="KZ288" s="673"/>
    </row>
    <row r="289" s="628" customFormat="1" spans="2:312">
      <c r="B289" s="659"/>
      <c r="C289" s="662"/>
      <c r="E289" s="665"/>
      <c r="F289" s="665"/>
      <c r="G289" s="666"/>
      <c r="H289" s="666"/>
      <c r="I289" s="667"/>
      <c r="J289" s="667"/>
      <c r="K289" s="667"/>
      <c r="L289" s="667"/>
      <c r="M289" s="667"/>
      <c r="N289" s="667"/>
      <c r="O289" s="667"/>
      <c r="P289" s="667"/>
      <c r="Q289" s="667"/>
      <c r="R289" s="667"/>
      <c r="S289" s="667"/>
      <c r="T289" s="667"/>
      <c r="U289" s="667"/>
      <c r="V289" s="667"/>
      <c r="W289" s="667"/>
      <c r="X289" s="667"/>
      <c r="Y289" s="667"/>
      <c r="Z289" s="667"/>
      <c r="AA289" s="667"/>
      <c r="AB289" s="667"/>
      <c r="FJ289" s="668"/>
      <c r="FK289" s="668"/>
      <c r="FL289" s="668"/>
      <c r="FM289" s="668"/>
      <c r="FN289" s="668"/>
      <c r="FO289" s="668"/>
      <c r="FV289" s="669"/>
      <c r="FZ289" s="669"/>
      <c r="GA289" s="669"/>
      <c r="GB289" s="669"/>
      <c r="GC289" s="669"/>
      <c r="GD289" s="665"/>
      <c r="GF289" s="669"/>
      <c r="GG289" s="669"/>
      <c r="GH289" s="669"/>
      <c r="GI289" s="669"/>
      <c r="GJ289" s="669"/>
      <c r="GK289" s="669"/>
      <c r="GL289" s="669"/>
      <c r="GM289" s="669"/>
      <c r="GN289" s="669"/>
      <c r="GO289" s="669"/>
      <c r="GP289" s="669"/>
      <c r="GQ289" s="669"/>
      <c r="GR289" s="669"/>
      <c r="GS289" s="669"/>
      <c r="GT289" s="669"/>
      <c r="GU289" s="669"/>
      <c r="GV289" s="669"/>
      <c r="GW289" s="669"/>
      <c r="GX289" s="669"/>
      <c r="GY289" s="669"/>
      <c r="GZ289" s="669"/>
      <c r="HA289" s="669"/>
      <c r="HB289" s="669"/>
      <c r="HC289" s="669"/>
      <c r="HD289" s="669"/>
      <c r="HE289" s="669"/>
      <c r="HF289" s="669"/>
      <c r="HG289" s="669"/>
      <c r="HH289" s="670"/>
      <c r="HI289" s="670"/>
      <c r="HJ289" s="671"/>
      <c r="HK289" s="669"/>
      <c r="HL289" s="665"/>
      <c r="HM289" s="665"/>
      <c r="HP289" s="670"/>
      <c r="HQ289" s="671"/>
      <c r="HR289" s="671"/>
      <c r="HS289" s="671"/>
      <c r="HT289" s="671"/>
      <c r="HU289" s="671"/>
      <c r="HV289" s="671"/>
      <c r="HW289" s="671"/>
      <c r="HX289" s="671"/>
      <c r="HY289" s="671"/>
      <c r="HZ289" s="671"/>
      <c r="IA289" s="671"/>
      <c r="IB289" s="671"/>
      <c r="IC289" s="671"/>
      <c r="ID289" s="671"/>
      <c r="IE289" s="671"/>
      <c r="IF289" s="671"/>
      <c r="IG289" s="671"/>
      <c r="IH289" s="671"/>
      <c r="II289" s="671"/>
      <c r="IJ289" s="671"/>
      <c r="IK289" s="671"/>
      <c r="IL289" s="671"/>
      <c r="IM289" s="671"/>
      <c r="IN289" s="671"/>
      <c r="IO289" s="671"/>
      <c r="IP289" s="671"/>
      <c r="IQ289" s="671"/>
      <c r="IR289" s="671"/>
      <c r="IS289" s="671"/>
      <c r="IT289" s="671"/>
      <c r="IU289" s="671"/>
      <c r="IV289" s="671"/>
      <c r="IW289" s="671"/>
      <c r="IX289" s="671"/>
      <c r="IY289" s="671"/>
      <c r="IZ289" s="671"/>
      <c r="JA289" s="671"/>
      <c r="JB289" s="671"/>
      <c r="JC289" s="671"/>
      <c r="JD289" s="671"/>
      <c r="JE289" s="671"/>
      <c r="JF289" s="671"/>
      <c r="JG289" s="671"/>
      <c r="JH289" s="671"/>
      <c r="JI289" s="671"/>
      <c r="JJ289" s="671"/>
      <c r="JK289" s="671"/>
      <c r="JL289" s="671"/>
      <c r="JM289" s="671"/>
      <c r="JN289" s="671"/>
      <c r="JO289" s="671"/>
      <c r="JP289" s="671"/>
      <c r="JQ289" s="671"/>
      <c r="JR289" s="671"/>
      <c r="JS289" s="671"/>
      <c r="JT289" s="671"/>
      <c r="JU289" s="671"/>
      <c r="JV289" s="671"/>
      <c r="JW289" s="671"/>
      <c r="JX289" s="671"/>
      <c r="JY289" s="671"/>
      <c r="JZ289" s="671"/>
      <c r="KA289" s="671"/>
      <c r="KB289" s="671"/>
      <c r="KC289" s="671"/>
      <c r="KD289" s="671"/>
      <c r="KE289" s="671"/>
      <c r="KF289" s="671"/>
      <c r="KG289" s="671"/>
      <c r="KH289" s="671"/>
      <c r="KI289" s="671"/>
      <c r="KJ289" s="671"/>
      <c r="KL289" s="669"/>
      <c r="KM289" s="669"/>
      <c r="KQ289" s="672"/>
      <c r="KR289" s="673"/>
      <c r="KS289" s="672"/>
      <c r="KT289" s="673"/>
      <c r="KU289" s="672"/>
      <c r="KV289" s="673"/>
      <c r="KW289" s="672"/>
      <c r="KX289" s="673"/>
      <c r="KY289" s="672"/>
      <c r="KZ289" s="673"/>
    </row>
    <row r="290" s="628" customFormat="1" spans="2:312">
      <c r="B290" s="659"/>
      <c r="C290" s="662"/>
      <c r="E290" s="665"/>
      <c r="F290" s="665"/>
      <c r="G290" s="666"/>
      <c r="H290" s="666"/>
      <c r="I290" s="667"/>
      <c r="J290" s="667"/>
      <c r="K290" s="667"/>
      <c r="L290" s="667"/>
      <c r="M290" s="667"/>
      <c r="N290" s="667"/>
      <c r="O290" s="667"/>
      <c r="P290" s="667"/>
      <c r="Q290" s="667"/>
      <c r="R290" s="667"/>
      <c r="S290" s="667"/>
      <c r="T290" s="667"/>
      <c r="U290" s="667"/>
      <c r="V290" s="667"/>
      <c r="W290" s="667"/>
      <c r="X290" s="667"/>
      <c r="Y290" s="667"/>
      <c r="Z290" s="667"/>
      <c r="AA290" s="667"/>
      <c r="AB290" s="667"/>
      <c r="FJ290" s="668"/>
      <c r="FK290" s="668"/>
      <c r="FL290" s="668"/>
      <c r="FM290" s="668"/>
      <c r="FN290" s="668"/>
      <c r="FO290" s="668"/>
      <c r="FV290" s="669"/>
      <c r="FZ290" s="669"/>
      <c r="GA290" s="669"/>
      <c r="GB290" s="669"/>
      <c r="GC290" s="669"/>
      <c r="GD290" s="665"/>
      <c r="GF290" s="669"/>
      <c r="GG290" s="669"/>
      <c r="GH290" s="669"/>
      <c r="GI290" s="669"/>
      <c r="GJ290" s="669"/>
      <c r="GK290" s="669"/>
      <c r="GL290" s="669"/>
      <c r="GM290" s="669"/>
      <c r="GN290" s="669"/>
      <c r="GO290" s="669"/>
      <c r="GP290" s="669"/>
      <c r="GQ290" s="669"/>
      <c r="GR290" s="669"/>
      <c r="GS290" s="669"/>
      <c r="GT290" s="669"/>
      <c r="GU290" s="669"/>
      <c r="GV290" s="669"/>
      <c r="GW290" s="669"/>
      <c r="GX290" s="669"/>
      <c r="GY290" s="669"/>
      <c r="GZ290" s="669"/>
      <c r="HA290" s="669"/>
      <c r="HB290" s="669"/>
      <c r="HC290" s="669"/>
      <c r="HD290" s="669"/>
      <c r="HE290" s="669"/>
      <c r="HF290" s="669"/>
      <c r="HG290" s="669"/>
      <c r="HH290" s="670"/>
      <c r="HI290" s="670"/>
      <c r="HJ290" s="671"/>
      <c r="HK290" s="669"/>
      <c r="HL290" s="665"/>
      <c r="HM290" s="665"/>
      <c r="HP290" s="670"/>
      <c r="HQ290" s="671"/>
      <c r="HR290" s="671"/>
      <c r="HS290" s="671"/>
      <c r="HT290" s="671"/>
      <c r="HU290" s="671"/>
      <c r="HV290" s="671"/>
      <c r="HW290" s="671"/>
      <c r="HX290" s="671"/>
      <c r="HY290" s="671"/>
      <c r="HZ290" s="671"/>
      <c r="IA290" s="671"/>
      <c r="IB290" s="671"/>
      <c r="IC290" s="671"/>
      <c r="ID290" s="671"/>
      <c r="IE290" s="671"/>
      <c r="IF290" s="671"/>
      <c r="IG290" s="671"/>
      <c r="IH290" s="671"/>
      <c r="II290" s="671"/>
      <c r="IJ290" s="671"/>
      <c r="IK290" s="671"/>
      <c r="IL290" s="671"/>
      <c r="IM290" s="671"/>
      <c r="IN290" s="671"/>
      <c r="IO290" s="671"/>
      <c r="IP290" s="671"/>
      <c r="IQ290" s="671"/>
      <c r="IR290" s="671"/>
      <c r="IS290" s="671"/>
      <c r="IT290" s="671"/>
      <c r="IU290" s="671"/>
      <c r="IV290" s="671"/>
      <c r="IW290" s="671"/>
      <c r="IX290" s="671"/>
      <c r="IY290" s="671"/>
      <c r="IZ290" s="671"/>
      <c r="JA290" s="671"/>
      <c r="JB290" s="671"/>
      <c r="JC290" s="671"/>
      <c r="JD290" s="671"/>
      <c r="JE290" s="671"/>
      <c r="JF290" s="671"/>
      <c r="JG290" s="671"/>
      <c r="JH290" s="671"/>
      <c r="JI290" s="671"/>
      <c r="JJ290" s="671"/>
      <c r="JK290" s="671"/>
      <c r="JL290" s="671"/>
      <c r="JM290" s="671"/>
      <c r="JN290" s="671"/>
      <c r="JO290" s="671"/>
      <c r="JP290" s="671"/>
      <c r="JQ290" s="671"/>
      <c r="JR290" s="671"/>
      <c r="JS290" s="671"/>
      <c r="JT290" s="671"/>
      <c r="JU290" s="671"/>
      <c r="JV290" s="671"/>
      <c r="JW290" s="671"/>
      <c r="JX290" s="671"/>
      <c r="JY290" s="671"/>
      <c r="JZ290" s="671"/>
      <c r="KA290" s="671"/>
      <c r="KB290" s="671"/>
      <c r="KC290" s="671"/>
      <c r="KD290" s="671"/>
      <c r="KE290" s="671"/>
      <c r="KF290" s="671"/>
      <c r="KG290" s="671"/>
      <c r="KH290" s="671"/>
      <c r="KI290" s="671"/>
      <c r="KJ290" s="671"/>
      <c r="KL290" s="669"/>
      <c r="KM290" s="669"/>
      <c r="KQ290" s="672"/>
      <c r="KR290" s="673"/>
      <c r="KS290" s="672"/>
      <c r="KT290" s="673"/>
      <c r="KU290" s="672"/>
      <c r="KV290" s="673"/>
      <c r="KW290" s="672"/>
      <c r="KX290" s="673"/>
      <c r="KY290" s="672"/>
      <c r="KZ290" s="673"/>
    </row>
    <row r="291" s="628" customFormat="1" spans="2:312">
      <c r="B291" s="659"/>
      <c r="C291" s="662"/>
      <c r="E291" s="665"/>
      <c r="F291" s="665"/>
      <c r="G291" s="666"/>
      <c r="H291" s="666"/>
      <c r="I291" s="667"/>
      <c r="J291" s="667"/>
      <c r="K291" s="667"/>
      <c r="L291" s="667"/>
      <c r="M291" s="667"/>
      <c r="N291" s="667"/>
      <c r="O291" s="667"/>
      <c r="P291" s="667"/>
      <c r="Q291" s="667"/>
      <c r="R291" s="667"/>
      <c r="S291" s="667"/>
      <c r="T291" s="667"/>
      <c r="U291" s="667"/>
      <c r="V291" s="667"/>
      <c r="W291" s="667"/>
      <c r="X291" s="667"/>
      <c r="Y291" s="667"/>
      <c r="Z291" s="667"/>
      <c r="AA291" s="667"/>
      <c r="AB291" s="667"/>
      <c r="FJ291" s="668"/>
      <c r="FK291" s="668"/>
      <c r="FL291" s="668"/>
      <c r="FM291" s="668"/>
      <c r="FN291" s="668"/>
      <c r="FO291" s="668"/>
      <c r="FV291" s="669"/>
      <c r="FZ291" s="669"/>
      <c r="GA291" s="669"/>
      <c r="GB291" s="669"/>
      <c r="GC291" s="669"/>
      <c r="GD291" s="665"/>
      <c r="GF291" s="669"/>
      <c r="GG291" s="669"/>
      <c r="GH291" s="669"/>
      <c r="GI291" s="669"/>
      <c r="GJ291" s="669"/>
      <c r="GK291" s="669"/>
      <c r="GL291" s="669"/>
      <c r="GM291" s="669"/>
      <c r="GN291" s="669"/>
      <c r="GO291" s="669"/>
      <c r="GP291" s="669"/>
      <c r="GQ291" s="669"/>
      <c r="GR291" s="669"/>
      <c r="GS291" s="669"/>
      <c r="GT291" s="669"/>
      <c r="GU291" s="669"/>
      <c r="GV291" s="669"/>
      <c r="GW291" s="669"/>
      <c r="GX291" s="669"/>
      <c r="GY291" s="669"/>
      <c r="GZ291" s="669"/>
      <c r="HA291" s="669"/>
      <c r="HB291" s="669"/>
      <c r="HC291" s="669"/>
      <c r="HD291" s="669"/>
      <c r="HE291" s="669"/>
      <c r="HF291" s="669"/>
      <c r="HG291" s="669"/>
      <c r="HH291" s="670"/>
      <c r="HI291" s="670"/>
      <c r="HJ291" s="671"/>
      <c r="HK291" s="669"/>
      <c r="HL291" s="665"/>
      <c r="HM291" s="665"/>
      <c r="HP291" s="670"/>
      <c r="HQ291" s="671"/>
      <c r="HR291" s="671"/>
      <c r="HS291" s="671"/>
      <c r="HT291" s="671"/>
      <c r="HU291" s="671"/>
      <c r="HV291" s="671"/>
      <c r="HW291" s="671"/>
      <c r="HX291" s="671"/>
      <c r="HY291" s="671"/>
      <c r="HZ291" s="671"/>
      <c r="IA291" s="671"/>
      <c r="IB291" s="671"/>
      <c r="IC291" s="671"/>
      <c r="ID291" s="671"/>
      <c r="IE291" s="671"/>
      <c r="IF291" s="671"/>
      <c r="IG291" s="671"/>
      <c r="IH291" s="671"/>
      <c r="II291" s="671"/>
      <c r="IJ291" s="671"/>
      <c r="IK291" s="671"/>
      <c r="IL291" s="671"/>
      <c r="IM291" s="671"/>
      <c r="IN291" s="671"/>
      <c r="IO291" s="671"/>
      <c r="IP291" s="671"/>
      <c r="IQ291" s="671"/>
      <c r="IR291" s="671"/>
      <c r="IS291" s="671"/>
      <c r="IT291" s="671"/>
      <c r="IU291" s="671"/>
      <c r="IV291" s="671"/>
      <c r="IW291" s="671"/>
      <c r="IX291" s="671"/>
      <c r="IY291" s="671"/>
      <c r="IZ291" s="671"/>
      <c r="JA291" s="671"/>
      <c r="JB291" s="671"/>
      <c r="JC291" s="671"/>
      <c r="JD291" s="671"/>
      <c r="JE291" s="671"/>
      <c r="JF291" s="671"/>
      <c r="JG291" s="671"/>
      <c r="JH291" s="671"/>
      <c r="JI291" s="671"/>
      <c r="JJ291" s="671"/>
      <c r="JK291" s="671"/>
      <c r="JL291" s="671"/>
      <c r="JM291" s="671"/>
      <c r="JN291" s="671"/>
      <c r="JO291" s="671"/>
      <c r="JP291" s="671"/>
      <c r="JQ291" s="671"/>
      <c r="JR291" s="671"/>
      <c r="JS291" s="671"/>
      <c r="JT291" s="671"/>
      <c r="JU291" s="671"/>
      <c r="JV291" s="671"/>
      <c r="JW291" s="671"/>
      <c r="JX291" s="671"/>
      <c r="JY291" s="671"/>
      <c r="JZ291" s="671"/>
      <c r="KA291" s="671"/>
      <c r="KB291" s="671"/>
      <c r="KC291" s="671"/>
      <c r="KD291" s="671"/>
      <c r="KE291" s="671"/>
      <c r="KF291" s="671"/>
      <c r="KG291" s="671"/>
      <c r="KH291" s="671"/>
      <c r="KI291" s="671"/>
      <c r="KJ291" s="671"/>
      <c r="KL291" s="669"/>
      <c r="KM291" s="669"/>
      <c r="KQ291" s="672"/>
      <c r="KR291" s="673"/>
      <c r="KS291" s="672"/>
      <c r="KT291" s="673"/>
      <c r="KU291" s="672"/>
      <c r="KV291" s="673"/>
      <c r="KW291" s="672"/>
      <c r="KX291" s="673"/>
      <c r="KY291" s="672"/>
      <c r="KZ291" s="673"/>
    </row>
    <row r="292" s="628" customFormat="1" spans="2:312">
      <c r="B292" s="659"/>
      <c r="C292" s="662"/>
      <c r="E292" s="665"/>
      <c r="F292" s="665"/>
      <c r="G292" s="666"/>
      <c r="H292" s="666"/>
      <c r="I292" s="667"/>
      <c r="J292" s="667"/>
      <c r="K292" s="667"/>
      <c r="L292" s="667"/>
      <c r="M292" s="667"/>
      <c r="N292" s="667"/>
      <c r="O292" s="667"/>
      <c r="P292" s="667"/>
      <c r="Q292" s="667"/>
      <c r="R292" s="667"/>
      <c r="S292" s="667"/>
      <c r="T292" s="667"/>
      <c r="U292" s="667"/>
      <c r="V292" s="667"/>
      <c r="W292" s="667"/>
      <c r="X292" s="667"/>
      <c r="Y292" s="667"/>
      <c r="Z292" s="667"/>
      <c r="AA292" s="667"/>
      <c r="AB292" s="667"/>
      <c r="FJ292" s="668"/>
      <c r="FK292" s="668"/>
      <c r="FL292" s="668"/>
      <c r="FM292" s="668"/>
      <c r="FN292" s="668"/>
      <c r="FO292" s="668"/>
      <c r="FV292" s="669"/>
      <c r="FZ292" s="669"/>
      <c r="GA292" s="669"/>
      <c r="GB292" s="669"/>
      <c r="GC292" s="669"/>
      <c r="GD292" s="665"/>
      <c r="GF292" s="669"/>
      <c r="GG292" s="669"/>
      <c r="GH292" s="669"/>
      <c r="GI292" s="669"/>
      <c r="GJ292" s="669"/>
      <c r="GK292" s="669"/>
      <c r="GL292" s="669"/>
      <c r="GM292" s="669"/>
      <c r="GN292" s="669"/>
      <c r="GO292" s="669"/>
      <c r="GP292" s="669"/>
      <c r="GQ292" s="669"/>
      <c r="GR292" s="669"/>
      <c r="GS292" s="669"/>
      <c r="GT292" s="669"/>
      <c r="GU292" s="669"/>
      <c r="GV292" s="669"/>
      <c r="GW292" s="669"/>
      <c r="GX292" s="669"/>
      <c r="GY292" s="669"/>
      <c r="GZ292" s="669"/>
      <c r="HA292" s="669"/>
      <c r="HB292" s="669"/>
      <c r="HC292" s="669"/>
      <c r="HD292" s="669"/>
      <c r="HE292" s="669"/>
      <c r="HF292" s="669"/>
      <c r="HG292" s="669"/>
      <c r="HH292" s="670"/>
      <c r="HI292" s="670"/>
      <c r="HJ292" s="671"/>
      <c r="HK292" s="669"/>
      <c r="HL292" s="665"/>
      <c r="HM292" s="665"/>
      <c r="HP292" s="670"/>
      <c r="HQ292" s="671"/>
      <c r="HR292" s="671"/>
      <c r="HS292" s="671"/>
      <c r="HT292" s="671"/>
      <c r="HU292" s="671"/>
      <c r="HV292" s="671"/>
      <c r="HW292" s="671"/>
      <c r="HX292" s="671"/>
      <c r="HY292" s="671"/>
      <c r="HZ292" s="671"/>
      <c r="IA292" s="671"/>
      <c r="IB292" s="671"/>
      <c r="IC292" s="671"/>
      <c r="ID292" s="671"/>
      <c r="IE292" s="671"/>
      <c r="IF292" s="671"/>
      <c r="IG292" s="671"/>
      <c r="IH292" s="671"/>
      <c r="II292" s="671"/>
      <c r="IJ292" s="671"/>
      <c r="IK292" s="671"/>
      <c r="IL292" s="671"/>
      <c r="IM292" s="671"/>
      <c r="IN292" s="671"/>
      <c r="IO292" s="671"/>
      <c r="IP292" s="671"/>
      <c r="IQ292" s="671"/>
      <c r="IR292" s="671"/>
      <c r="IS292" s="671"/>
      <c r="IT292" s="671"/>
      <c r="IU292" s="671"/>
      <c r="IV292" s="671"/>
      <c r="IW292" s="671"/>
      <c r="IX292" s="671"/>
      <c r="IY292" s="671"/>
      <c r="IZ292" s="671"/>
      <c r="JA292" s="671"/>
      <c r="JB292" s="671"/>
      <c r="JC292" s="671"/>
      <c r="JD292" s="671"/>
      <c r="JE292" s="671"/>
      <c r="JF292" s="671"/>
      <c r="JG292" s="671"/>
      <c r="JH292" s="671"/>
      <c r="JI292" s="671"/>
      <c r="JJ292" s="671"/>
      <c r="JK292" s="671"/>
      <c r="JL292" s="671"/>
      <c r="JM292" s="671"/>
      <c r="JN292" s="671"/>
      <c r="JO292" s="671"/>
      <c r="JP292" s="671"/>
      <c r="JQ292" s="671"/>
      <c r="JR292" s="671"/>
      <c r="JS292" s="671"/>
      <c r="JT292" s="671"/>
      <c r="JU292" s="671"/>
      <c r="JV292" s="671"/>
      <c r="JW292" s="671"/>
      <c r="JX292" s="671"/>
      <c r="JY292" s="671"/>
      <c r="JZ292" s="671"/>
      <c r="KA292" s="671"/>
      <c r="KB292" s="671"/>
      <c r="KC292" s="671"/>
      <c r="KD292" s="671"/>
      <c r="KE292" s="671"/>
      <c r="KF292" s="671"/>
      <c r="KG292" s="671"/>
      <c r="KH292" s="671"/>
      <c r="KI292" s="671"/>
      <c r="KJ292" s="671"/>
      <c r="KL292" s="669"/>
      <c r="KM292" s="669"/>
      <c r="KQ292" s="672"/>
      <c r="KR292" s="673"/>
      <c r="KS292" s="672"/>
      <c r="KT292" s="673"/>
      <c r="KU292" s="672"/>
      <c r="KV292" s="673"/>
      <c r="KW292" s="672"/>
      <c r="KX292" s="673"/>
      <c r="KY292" s="672"/>
      <c r="KZ292" s="673"/>
    </row>
    <row r="293" s="628" customFormat="1" spans="2:312">
      <c r="B293" s="659"/>
      <c r="C293" s="662"/>
      <c r="E293" s="665"/>
      <c r="F293" s="665"/>
      <c r="G293" s="666"/>
      <c r="H293" s="666"/>
      <c r="I293" s="667"/>
      <c r="J293" s="667"/>
      <c r="K293" s="667"/>
      <c r="L293" s="667"/>
      <c r="M293" s="667"/>
      <c r="N293" s="667"/>
      <c r="O293" s="667"/>
      <c r="P293" s="667"/>
      <c r="Q293" s="667"/>
      <c r="R293" s="667"/>
      <c r="S293" s="667"/>
      <c r="T293" s="667"/>
      <c r="U293" s="667"/>
      <c r="V293" s="667"/>
      <c r="W293" s="667"/>
      <c r="X293" s="667"/>
      <c r="Y293" s="667"/>
      <c r="Z293" s="667"/>
      <c r="AA293" s="667"/>
      <c r="AB293" s="667"/>
      <c r="FJ293" s="668"/>
      <c r="FK293" s="668"/>
      <c r="FL293" s="668"/>
      <c r="FM293" s="668"/>
      <c r="FN293" s="668"/>
      <c r="FO293" s="668"/>
      <c r="FV293" s="669"/>
      <c r="FZ293" s="669"/>
      <c r="GA293" s="669"/>
      <c r="GB293" s="669"/>
      <c r="GC293" s="669"/>
      <c r="GD293" s="665"/>
      <c r="GF293" s="669"/>
      <c r="GG293" s="669"/>
      <c r="GH293" s="669"/>
      <c r="GI293" s="669"/>
      <c r="GJ293" s="669"/>
      <c r="GK293" s="669"/>
      <c r="GL293" s="669"/>
      <c r="GM293" s="669"/>
      <c r="GN293" s="669"/>
      <c r="GO293" s="669"/>
      <c r="GP293" s="669"/>
      <c r="GQ293" s="669"/>
      <c r="GR293" s="669"/>
      <c r="GS293" s="669"/>
      <c r="GT293" s="669"/>
      <c r="GU293" s="669"/>
      <c r="GV293" s="669"/>
      <c r="GW293" s="669"/>
      <c r="GX293" s="669"/>
      <c r="GY293" s="669"/>
      <c r="GZ293" s="669"/>
      <c r="HA293" s="669"/>
      <c r="HB293" s="669"/>
      <c r="HC293" s="669"/>
      <c r="HD293" s="669"/>
      <c r="HE293" s="669"/>
      <c r="HF293" s="669"/>
      <c r="HG293" s="669"/>
      <c r="HH293" s="670"/>
      <c r="HI293" s="670"/>
      <c r="HJ293" s="671"/>
      <c r="HK293" s="669"/>
      <c r="HL293" s="665"/>
      <c r="HM293" s="665"/>
      <c r="HP293" s="670"/>
      <c r="HQ293" s="671"/>
      <c r="HR293" s="671"/>
      <c r="HS293" s="671"/>
      <c r="HT293" s="671"/>
      <c r="HU293" s="671"/>
      <c r="HV293" s="671"/>
      <c r="HW293" s="671"/>
      <c r="HX293" s="671"/>
      <c r="HY293" s="671"/>
      <c r="HZ293" s="671"/>
      <c r="IA293" s="671"/>
      <c r="IB293" s="671"/>
      <c r="IC293" s="671"/>
      <c r="ID293" s="671"/>
      <c r="IE293" s="671"/>
      <c r="IF293" s="671"/>
      <c r="IG293" s="671"/>
      <c r="IH293" s="671"/>
      <c r="II293" s="671"/>
      <c r="IJ293" s="671"/>
      <c r="IK293" s="671"/>
      <c r="IL293" s="671"/>
      <c r="IM293" s="671"/>
      <c r="IN293" s="671"/>
      <c r="IO293" s="671"/>
      <c r="IP293" s="671"/>
      <c r="IQ293" s="671"/>
      <c r="IR293" s="671"/>
      <c r="IS293" s="671"/>
      <c r="IT293" s="671"/>
      <c r="IU293" s="671"/>
      <c r="IV293" s="671"/>
      <c r="IW293" s="671"/>
      <c r="IX293" s="671"/>
      <c r="IY293" s="671"/>
      <c r="IZ293" s="671"/>
      <c r="JA293" s="671"/>
      <c r="JB293" s="671"/>
      <c r="JC293" s="671"/>
      <c r="JD293" s="671"/>
      <c r="JE293" s="671"/>
      <c r="JF293" s="671"/>
      <c r="JG293" s="671"/>
      <c r="JH293" s="671"/>
      <c r="JI293" s="671"/>
      <c r="JJ293" s="671"/>
      <c r="JK293" s="671"/>
      <c r="JL293" s="671"/>
      <c r="JM293" s="671"/>
      <c r="JN293" s="671"/>
      <c r="JO293" s="671"/>
      <c r="JP293" s="671"/>
      <c r="JQ293" s="671"/>
      <c r="JR293" s="671"/>
      <c r="JS293" s="671"/>
      <c r="JT293" s="671"/>
      <c r="JU293" s="671"/>
      <c r="JV293" s="671"/>
      <c r="JW293" s="671"/>
      <c r="JX293" s="671"/>
      <c r="JY293" s="671"/>
      <c r="JZ293" s="671"/>
      <c r="KA293" s="671"/>
      <c r="KB293" s="671"/>
      <c r="KC293" s="671"/>
      <c r="KD293" s="671"/>
      <c r="KE293" s="671"/>
      <c r="KF293" s="671"/>
      <c r="KG293" s="671"/>
      <c r="KH293" s="671"/>
      <c r="KI293" s="671"/>
      <c r="KJ293" s="671"/>
      <c r="KL293" s="669"/>
      <c r="KM293" s="669"/>
      <c r="KQ293" s="672"/>
      <c r="KR293" s="673"/>
      <c r="KS293" s="672"/>
      <c r="KT293" s="673"/>
      <c r="KU293" s="672"/>
      <c r="KV293" s="673"/>
      <c r="KW293" s="672"/>
      <c r="KX293" s="673"/>
      <c r="KY293" s="672"/>
      <c r="KZ293" s="673"/>
    </row>
    <row r="294" s="628" customFormat="1" spans="2:312">
      <c r="B294" s="659"/>
      <c r="C294" s="662"/>
      <c r="E294" s="665"/>
      <c r="F294" s="665"/>
      <c r="G294" s="666"/>
      <c r="H294" s="666"/>
      <c r="I294" s="667"/>
      <c r="J294" s="667"/>
      <c r="K294" s="667"/>
      <c r="L294" s="667"/>
      <c r="M294" s="667"/>
      <c r="N294" s="667"/>
      <c r="O294" s="667"/>
      <c r="P294" s="667"/>
      <c r="Q294" s="667"/>
      <c r="R294" s="667"/>
      <c r="S294" s="667"/>
      <c r="T294" s="667"/>
      <c r="U294" s="667"/>
      <c r="V294" s="667"/>
      <c r="W294" s="667"/>
      <c r="X294" s="667"/>
      <c r="Y294" s="667"/>
      <c r="Z294" s="667"/>
      <c r="AA294" s="667"/>
      <c r="AB294" s="667"/>
      <c r="FJ294" s="668"/>
      <c r="FK294" s="668"/>
      <c r="FL294" s="668"/>
      <c r="FM294" s="668"/>
      <c r="FN294" s="668"/>
      <c r="FO294" s="668"/>
      <c r="FV294" s="669"/>
      <c r="FZ294" s="669"/>
      <c r="GA294" s="669"/>
      <c r="GB294" s="669"/>
      <c r="GC294" s="669"/>
      <c r="GD294" s="665"/>
      <c r="GF294" s="669"/>
      <c r="GG294" s="669"/>
      <c r="GH294" s="669"/>
      <c r="GI294" s="669"/>
      <c r="GJ294" s="669"/>
      <c r="GK294" s="669"/>
      <c r="GL294" s="669"/>
      <c r="GM294" s="669"/>
      <c r="GN294" s="669"/>
      <c r="GO294" s="669"/>
      <c r="GP294" s="669"/>
      <c r="GQ294" s="669"/>
      <c r="GR294" s="669"/>
      <c r="GS294" s="669"/>
      <c r="GT294" s="669"/>
      <c r="GU294" s="669"/>
      <c r="GV294" s="669"/>
      <c r="GW294" s="669"/>
      <c r="GX294" s="669"/>
      <c r="GY294" s="669"/>
      <c r="GZ294" s="669"/>
      <c r="HA294" s="669"/>
      <c r="HB294" s="669"/>
      <c r="HC294" s="669"/>
      <c r="HD294" s="669"/>
      <c r="HE294" s="669"/>
      <c r="HF294" s="669"/>
      <c r="HG294" s="669"/>
      <c r="HH294" s="670"/>
      <c r="HI294" s="670"/>
      <c r="HJ294" s="671"/>
      <c r="HK294" s="669"/>
      <c r="HL294" s="665"/>
      <c r="HM294" s="665"/>
      <c r="HP294" s="670"/>
      <c r="HQ294" s="671"/>
      <c r="HR294" s="671"/>
      <c r="HS294" s="671"/>
      <c r="HT294" s="671"/>
      <c r="HU294" s="671"/>
      <c r="HV294" s="671"/>
      <c r="HW294" s="671"/>
      <c r="HX294" s="671"/>
      <c r="HY294" s="671"/>
      <c r="HZ294" s="671"/>
      <c r="IA294" s="671"/>
      <c r="IB294" s="671"/>
      <c r="IC294" s="671"/>
      <c r="ID294" s="671"/>
      <c r="IE294" s="671"/>
      <c r="IF294" s="671"/>
      <c r="IG294" s="671"/>
      <c r="IH294" s="671"/>
      <c r="II294" s="671"/>
      <c r="IJ294" s="671"/>
      <c r="IK294" s="671"/>
      <c r="IL294" s="671"/>
      <c r="IM294" s="671"/>
      <c r="IN294" s="671"/>
      <c r="IO294" s="671"/>
      <c r="IP294" s="671"/>
      <c r="IQ294" s="671"/>
      <c r="IR294" s="671"/>
      <c r="IS294" s="671"/>
      <c r="IT294" s="671"/>
      <c r="IU294" s="671"/>
      <c r="IV294" s="671"/>
      <c r="IW294" s="671"/>
      <c r="IX294" s="671"/>
      <c r="IY294" s="671"/>
      <c r="IZ294" s="671"/>
      <c r="JA294" s="671"/>
      <c r="JB294" s="671"/>
      <c r="JC294" s="671"/>
      <c r="JD294" s="671"/>
      <c r="JE294" s="671"/>
      <c r="JF294" s="671"/>
      <c r="JG294" s="671"/>
      <c r="JH294" s="671"/>
      <c r="JI294" s="671"/>
      <c r="JJ294" s="671"/>
      <c r="JK294" s="671"/>
      <c r="JL294" s="671"/>
      <c r="JM294" s="671"/>
      <c r="JN294" s="671"/>
      <c r="JO294" s="671"/>
      <c r="JP294" s="671"/>
      <c r="JQ294" s="671"/>
      <c r="JR294" s="671"/>
      <c r="JS294" s="671"/>
      <c r="JT294" s="671"/>
      <c r="JU294" s="671"/>
      <c r="JV294" s="671"/>
      <c r="JW294" s="671"/>
      <c r="JX294" s="671"/>
      <c r="JY294" s="671"/>
      <c r="JZ294" s="671"/>
      <c r="KA294" s="671"/>
      <c r="KB294" s="671"/>
      <c r="KC294" s="671"/>
      <c r="KD294" s="671"/>
      <c r="KE294" s="671"/>
      <c r="KF294" s="671"/>
      <c r="KG294" s="671"/>
      <c r="KH294" s="671"/>
      <c r="KI294" s="671"/>
      <c r="KJ294" s="671"/>
      <c r="KL294" s="669"/>
      <c r="KM294" s="669"/>
      <c r="KQ294" s="672"/>
      <c r="KR294" s="673"/>
      <c r="KS294" s="672"/>
      <c r="KT294" s="673"/>
      <c r="KU294" s="672"/>
      <c r="KV294" s="673"/>
      <c r="KW294" s="672"/>
      <c r="KX294" s="673"/>
      <c r="KY294" s="672"/>
      <c r="KZ294" s="673"/>
    </row>
    <row r="295" s="628" customFormat="1" spans="2:312">
      <c r="B295" s="659"/>
      <c r="C295" s="662"/>
      <c r="E295" s="665"/>
      <c r="F295" s="665"/>
      <c r="G295" s="666"/>
      <c r="H295" s="666"/>
      <c r="I295" s="667"/>
      <c r="J295" s="667"/>
      <c r="K295" s="667"/>
      <c r="L295" s="667"/>
      <c r="M295" s="667"/>
      <c r="N295" s="667"/>
      <c r="O295" s="667"/>
      <c r="P295" s="667"/>
      <c r="Q295" s="667"/>
      <c r="R295" s="667"/>
      <c r="S295" s="667"/>
      <c r="T295" s="667"/>
      <c r="U295" s="667"/>
      <c r="V295" s="667"/>
      <c r="W295" s="667"/>
      <c r="X295" s="667"/>
      <c r="Y295" s="667"/>
      <c r="Z295" s="667"/>
      <c r="AA295" s="667"/>
      <c r="AB295" s="667"/>
      <c r="FJ295" s="668"/>
      <c r="FK295" s="668"/>
      <c r="FL295" s="668"/>
      <c r="FM295" s="668"/>
      <c r="FN295" s="668"/>
      <c r="FO295" s="668"/>
      <c r="FV295" s="669"/>
      <c r="FZ295" s="669"/>
      <c r="GA295" s="669"/>
      <c r="GB295" s="669"/>
      <c r="GC295" s="669"/>
      <c r="GD295" s="665"/>
      <c r="GF295" s="669"/>
      <c r="GG295" s="669"/>
      <c r="GH295" s="669"/>
      <c r="GI295" s="669"/>
      <c r="GJ295" s="669"/>
      <c r="GK295" s="669"/>
      <c r="GL295" s="669"/>
      <c r="GM295" s="669"/>
      <c r="GN295" s="669"/>
      <c r="GO295" s="669"/>
      <c r="GP295" s="669"/>
      <c r="GQ295" s="669"/>
      <c r="GR295" s="669"/>
      <c r="GS295" s="669"/>
      <c r="GT295" s="669"/>
      <c r="GU295" s="669"/>
      <c r="GV295" s="669"/>
      <c r="GW295" s="669"/>
      <c r="GX295" s="669"/>
      <c r="GY295" s="669"/>
      <c r="GZ295" s="669"/>
      <c r="HA295" s="669"/>
      <c r="HB295" s="669"/>
      <c r="HC295" s="669"/>
      <c r="HD295" s="669"/>
      <c r="HE295" s="669"/>
      <c r="HF295" s="669"/>
      <c r="HG295" s="669"/>
      <c r="HH295" s="670"/>
      <c r="HI295" s="670"/>
      <c r="HJ295" s="671"/>
      <c r="HK295" s="669"/>
      <c r="HL295" s="665"/>
      <c r="HM295" s="665"/>
      <c r="HP295" s="670"/>
      <c r="HQ295" s="671"/>
      <c r="HR295" s="671"/>
      <c r="HS295" s="671"/>
      <c r="HT295" s="671"/>
      <c r="HU295" s="671"/>
      <c r="HV295" s="671"/>
      <c r="HW295" s="671"/>
      <c r="HX295" s="671"/>
      <c r="HY295" s="671"/>
      <c r="HZ295" s="671"/>
      <c r="IA295" s="671"/>
      <c r="IB295" s="671"/>
      <c r="IC295" s="671"/>
      <c r="ID295" s="671"/>
      <c r="IE295" s="671"/>
      <c r="IF295" s="671"/>
      <c r="IG295" s="671"/>
      <c r="IH295" s="671"/>
      <c r="II295" s="671"/>
      <c r="IJ295" s="671"/>
      <c r="IK295" s="671"/>
      <c r="IL295" s="671"/>
      <c r="IM295" s="671"/>
      <c r="IN295" s="671"/>
      <c r="IO295" s="671"/>
      <c r="IP295" s="671"/>
      <c r="IQ295" s="671"/>
      <c r="IR295" s="671"/>
      <c r="IS295" s="671"/>
      <c r="IT295" s="671"/>
      <c r="IU295" s="671"/>
      <c r="IV295" s="671"/>
      <c r="IW295" s="671"/>
      <c r="IX295" s="671"/>
      <c r="IY295" s="671"/>
      <c r="IZ295" s="671"/>
      <c r="JA295" s="671"/>
      <c r="JB295" s="671"/>
      <c r="JC295" s="671"/>
      <c r="JD295" s="671"/>
      <c r="JE295" s="671"/>
      <c r="JF295" s="671"/>
      <c r="JG295" s="671"/>
      <c r="JH295" s="671"/>
      <c r="JI295" s="671"/>
      <c r="JJ295" s="671"/>
      <c r="JK295" s="671"/>
      <c r="JL295" s="671"/>
      <c r="JM295" s="671"/>
      <c r="JN295" s="671"/>
      <c r="JO295" s="671"/>
      <c r="JP295" s="671"/>
      <c r="JQ295" s="671"/>
      <c r="JR295" s="671"/>
      <c r="JS295" s="671"/>
      <c r="JT295" s="671"/>
      <c r="JU295" s="671"/>
      <c r="JV295" s="671"/>
      <c r="JW295" s="671"/>
      <c r="JX295" s="671"/>
      <c r="JY295" s="671"/>
      <c r="JZ295" s="671"/>
      <c r="KA295" s="671"/>
      <c r="KB295" s="671"/>
      <c r="KC295" s="671"/>
      <c r="KD295" s="671"/>
      <c r="KE295" s="671"/>
      <c r="KF295" s="671"/>
      <c r="KG295" s="671"/>
      <c r="KH295" s="671"/>
      <c r="KI295" s="671"/>
      <c r="KJ295" s="671"/>
      <c r="KL295" s="669"/>
      <c r="KM295" s="669"/>
      <c r="KQ295" s="672"/>
      <c r="KR295" s="673"/>
      <c r="KS295" s="672"/>
      <c r="KT295" s="673"/>
      <c r="KU295" s="672"/>
      <c r="KV295" s="673"/>
      <c r="KW295" s="672"/>
      <c r="KX295" s="673"/>
      <c r="KY295" s="672"/>
      <c r="KZ295" s="673"/>
    </row>
    <row r="296" s="628" customFormat="1" spans="2:312">
      <c r="B296" s="659"/>
      <c r="C296" s="662"/>
      <c r="E296" s="665"/>
      <c r="F296" s="665"/>
      <c r="G296" s="666"/>
      <c r="H296" s="666"/>
      <c r="I296" s="667"/>
      <c r="J296" s="667"/>
      <c r="K296" s="667"/>
      <c r="L296" s="667"/>
      <c r="M296" s="667"/>
      <c r="N296" s="667"/>
      <c r="O296" s="667"/>
      <c r="P296" s="667"/>
      <c r="Q296" s="667"/>
      <c r="R296" s="667"/>
      <c r="S296" s="667"/>
      <c r="T296" s="667"/>
      <c r="U296" s="667"/>
      <c r="V296" s="667"/>
      <c r="W296" s="667"/>
      <c r="X296" s="667"/>
      <c r="Y296" s="667"/>
      <c r="Z296" s="667"/>
      <c r="AA296" s="667"/>
      <c r="AB296" s="667"/>
      <c r="FJ296" s="668"/>
      <c r="FK296" s="668"/>
      <c r="FL296" s="668"/>
      <c r="FM296" s="668"/>
      <c r="FN296" s="668"/>
      <c r="FO296" s="668"/>
      <c r="FV296" s="669"/>
      <c r="FZ296" s="669"/>
      <c r="GA296" s="669"/>
      <c r="GB296" s="669"/>
      <c r="GC296" s="669"/>
      <c r="GD296" s="665"/>
      <c r="GF296" s="669"/>
      <c r="GG296" s="669"/>
      <c r="GH296" s="669"/>
      <c r="GI296" s="669"/>
      <c r="GJ296" s="669"/>
      <c r="GK296" s="669"/>
      <c r="GL296" s="669"/>
      <c r="GM296" s="669"/>
      <c r="GN296" s="669"/>
      <c r="GO296" s="669"/>
      <c r="GP296" s="669"/>
      <c r="GQ296" s="669"/>
      <c r="GR296" s="669"/>
      <c r="GS296" s="669"/>
      <c r="GT296" s="669"/>
      <c r="GU296" s="669"/>
      <c r="GV296" s="669"/>
      <c r="GW296" s="669"/>
      <c r="GX296" s="669"/>
      <c r="GY296" s="669"/>
      <c r="GZ296" s="669"/>
      <c r="HA296" s="669"/>
      <c r="HB296" s="669"/>
      <c r="HC296" s="669"/>
      <c r="HD296" s="669"/>
      <c r="HE296" s="669"/>
      <c r="HF296" s="669"/>
      <c r="HG296" s="669"/>
      <c r="HH296" s="670"/>
      <c r="HI296" s="670"/>
      <c r="HJ296" s="671"/>
      <c r="HK296" s="669"/>
      <c r="HL296" s="665"/>
      <c r="HM296" s="665"/>
      <c r="HP296" s="670"/>
      <c r="HQ296" s="671"/>
      <c r="HR296" s="671"/>
      <c r="HS296" s="671"/>
      <c r="HT296" s="671"/>
      <c r="HU296" s="671"/>
      <c r="HV296" s="671"/>
      <c r="HW296" s="671"/>
      <c r="HX296" s="671"/>
      <c r="HY296" s="671"/>
      <c r="HZ296" s="671"/>
      <c r="IA296" s="671"/>
      <c r="IB296" s="671"/>
      <c r="IC296" s="671"/>
      <c r="ID296" s="671"/>
      <c r="IE296" s="671"/>
      <c r="IF296" s="671"/>
      <c r="IG296" s="671"/>
      <c r="IH296" s="671"/>
      <c r="II296" s="671"/>
      <c r="IJ296" s="671"/>
      <c r="IK296" s="671"/>
      <c r="IL296" s="671"/>
      <c r="IM296" s="671"/>
      <c r="IN296" s="671"/>
      <c r="IO296" s="671"/>
      <c r="IP296" s="671"/>
      <c r="IQ296" s="671"/>
      <c r="IR296" s="671"/>
      <c r="IS296" s="671"/>
      <c r="IT296" s="671"/>
      <c r="IU296" s="671"/>
      <c r="IV296" s="671"/>
      <c r="IW296" s="671"/>
      <c r="IX296" s="671"/>
      <c r="IY296" s="671"/>
      <c r="IZ296" s="671"/>
      <c r="JA296" s="671"/>
      <c r="JB296" s="671"/>
      <c r="JC296" s="671"/>
      <c r="JD296" s="671"/>
      <c r="JE296" s="671"/>
      <c r="JF296" s="671"/>
      <c r="JG296" s="671"/>
      <c r="JH296" s="671"/>
      <c r="JI296" s="671"/>
      <c r="JJ296" s="671"/>
      <c r="JK296" s="671"/>
      <c r="JL296" s="671"/>
      <c r="JM296" s="671"/>
      <c r="JN296" s="671"/>
      <c r="JO296" s="671"/>
      <c r="JP296" s="671"/>
      <c r="JQ296" s="671"/>
      <c r="JR296" s="671"/>
      <c r="JS296" s="671"/>
      <c r="JT296" s="671"/>
      <c r="JU296" s="671"/>
      <c r="JV296" s="671"/>
      <c r="JW296" s="671"/>
      <c r="JX296" s="671"/>
      <c r="JY296" s="671"/>
      <c r="JZ296" s="671"/>
      <c r="KA296" s="671"/>
      <c r="KB296" s="671"/>
      <c r="KC296" s="671"/>
      <c r="KD296" s="671"/>
      <c r="KE296" s="671"/>
      <c r="KF296" s="671"/>
      <c r="KG296" s="671"/>
      <c r="KH296" s="671"/>
      <c r="KI296" s="671"/>
      <c r="KJ296" s="671"/>
      <c r="KL296" s="669"/>
      <c r="KM296" s="669"/>
      <c r="KQ296" s="672"/>
      <c r="KR296" s="673"/>
      <c r="KS296" s="672"/>
      <c r="KT296" s="673"/>
      <c r="KU296" s="672"/>
      <c r="KV296" s="673"/>
      <c r="KW296" s="672"/>
      <c r="KX296" s="673"/>
      <c r="KY296" s="672"/>
      <c r="KZ296" s="673"/>
    </row>
  </sheetData>
  <sheetProtection formatCells="0" formatColumns="0" formatRows="0" insertRows="0" insertColumns="0" insertHyperlinks="0" deleteColumns="0" deleteRows="0" sort="0" autoFilter="0" pivotTables="0"/>
  <autoFilter ref="A2:KZ198">
    <extLst/>
  </autoFilter>
  <sortState ref="B5:OW276">
    <sortCondition ref="B1"/>
  </sortState>
  <mergeCells count="28">
    <mergeCell ref="E2:F2"/>
    <mergeCell ref="G2:H2"/>
    <mergeCell ref="I2:AB2"/>
    <mergeCell ref="AC2:AH2"/>
    <mergeCell ref="AI2:AN2"/>
    <mergeCell ref="AO2:AR2"/>
    <mergeCell ref="AS2:EX2"/>
    <mergeCell ref="EY2:FI2"/>
    <mergeCell ref="FJ2:FO2"/>
    <mergeCell ref="FP2:FY2"/>
    <mergeCell ref="FZ2:HE2"/>
    <mergeCell ref="HF2:HK2"/>
    <mergeCell ref="HQ2:IZ2"/>
    <mergeCell ref="JA2:KJ2"/>
    <mergeCell ref="KL2:KM2"/>
    <mergeCell ref="KQ2:KR2"/>
    <mergeCell ref="KS2:KT2"/>
    <mergeCell ref="KU2:KV2"/>
    <mergeCell ref="KW2:KX2"/>
    <mergeCell ref="KY2:KZ2"/>
    <mergeCell ref="A2:A3"/>
    <mergeCell ref="B2:B3"/>
    <mergeCell ref="C2:C3"/>
    <mergeCell ref="D2:D3"/>
    <mergeCell ref="KK2:KK3"/>
    <mergeCell ref="KN2:KN3"/>
    <mergeCell ref="KO2:KO3"/>
    <mergeCell ref="KP2:KP3"/>
  </mergeCells>
  <hyperlinks>
    <hyperlink ref="KO180" r:id="rId1" display="D-ZK3L-M90"/>
  </hyperlinks>
  <pageMargins left="0.708661417322835" right="0.708661417322835" top="0.748031496062992" bottom="0.748031496062992" header="0.31496062992126" footer="0.31496062992126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R21"/>
  <sheetViews>
    <sheetView workbookViewId="0">
      <selection activeCell="AT22" sqref="AT22"/>
    </sheetView>
  </sheetViews>
  <sheetFormatPr defaultColWidth="9" defaultRowHeight="9.6"/>
  <cols>
    <col min="1" max="1" width="2.37962962962963" style="7" customWidth="1"/>
    <col min="2" max="2" width="6.62962962962963" style="7" customWidth="1"/>
    <col min="3" max="3" width="4" style="7" customWidth="1"/>
    <col min="4" max="4" width="1.75" style="7" customWidth="1"/>
    <col min="5" max="5" width="2" style="7" customWidth="1"/>
    <col min="6" max="6" width="2.62962962962963" style="7" customWidth="1"/>
    <col min="7" max="7" width="3.12962962962963" style="7" customWidth="1"/>
    <col min="8" max="8" width="1.5" style="7" customWidth="1"/>
    <col min="9" max="9" width="1.62962962962963" style="7" customWidth="1"/>
    <col min="10" max="10" width="0.37962962962963" style="7" customWidth="1"/>
    <col min="11" max="11" width="1.87962962962963" style="7" customWidth="1"/>
    <col min="12" max="12" width="0.62962962962963" style="7" customWidth="1"/>
    <col min="13" max="13" width="2" style="7" customWidth="1"/>
    <col min="14" max="14" width="1.75" style="7" customWidth="1"/>
    <col min="15" max="15" width="0.87962962962963" style="7" customWidth="1"/>
    <col min="16" max="16" width="1.87962962962963" style="7" customWidth="1"/>
    <col min="17" max="17" width="1.25" style="7" customWidth="1"/>
    <col min="18" max="18" width="1.5" style="7" customWidth="1"/>
    <col min="19" max="19" width="2.62962962962963" style="7" customWidth="1"/>
    <col min="20" max="20" width="2" style="7" customWidth="1"/>
    <col min="21" max="21" width="2.87962962962963" style="7" customWidth="1"/>
    <col min="22" max="22" width="1.87962962962963" style="7" customWidth="1"/>
    <col min="23" max="23" width="2.87962962962963" style="7" customWidth="1"/>
    <col min="24" max="24" width="1.75" style="7" customWidth="1"/>
    <col min="25" max="25" width="2.37962962962963" style="7" customWidth="1"/>
    <col min="26" max="26" width="1.25" style="7" customWidth="1"/>
    <col min="27" max="27" width="1.12962962962963" style="7" customWidth="1"/>
    <col min="28" max="28" width="3" style="7" customWidth="1"/>
    <col min="29" max="29" width="1.75" style="7" customWidth="1"/>
    <col min="30" max="30" width="1.62962962962963" style="7" customWidth="1"/>
    <col min="31" max="31" width="1.87962962962963" style="7" customWidth="1"/>
    <col min="32" max="32" width="1.25" style="7" customWidth="1"/>
    <col min="33" max="33" width="1.12962962962963" style="7" customWidth="1"/>
    <col min="34" max="34" width="1.25" style="7" customWidth="1"/>
    <col min="35" max="35" width="1.5" style="7" customWidth="1"/>
    <col min="36" max="36" width="0.75" style="7" customWidth="1"/>
    <col min="37" max="37" width="2.12962962962963" style="7" customWidth="1"/>
    <col min="38" max="39" width="2.5" style="7" customWidth="1"/>
    <col min="40" max="40" width="1.87962962962963" style="7" customWidth="1"/>
    <col min="41" max="41" width="0.5" style="7" customWidth="1"/>
    <col min="42" max="42" width="2.5" style="7" customWidth="1"/>
    <col min="43" max="43" width="2.75" style="7" customWidth="1"/>
    <col min="44" max="44" width="1" style="7" customWidth="1"/>
    <col min="45" max="45" width="0.75" style="7" customWidth="1"/>
    <col min="46" max="46" width="2.5" style="7" customWidth="1"/>
    <col min="47" max="47" width="0.37962962962963" style="7" customWidth="1"/>
    <col min="48" max="48" width="0.75" style="7" customWidth="1"/>
    <col min="49" max="49" width="1.87962962962963" style="7" customWidth="1"/>
    <col min="50" max="50" width="0.62962962962963" style="7" customWidth="1"/>
    <col min="51" max="51" width="0.12962962962963" style="7" hidden="1" customWidth="1"/>
    <col min="52" max="52" width="2.87962962962963" style="7" customWidth="1"/>
    <col min="53" max="53" width="1.62962962962963" style="7" customWidth="1"/>
    <col min="54" max="54" width="0.62962962962963" style="7" customWidth="1"/>
    <col min="55" max="56" width="1.62962962962963" style="7" customWidth="1"/>
    <col min="57" max="57" width="0.87962962962963" style="7" customWidth="1"/>
    <col min="58" max="58" width="0.62962962962963" style="7" customWidth="1"/>
    <col min="59" max="59" width="0.37962962962963" style="7" customWidth="1"/>
    <col min="60" max="60" width="2.62962962962963" style="7" customWidth="1"/>
    <col min="61" max="61" width="1.12962962962963" style="7" customWidth="1"/>
    <col min="62" max="62" width="1.37962962962963" style="7" customWidth="1"/>
    <col min="63" max="63" width="2.5" style="7" customWidth="1"/>
    <col min="64" max="64" width="3" style="7" customWidth="1"/>
    <col min="65" max="66" width="0.87962962962963" style="7" customWidth="1"/>
    <col min="67" max="67" width="2.5" style="7" customWidth="1"/>
    <col min="68" max="68" width="0.62962962962963" style="7" customWidth="1"/>
    <col min="69" max="69" width="0.5" style="7" customWidth="1"/>
    <col min="70" max="70" width="1.5" style="7" customWidth="1"/>
    <col min="71" max="71" width="1" style="7" customWidth="1"/>
    <col min="72" max="72" width="1.37962962962963" style="7" customWidth="1"/>
    <col min="73" max="73" width="1.25" style="7" customWidth="1"/>
    <col min="74" max="74" width="0.87962962962963" style="7" customWidth="1"/>
    <col min="75" max="75" width="0.75" style="7" customWidth="1"/>
    <col min="76" max="76" width="0.87962962962963" style="7" customWidth="1"/>
    <col min="77" max="77" width="2.75" style="7" customWidth="1"/>
    <col min="78" max="78" width="1.25" style="7" customWidth="1"/>
    <col min="79" max="79" width="1" style="7" customWidth="1"/>
    <col min="80" max="80" width="2.37962962962963" style="7" customWidth="1"/>
    <col min="81" max="81" width="2.75" style="7" customWidth="1"/>
    <col min="82" max="82" width="1.5" style="7" customWidth="1"/>
    <col min="83" max="83" width="4.37962962962963" style="7" customWidth="1"/>
    <col min="84" max="84" width="1.87962962962963" style="7" customWidth="1"/>
    <col min="85" max="85" width="4.12962962962963" style="7" customWidth="1"/>
    <col min="86" max="87" width="2.12962962962963" style="7" customWidth="1"/>
    <col min="88" max="88" width="0.75" style="7" customWidth="1"/>
    <col min="89" max="89" width="1.75" style="7" customWidth="1"/>
    <col min="90" max="90" width="6.87962962962963" style="7" customWidth="1"/>
    <col min="91" max="91" width="5.25" style="7" customWidth="1"/>
    <col min="92" max="92" width="6" style="7" customWidth="1"/>
    <col min="93" max="16384" width="9" style="7"/>
  </cols>
  <sheetData>
    <row r="2" s="1" customFormat="1" ht="14.1" customHeight="1" spans="2:90">
      <c r="B2" s="8" t="s">
        <v>1649</v>
      </c>
      <c r="C2" s="8" t="s">
        <v>1650</v>
      </c>
      <c r="D2" s="8"/>
      <c r="E2" s="8"/>
      <c r="F2" s="8"/>
      <c r="G2" s="130" t="s">
        <v>1951</v>
      </c>
      <c r="H2" s="131"/>
      <c r="I2" s="131"/>
      <c r="J2" s="131"/>
      <c r="K2" s="131"/>
      <c r="L2" s="142"/>
      <c r="M2" s="8" t="s">
        <v>1952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Q2" s="2"/>
      <c r="AR2" s="8" t="s">
        <v>1952</v>
      </c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55" t="s">
        <v>1953</v>
      </c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7"/>
      <c r="BW2" s="8" t="s">
        <v>1954</v>
      </c>
      <c r="BX2" s="8"/>
      <c r="BY2" s="8"/>
      <c r="BZ2" s="8"/>
      <c r="CA2" s="8" t="s">
        <v>1955</v>
      </c>
      <c r="CB2" s="8"/>
      <c r="CC2" s="8"/>
      <c r="CD2" s="55" t="s">
        <v>1956</v>
      </c>
      <c r="CE2" s="56"/>
      <c r="CF2" s="56"/>
      <c r="CG2" s="56"/>
      <c r="CH2" s="57"/>
      <c r="CI2" s="202" t="s">
        <v>1957</v>
      </c>
      <c r="CJ2" s="61"/>
      <c r="CK2" s="61"/>
      <c r="CL2" s="8" t="s">
        <v>1649</v>
      </c>
    </row>
    <row r="3" s="1" customFormat="1" ht="27.95" customHeight="1" spans="2:90">
      <c r="B3" s="8"/>
      <c r="C3" s="8"/>
      <c r="D3" s="8"/>
      <c r="E3" s="8"/>
      <c r="F3" s="8"/>
      <c r="G3" s="132" t="s">
        <v>1958</v>
      </c>
      <c r="H3" s="133"/>
      <c r="I3" s="133"/>
      <c r="J3" s="133"/>
      <c r="K3" s="133"/>
      <c r="L3" s="143"/>
      <c r="M3" s="42" t="s">
        <v>1917</v>
      </c>
      <c r="N3" s="42"/>
      <c r="O3" s="42"/>
      <c r="P3" s="42" t="s">
        <v>1919</v>
      </c>
      <c r="Q3" s="42"/>
      <c r="R3" s="42"/>
      <c r="S3" s="42" t="s">
        <v>1921</v>
      </c>
      <c r="T3" s="42"/>
      <c r="U3" s="51" t="s">
        <v>1923</v>
      </c>
      <c r="V3" s="51"/>
      <c r="W3" s="42" t="s">
        <v>1959</v>
      </c>
      <c r="X3" s="42"/>
      <c r="Y3" s="42" t="s">
        <v>1960</v>
      </c>
      <c r="Z3" s="42"/>
      <c r="AA3" s="42"/>
      <c r="AB3" s="42" t="s">
        <v>1961</v>
      </c>
      <c r="AC3" s="42"/>
      <c r="AD3" s="42" t="s">
        <v>1962</v>
      </c>
      <c r="AE3" s="42"/>
      <c r="AF3" s="42"/>
      <c r="AG3" s="42" t="s">
        <v>1963</v>
      </c>
      <c r="AH3" s="42"/>
      <c r="AI3" s="42"/>
      <c r="AJ3" s="42"/>
      <c r="AK3" s="150" t="s">
        <v>1964</v>
      </c>
      <c r="AL3" s="151"/>
      <c r="AM3" s="42" t="s">
        <v>1965</v>
      </c>
      <c r="AN3" s="42"/>
      <c r="AO3" s="42"/>
      <c r="AP3" s="62"/>
      <c r="AQ3" s="62"/>
      <c r="AR3" s="42" t="s">
        <v>1966</v>
      </c>
      <c r="AS3" s="42"/>
      <c r="AT3" s="42"/>
      <c r="AU3" s="42"/>
      <c r="AV3" s="42"/>
      <c r="AW3" s="42" t="s">
        <v>1967</v>
      </c>
      <c r="AX3" s="42"/>
      <c r="AY3" s="42"/>
      <c r="AZ3" s="42"/>
      <c r="BA3" s="42" t="s">
        <v>1968</v>
      </c>
      <c r="BB3" s="42"/>
      <c r="BC3" s="42"/>
      <c r="BD3" s="42"/>
      <c r="BE3" s="178" t="s">
        <v>1870</v>
      </c>
      <c r="BF3" s="178"/>
      <c r="BG3" s="178"/>
      <c r="BH3" s="178"/>
      <c r="BI3" s="178" t="s">
        <v>1791</v>
      </c>
      <c r="BJ3" s="178"/>
      <c r="BK3" s="178"/>
      <c r="BL3" s="178" t="s">
        <v>1792</v>
      </c>
      <c r="BM3" s="178"/>
      <c r="BN3" s="178"/>
      <c r="BO3" s="178" t="s">
        <v>1793</v>
      </c>
      <c r="BP3" s="178"/>
      <c r="BQ3" s="178"/>
      <c r="BR3" s="178"/>
      <c r="BS3" s="61" t="s">
        <v>1794</v>
      </c>
      <c r="BT3" s="61"/>
      <c r="BU3" s="61"/>
      <c r="BV3" s="61"/>
      <c r="BW3" s="87" t="s">
        <v>1969</v>
      </c>
      <c r="BX3" s="61"/>
      <c r="BY3" s="61"/>
      <c r="BZ3" s="61"/>
      <c r="CA3" s="87" t="s">
        <v>1970</v>
      </c>
      <c r="CB3" s="61"/>
      <c r="CC3" s="61"/>
      <c r="CD3" s="61" t="s">
        <v>1971</v>
      </c>
      <c r="CE3" s="61"/>
      <c r="CF3" s="55" t="s">
        <v>1972</v>
      </c>
      <c r="CG3" s="56"/>
      <c r="CH3" s="57"/>
      <c r="CI3" s="61"/>
      <c r="CJ3" s="61"/>
      <c r="CK3" s="61"/>
      <c r="CL3" s="8"/>
    </row>
    <row r="4" s="3" customFormat="1" ht="15" customHeight="1" spans="2:96">
      <c r="B4" s="18" t="s">
        <v>1902</v>
      </c>
      <c r="C4" s="18" t="str">
        <f>IF(VLOOKUP($B4,'[2]IR GLASS '!$B$3:$FW$196,2,FALSE)="","",VLOOKUP($B4,'[2]IR GLASS '!$B$3:$FW$196,2,FALSE))</f>
        <v>Ge10Se50As40</v>
      </c>
      <c r="D4" s="18"/>
      <c r="E4" s="18"/>
      <c r="F4" s="18"/>
      <c r="G4" s="19">
        <f>IF(VLOOKUP($B4,'IR GLASS '!$B$3:$FW$192,5,FALSE)="","",VLOOKUP($B4,'IR GLASS '!$B$3:$FW$192,5,FALSE))</f>
        <v>154.57</v>
      </c>
      <c r="H4" s="20"/>
      <c r="I4" s="20"/>
      <c r="J4" s="20"/>
      <c r="K4" s="20"/>
      <c r="L4" s="21"/>
      <c r="M4" s="43">
        <f>IF(VLOOKUP($B4,'IR GLASS '!$B$3:$FW$192,17,FALSE)="","",VLOOKUP($B4,'IR GLASS '!$B$3:$FW$192,17,FALSE))</f>
        <v>2.6413</v>
      </c>
      <c r="N4" s="43"/>
      <c r="O4" s="43"/>
      <c r="P4" s="43">
        <f>IF(VLOOKUP($B4,'IR GLASS '!$B$3:$FW$192,19,FALSE)="","",VLOOKUP($B4,'IR GLASS '!$B$3:$FW$192,19,FALSE))</f>
        <v>2.6271</v>
      </c>
      <c r="Q4" s="43"/>
      <c r="R4" s="43"/>
      <c r="S4" s="43">
        <f>IF(VLOOKUP($B4,'IR GLASS '!$B$3:$FW$192,21,FALSE)="","",VLOOKUP($B4,'IR GLASS '!$B$3:$FW$192,21,FALSE))</f>
        <v>2.6219</v>
      </c>
      <c r="T4" s="43"/>
      <c r="U4" s="43">
        <f>IF(VLOOKUP($B4,'IR GLASS '!$B$3:$FW$192,23,FALSE)="","",VLOOKUP($B4,'IR GLASS '!$B$3:$FW$192,23,FALSE))</f>
        <v>2.619</v>
      </c>
      <c r="V4" s="43"/>
      <c r="W4" s="43">
        <f>IF(VLOOKUP($B4,'IR GLASS '!$B$3:$FW$192,25,FALSE)="","",VLOOKUP($B4,'IR GLASS '!$B$3:$FW$192,25,FALSE))</f>
        <v>2.6168</v>
      </c>
      <c r="X4" s="43"/>
      <c r="Y4" s="43">
        <f>IF(VLOOKUP($B4,'IR GLASS '!$B$3:$FW$192,27,FALSE)="","",VLOOKUP($B4,'IR GLASS '!$B$3:$FW$192,27,FALSE))</f>
        <v>2.6149</v>
      </c>
      <c r="Z4" s="43"/>
      <c r="AA4" s="43"/>
      <c r="AB4" s="43">
        <f>IF(VLOOKUP($B4,'IR GLASS '!$B$3:$FW$192,28,FALSE)="","",VLOOKUP($B4,'IR GLASS '!$B$3:$FW$192,28,FALSE))</f>
        <v>2.613</v>
      </c>
      <c r="AC4" s="43"/>
      <c r="AD4" s="43">
        <f>IF(VLOOKUP($B4,'IR GLASS '!$B$3:$FW$192,29,FALSE)="","",VLOOKUP($B4,'IR GLASS '!$B$3:$FW$192,29,FALSE))</f>
        <v>2.611</v>
      </c>
      <c r="AE4" s="43"/>
      <c r="AF4" s="43"/>
      <c r="AG4" s="43">
        <f>IF(VLOOKUP($B4,'IR GLASS '!$B$3:$FW$192,30,FALSE)="","",VLOOKUP($B4,'IR GLASS '!$B$3:$FW$192,30,FALSE))</f>
        <v>2.6089</v>
      </c>
      <c r="AH4" s="43"/>
      <c r="AI4" s="43"/>
      <c r="AJ4" s="43"/>
      <c r="AK4" s="152">
        <f>IF(VLOOKUP($B4,'IR GLASS '!$B$3:$FW$192,31,FALSE)="","",VLOOKUP($B4,'IR GLASS '!$B$3:$FW$192,31,FALSE))</f>
        <v>2.6075</v>
      </c>
      <c r="AL4" s="153"/>
      <c r="AM4" s="43">
        <f>IF(VLOOKUP($B4,'IR GLASS '!$B$3:$FW$192,32,FALSE)="","",VLOOKUP($B4,'IR GLASS '!$B$3:$FW$192,32,FALSE))</f>
        <v>2.6066</v>
      </c>
      <c r="AN4" s="43"/>
      <c r="AO4" s="43"/>
      <c r="AP4" s="65"/>
      <c r="AQ4" s="66"/>
      <c r="AR4" s="43">
        <f>IF(VLOOKUP($B4,'IR GLASS '!$B$3:$FW$192,33,FALSE)="","",VLOOKUP($B4,'IR GLASS '!$B$3:$FW$192,33,FALSE))</f>
        <v>2.604</v>
      </c>
      <c r="AS4" s="43"/>
      <c r="AT4" s="43"/>
      <c r="AU4" s="43"/>
      <c r="AV4" s="43"/>
      <c r="AW4" s="43">
        <f>IF(VLOOKUP($B4,'IR GLASS '!$B$3:$FW$192,35,FALSE)="","",VLOOKUP($B4,'IR GLASS '!$B$3:$FW$192,35,FALSE))</f>
        <v>2.6011</v>
      </c>
      <c r="AX4" s="43"/>
      <c r="AY4" s="43"/>
      <c r="AZ4" s="43"/>
      <c r="BA4" s="43">
        <f>IF(VLOOKUP($B4,'IR GLASS '!$B$3:$FW$192,36,FALSE)="","",VLOOKUP($B4,'IR GLASS '!$B$3:$FW$192,36,FALSE))</f>
        <v>2.5979</v>
      </c>
      <c r="BB4" s="43"/>
      <c r="BC4" s="43"/>
      <c r="BD4" s="43"/>
      <c r="BE4" s="179">
        <f>IF(VLOOKUP($B4,'IR GLASS '!$B$3:$FW$192,69,FALSE)="","",VLOOKUP($B4,'IR GLASS '!$B$3:$FW$192,69,FALSE))</f>
        <v>18</v>
      </c>
      <c r="BF4" s="179"/>
      <c r="BG4" s="179"/>
      <c r="BH4" s="179"/>
      <c r="BI4" s="179">
        <f>IF(VLOOKUP($B4,'IR GLASS '!$B$3:$FW$192,71,FALSE)="","",VLOOKUP($B4,'IR GLASS '!$B$3:$FW$192,71,FALSE))</f>
        <v>17</v>
      </c>
      <c r="BJ4" s="179"/>
      <c r="BK4" s="179"/>
      <c r="BL4" s="179">
        <f>IF(VLOOKUP($B4,'IR GLASS '!$B$3:$FW$192,72,FALSE)="","",VLOOKUP($B4,'IR GLASS '!$B$3:$FW$192,72,FALSE))</f>
        <v>17</v>
      </c>
      <c r="BM4" s="179"/>
      <c r="BN4" s="179"/>
      <c r="BO4" s="179">
        <f>IF(VLOOKUP($B4,'IR GLASS '!$B$3:$FW$192,73,FALSE)="","",VLOOKUP($B4,'IR GLASS '!$B$3:$FW$192,73,FALSE))</f>
        <v>17</v>
      </c>
      <c r="BP4" s="179"/>
      <c r="BQ4" s="179"/>
      <c r="BR4" s="179"/>
      <c r="BS4" s="172" t="str">
        <f>IF(VLOOKUP($B4,'IR GLASS '!$B$3:$FW$192,74,FALSE)="","",VLOOKUP($B4,'IR GLASS '!$B$3:$FW$192,74,FALSE))</f>
        <v/>
      </c>
      <c r="BT4" s="172"/>
      <c r="BU4" s="172"/>
      <c r="BV4" s="172"/>
      <c r="BW4" s="172">
        <f>IF(VLOOKUP($B4,'IR GLASS '!$B$3:$FW$192,90,FALSE)="","",VLOOKUP($B4,'IR GLASS '!$B$3:$FW$192,90,FALSE))</f>
        <v>228</v>
      </c>
      <c r="BX4" s="172"/>
      <c r="BY4" s="172"/>
      <c r="BZ4" s="172"/>
      <c r="CA4" s="172">
        <f>IF(VLOOKUP($B4,'IR GLASS '!$B$3:$FW$192,91,FALSE)="","",VLOOKUP($B4,'IR GLASS '!$B$3:$FW$192,91,FALSE))</f>
        <v>281</v>
      </c>
      <c r="CB4" s="172"/>
      <c r="CC4" s="172"/>
      <c r="CD4" s="172">
        <f>IF(VLOOKUP($B4,'IR GLASS '!$B$3:$FW$192,94,FALSE)="","",VLOOKUP($B4,'IR GLASS '!$B$3:$FW$192,94,FALSE))</f>
        <v>206</v>
      </c>
      <c r="CE4" s="172"/>
      <c r="CF4" s="203">
        <f>IF(VLOOKUP($B4,'IR GLASS '!$B$3:$FW$192,95,FALSE)="","",VLOOKUP($B4,'IR GLASS '!$B$3:$FW$192,95,FALSE))</f>
        <v>209</v>
      </c>
      <c r="CG4" s="204"/>
      <c r="CH4" s="205"/>
      <c r="CI4" s="58">
        <f>IF(VLOOKUP($B4,'IR GLASS '!$B$3:$FW$192,119,FALSE)="","",VLOOKUP($B4,'IR GLASS '!$B$3:$FW$192,119,FALSE))</f>
        <v>0.37</v>
      </c>
      <c r="CJ4" s="58"/>
      <c r="CK4" s="58"/>
      <c r="CL4" s="18" t="str">
        <f>B4</f>
        <v>IRG207</v>
      </c>
      <c r="CM4" s="1"/>
      <c r="CN4" s="1"/>
      <c r="CO4" s="1"/>
      <c r="CP4" s="1"/>
      <c r="CQ4" s="1"/>
      <c r="CR4" s="1"/>
    </row>
    <row r="5" s="3" customFormat="1" ht="15" customHeight="1" spans="2:96">
      <c r="B5" s="22" t="s">
        <v>1906</v>
      </c>
      <c r="C5" s="134" t="e">
        <f>IF(VLOOKUP($B5,'[2]IR GLASS '!$B$3:$FW$196,2,FALSE)="","",VLOOKUP($B5,'[2]IR GLASS '!$B$3:$FW$196,2,FALSE))</f>
        <v>#REF!</v>
      </c>
      <c r="D5" s="134"/>
      <c r="E5" s="134"/>
      <c r="F5" s="134"/>
      <c r="G5" s="26">
        <f>IF(VLOOKUP($B5,'IR GLASS '!$B$3:$FW$192,5,FALSE)="","",VLOOKUP($B5,'IR GLASS '!$B$3:$FW$192,5,FALSE))</f>
        <v>207.7</v>
      </c>
      <c r="H5" s="27"/>
      <c r="I5" s="27"/>
      <c r="J5" s="27"/>
      <c r="K5" s="27"/>
      <c r="L5" s="28"/>
      <c r="M5" s="44" t="str">
        <f>IF(VLOOKUP($B5,'IR GLASS '!$B$3:$FW$192,17,FALSE)="","",VLOOKUP($B5,'IR GLASS '!$B$3:$FW$192,17,FALSE))</f>
        <v/>
      </c>
      <c r="N5" s="44"/>
      <c r="O5" s="44"/>
      <c r="P5" s="44">
        <f>IF(VLOOKUP($B5,'IR GLASS '!$B$3:$FW$192,19,FALSE)="","",VLOOKUP($B5,'IR GLASS '!$B$3:$FW$192,19,FALSE))</f>
        <v>3.1767</v>
      </c>
      <c r="Q5" s="44"/>
      <c r="R5" s="44"/>
      <c r="S5" s="44">
        <f>IF(VLOOKUP($B5,'IR GLASS '!$B$3:$FW$192,21,FALSE)="","",VLOOKUP($B5,'IR GLASS '!$B$3:$FW$192,21,FALSE))</f>
        <v>3.1622</v>
      </c>
      <c r="T5" s="44"/>
      <c r="U5" s="44">
        <f>IF(VLOOKUP($B5,'IR GLASS '!$B$3:$FW$192,23,FALSE)="","",VLOOKUP($B5,'IR GLASS '!$B$3:$FW$192,23,FALSE))</f>
        <v>3.1552</v>
      </c>
      <c r="V5" s="44"/>
      <c r="W5" s="44">
        <f>IF(VLOOKUP($B5,'IR GLASS '!$B$3:$FW$192,25,FALSE)="","",VLOOKUP($B5,'IR GLASS '!$B$3:$FW$192,25,FALSE))</f>
        <v>3.1507</v>
      </c>
      <c r="X5" s="44"/>
      <c r="Y5" s="44">
        <f>IF(VLOOKUP($B5,'IR GLASS '!$B$3:$FW$192,27,FALSE)="","",VLOOKUP($B5,'IR GLASS '!$B$3:$FW$192,27,FALSE))</f>
        <v>3.1477</v>
      </c>
      <c r="Z5" s="44"/>
      <c r="AA5" s="44"/>
      <c r="AB5" s="44">
        <f>IF(VLOOKUP($B5,'IR GLASS '!$B$3:$FW$192,28,FALSE)="","",VLOOKUP($B5,'IR GLASS '!$B$3:$FW$192,28,FALSE))</f>
        <v>3.1452</v>
      </c>
      <c r="AC5" s="44"/>
      <c r="AD5" s="44">
        <f>IF(VLOOKUP($B5,'IR GLASS '!$B$3:$FW$192,29,FALSE)="","",VLOOKUP($B5,'IR GLASS '!$B$3:$FW$192,29,FALSE))</f>
        <v>3.1429</v>
      </c>
      <c r="AE5" s="44"/>
      <c r="AF5" s="44"/>
      <c r="AG5" s="44">
        <f>IF(VLOOKUP($B5,'IR GLASS '!$B$3:$FW$192,30,FALSE)="","",VLOOKUP($B5,'IR GLASS '!$B$3:$FW$192,30,FALSE))</f>
        <v>3.1408</v>
      </c>
      <c r="AH5" s="44"/>
      <c r="AI5" s="44"/>
      <c r="AJ5" s="44"/>
      <c r="AK5" s="154">
        <f>IF(VLOOKUP($B5,'IR GLASS '!$B$3:$FW$192,31,FALSE)="","",VLOOKUP($B5,'IR GLASS '!$B$3:$FW$192,31,FALSE))</f>
        <v>3.1393</v>
      </c>
      <c r="AL5" s="155"/>
      <c r="AM5" s="44">
        <f>IF(VLOOKUP($B5,'IR GLASS '!$B$3:$FW$192,32,FALSE)="","",VLOOKUP($B5,'IR GLASS '!$B$3:$FW$192,32,FALSE))</f>
        <v>3.1385</v>
      </c>
      <c r="AN5" s="44"/>
      <c r="AO5" s="44"/>
      <c r="AP5" s="65"/>
      <c r="AQ5" s="66"/>
      <c r="AR5" s="44">
        <f>IF(VLOOKUP($B5,'IR GLASS '!$B$3:$FW$192,33,FALSE)="","",VLOOKUP($B5,'IR GLASS '!$B$3:$FW$192,33,FALSE))</f>
        <v>3.1361</v>
      </c>
      <c r="AS5" s="44"/>
      <c r="AT5" s="44"/>
      <c r="AU5" s="44"/>
      <c r="AV5" s="44"/>
      <c r="AW5" s="44" t="str">
        <f>IF(VLOOKUP($B5,'IR GLASS '!$B$3:$FW$192,35,FALSE)="","",VLOOKUP($B5,'IR GLASS '!$B$3:$FW$192,35,FALSE))</f>
        <v/>
      </c>
      <c r="AX5" s="44"/>
      <c r="AY5" s="44"/>
      <c r="AZ5" s="44"/>
      <c r="BA5" s="44" t="str">
        <f>IF(VLOOKUP($B5,'IR GLASS '!$B$3:$FW$192,36,FALSE)="","",VLOOKUP($B5,'IR GLASS '!$B$3:$FW$192,36,FALSE))</f>
        <v/>
      </c>
      <c r="BB5" s="44"/>
      <c r="BC5" s="44"/>
      <c r="BD5" s="44"/>
      <c r="BE5" s="180">
        <f>IF(VLOOKUP($B5,'IR GLASS '!$B$3:$FW$192,69,FALSE)="","",VLOOKUP($B5,'IR GLASS '!$B$3:$FW$192,69,FALSE))</f>
        <v>181</v>
      </c>
      <c r="BF5" s="180"/>
      <c r="BG5" s="180"/>
      <c r="BH5" s="180"/>
      <c r="BI5" s="180">
        <f>IF(VLOOKUP($B5,'IR GLASS '!$B$3:$FW$192,71,FALSE)="","",VLOOKUP($B5,'IR GLASS '!$B$3:$FW$192,71,FALSE))</f>
        <v>168</v>
      </c>
      <c r="BJ5" s="180"/>
      <c r="BK5" s="180"/>
      <c r="BL5" s="180">
        <f>IF(VLOOKUP($B5,'IR GLASS '!$B$3:$FW$192,72,FALSE)="","",VLOOKUP($B5,'IR GLASS '!$B$3:$FW$192,72,FALSE))</f>
        <v>161</v>
      </c>
      <c r="BM5" s="180"/>
      <c r="BN5" s="180"/>
      <c r="BO5" s="180">
        <f>IF(VLOOKUP($B5,'IR GLASS '!$B$3:$FW$192,73,FALSE)="","",VLOOKUP($B5,'IR GLASS '!$B$3:$FW$192,73,FALSE))</f>
        <v>160</v>
      </c>
      <c r="BP5" s="180"/>
      <c r="BQ5" s="180"/>
      <c r="BR5" s="180"/>
      <c r="BS5" s="139">
        <f>IF(VLOOKUP($B5,'IR GLASS '!$B$3:$FW$192,74,FALSE)="","",VLOOKUP($B5,'IR GLASS '!$B$3:$FW$192,74,FALSE))</f>
        <v>159</v>
      </c>
      <c r="BT5" s="139"/>
      <c r="BU5" s="139"/>
      <c r="BV5" s="139"/>
      <c r="BW5" s="139">
        <f>IF(VLOOKUP($B5,'IR GLASS '!$B$3:$FW$192,90,FALSE)="","",VLOOKUP($B5,'IR GLASS '!$B$3:$FW$192,90,FALSE))</f>
        <v>190</v>
      </c>
      <c r="BX5" s="139"/>
      <c r="BY5" s="139"/>
      <c r="BZ5" s="139"/>
      <c r="CA5" s="139">
        <f>IF(VLOOKUP($B5,'IR GLASS '!$B$3:$FW$192,91,FALSE)="","",VLOOKUP($B5,'IR GLASS '!$B$3:$FW$192,91,FALSE))</f>
        <v>210</v>
      </c>
      <c r="CB5" s="139"/>
      <c r="CC5" s="139"/>
      <c r="CD5" s="139">
        <f>IF(VLOOKUP($B5,'IR GLASS '!$B$3:$FW$192,94,FALSE)="","",VLOOKUP($B5,'IR GLASS '!$B$3:$FW$192,94,FALSE))</f>
        <v>163</v>
      </c>
      <c r="CE5" s="139"/>
      <c r="CF5" s="206">
        <f>IF(VLOOKUP($B5,'IR GLASS '!$B$3:$FW$192,95,FALSE)="","",VLOOKUP($B5,'IR GLASS '!$B$3:$FW$192,95,FALSE))</f>
        <v>167</v>
      </c>
      <c r="CG5" s="207"/>
      <c r="CH5" s="208"/>
      <c r="CI5" s="61" t="str">
        <f>IF(VLOOKUP($B5,'IR GLASS '!$B$3:$FW$192,119,FALSE)="","",VLOOKUP($B5,'IR GLASS '!$B$3:$FW$192,119,FALSE))</f>
        <v/>
      </c>
      <c r="CJ5" s="61"/>
      <c r="CK5" s="61"/>
      <c r="CL5" s="22" t="str">
        <f>B5</f>
        <v>IRG209</v>
      </c>
      <c r="CM5" s="1"/>
      <c r="CN5" s="1"/>
      <c r="CO5" s="1"/>
      <c r="CP5" s="1"/>
      <c r="CQ5" s="1"/>
      <c r="CR5" s="1"/>
    </row>
    <row r="6" s="126" customFormat="1" ht="15" customHeight="1" spans="2:96">
      <c r="B6" s="135"/>
      <c r="C6" s="135"/>
      <c r="D6" s="135"/>
      <c r="E6" s="135"/>
      <c r="F6" s="135"/>
      <c r="G6" s="19"/>
      <c r="H6" s="20"/>
      <c r="I6" s="20"/>
      <c r="J6" s="20"/>
      <c r="K6" s="20"/>
      <c r="L6" s="21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56"/>
      <c r="AL6" s="157"/>
      <c r="AM6" s="144"/>
      <c r="AN6" s="144"/>
      <c r="AO6" s="144"/>
      <c r="AP6" s="168"/>
      <c r="AQ6" s="169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2"/>
      <c r="BT6" s="172"/>
      <c r="BU6" s="172"/>
      <c r="BV6" s="172"/>
      <c r="BW6" s="176"/>
      <c r="BX6" s="176"/>
      <c r="BY6" s="176"/>
      <c r="BZ6" s="176"/>
      <c r="CA6" s="176"/>
      <c r="CB6" s="176"/>
      <c r="CC6" s="176"/>
      <c r="CD6" s="176"/>
      <c r="CE6" s="176"/>
      <c r="CF6" s="209"/>
      <c r="CG6" s="210"/>
      <c r="CH6" s="211"/>
      <c r="CI6" s="212"/>
      <c r="CJ6" s="212"/>
      <c r="CK6" s="212"/>
      <c r="CL6" s="135"/>
      <c r="CM6" s="174"/>
      <c r="CN6" s="174"/>
      <c r="CO6" s="174"/>
      <c r="CP6" s="174"/>
      <c r="CQ6" s="174"/>
      <c r="CR6" s="174"/>
    </row>
    <row r="7" s="127" customFormat="1" ht="15" customHeight="1" spans="2:96">
      <c r="B7" s="134"/>
      <c r="C7" s="134"/>
      <c r="D7" s="134"/>
      <c r="E7" s="134"/>
      <c r="F7" s="134"/>
      <c r="G7" s="26"/>
      <c r="H7" s="27"/>
      <c r="I7" s="27"/>
      <c r="J7" s="27"/>
      <c r="K7" s="27"/>
      <c r="L7" s="28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58"/>
      <c r="AL7" s="159"/>
      <c r="AM7" s="145"/>
      <c r="AN7" s="145"/>
      <c r="AO7" s="145"/>
      <c r="AP7" s="170"/>
      <c r="AQ7" s="171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39"/>
      <c r="BT7" s="139"/>
      <c r="BU7" s="139"/>
      <c r="BV7" s="139"/>
      <c r="BW7" s="185"/>
      <c r="BX7" s="185"/>
      <c r="BY7" s="185"/>
      <c r="BZ7" s="185"/>
      <c r="CA7" s="185"/>
      <c r="CB7" s="185"/>
      <c r="CC7" s="185"/>
      <c r="CD7" s="185"/>
      <c r="CE7" s="185"/>
      <c r="CF7" s="213"/>
      <c r="CG7" s="214"/>
      <c r="CH7" s="215"/>
      <c r="CI7" s="216"/>
      <c r="CJ7" s="216"/>
      <c r="CK7" s="216"/>
      <c r="CL7" s="134"/>
      <c r="CM7" s="129"/>
      <c r="CN7" s="129"/>
      <c r="CO7" s="129"/>
      <c r="CP7" s="129"/>
      <c r="CQ7" s="129"/>
      <c r="CR7" s="129"/>
    </row>
    <row r="8" s="126" customFormat="1" ht="15" customHeight="1" spans="2:96">
      <c r="B8" s="135"/>
      <c r="C8" s="135"/>
      <c r="D8" s="135"/>
      <c r="E8" s="135"/>
      <c r="F8" s="135"/>
      <c r="G8" s="19"/>
      <c r="H8" s="20"/>
      <c r="I8" s="20"/>
      <c r="J8" s="20"/>
      <c r="K8" s="20"/>
      <c r="L8" s="21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56"/>
      <c r="AL8" s="157"/>
      <c r="AM8" s="144"/>
      <c r="AN8" s="144"/>
      <c r="AO8" s="144"/>
      <c r="AP8" s="168"/>
      <c r="AQ8" s="169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2"/>
      <c r="BT8" s="172"/>
      <c r="BU8" s="172"/>
      <c r="BV8" s="172"/>
      <c r="BW8" s="176"/>
      <c r="BX8" s="176"/>
      <c r="BY8" s="176"/>
      <c r="BZ8" s="176"/>
      <c r="CA8" s="176"/>
      <c r="CB8" s="176"/>
      <c r="CC8" s="176"/>
      <c r="CD8" s="176"/>
      <c r="CE8" s="176"/>
      <c r="CF8" s="209"/>
      <c r="CG8" s="210"/>
      <c r="CH8" s="211"/>
      <c r="CI8" s="212"/>
      <c r="CJ8" s="212"/>
      <c r="CK8" s="212"/>
      <c r="CL8" s="135"/>
      <c r="CM8" s="174"/>
      <c r="CN8" s="174"/>
      <c r="CO8" s="174"/>
      <c r="CP8" s="174"/>
      <c r="CQ8" s="174"/>
      <c r="CR8" s="174"/>
    </row>
    <row r="9" s="128" customFormat="1" ht="15" customHeight="1" spans="2:96">
      <c r="B9" s="134"/>
      <c r="C9" s="134"/>
      <c r="D9" s="134"/>
      <c r="E9" s="134"/>
      <c r="F9" s="134"/>
      <c r="G9" s="26"/>
      <c r="H9" s="27"/>
      <c r="I9" s="27"/>
      <c r="J9" s="27"/>
      <c r="K9" s="27"/>
      <c r="L9" s="28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58"/>
      <c r="AL9" s="159"/>
      <c r="AM9" s="145"/>
      <c r="AN9" s="145"/>
      <c r="AO9" s="145"/>
      <c r="AP9" s="170"/>
      <c r="AQ9" s="171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39"/>
      <c r="BT9" s="139"/>
      <c r="BU9" s="139"/>
      <c r="BV9" s="139"/>
      <c r="BW9" s="185"/>
      <c r="BX9" s="185"/>
      <c r="BY9" s="185"/>
      <c r="BZ9" s="185"/>
      <c r="CA9" s="185"/>
      <c r="CB9" s="185"/>
      <c r="CC9" s="185"/>
      <c r="CD9" s="185"/>
      <c r="CE9" s="185"/>
      <c r="CF9" s="213"/>
      <c r="CG9" s="214"/>
      <c r="CH9" s="215"/>
      <c r="CI9" s="216"/>
      <c r="CJ9" s="216"/>
      <c r="CK9" s="216"/>
      <c r="CL9" s="134"/>
      <c r="CM9" s="129"/>
      <c r="CN9" s="129"/>
      <c r="CO9" s="129"/>
      <c r="CP9" s="129"/>
      <c r="CQ9" s="129"/>
      <c r="CR9" s="129"/>
    </row>
    <row r="10" s="1" customFormat="1" ht="14.1" customHeight="1" spans="2:90">
      <c r="B10" s="33" t="s">
        <v>1649</v>
      </c>
      <c r="C10" s="136" t="s">
        <v>1650</v>
      </c>
      <c r="D10" s="137"/>
      <c r="E10" s="137"/>
      <c r="F10" s="138"/>
      <c r="G10" s="33" t="s">
        <v>1935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Q10" s="2"/>
      <c r="AR10" s="33" t="s">
        <v>1684</v>
      </c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4" t="s">
        <v>1685</v>
      </c>
      <c r="BK10" s="35"/>
      <c r="BL10" s="35"/>
      <c r="BM10" s="35"/>
      <c r="BN10" s="35"/>
      <c r="BO10" s="35"/>
      <c r="BP10" s="35"/>
      <c r="BQ10" s="35"/>
      <c r="BR10" s="70"/>
      <c r="BS10" s="107" t="s">
        <v>1973</v>
      </c>
      <c r="BT10" s="107"/>
      <c r="BU10" s="107"/>
      <c r="BV10" s="107"/>
      <c r="BW10" s="107" t="s">
        <v>1974</v>
      </c>
      <c r="BX10" s="107"/>
      <c r="BY10" s="107"/>
      <c r="BZ10" s="107"/>
      <c r="CA10" s="107"/>
      <c r="CB10" s="107" t="s">
        <v>1975</v>
      </c>
      <c r="CC10" s="33"/>
      <c r="CD10" s="33"/>
      <c r="CE10" s="217" t="s">
        <v>1976</v>
      </c>
      <c r="CF10" s="218"/>
      <c r="CG10" s="217" t="s">
        <v>1977</v>
      </c>
      <c r="CH10" s="218"/>
      <c r="CI10" s="107" t="s">
        <v>1978</v>
      </c>
      <c r="CJ10" s="107"/>
      <c r="CK10" s="107"/>
      <c r="CL10" s="33" t="s">
        <v>1649</v>
      </c>
    </row>
    <row r="11" s="1" customFormat="1" ht="14.1" customHeight="1" spans="2:90">
      <c r="B11" s="8"/>
      <c r="C11" s="136"/>
      <c r="D11" s="137"/>
      <c r="E11" s="137"/>
      <c r="F11" s="138"/>
      <c r="G11" s="139">
        <v>17</v>
      </c>
      <c r="H11" s="139"/>
      <c r="I11" s="139">
        <v>16</v>
      </c>
      <c r="J11" s="139"/>
      <c r="K11" s="139"/>
      <c r="L11" s="139"/>
      <c r="M11" s="139">
        <v>14</v>
      </c>
      <c r="N11" s="139"/>
      <c r="O11" s="139"/>
      <c r="P11" s="146">
        <v>12</v>
      </c>
      <c r="Q11" s="146"/>
      <c r="R11" s="146"/>
      <c r="S11" s="139">
        <v>10</v>
      </c>
      <c r="T11" s="139"/>
      <c r="U11" s="139">
        <v>8</v>
      </c>
      <c r="V11" s="139"/>
      <c r="W11" s="139">
        <v>7</v>
      </c>
      <c r="X11" s="139"/>
      <c r="Y11" s="139">
        <v>6</v>
      </c>
      <c r="Z11" s="139"/>
      <c r="AA11" s="139"/>
      <c r="AB11" s="139">
        <v>5</v>
      </c>
      <c r="AC11" s="139"/>
      <c r="AD11" s="139">
        <v>4</v>
      </c>
      <c r="AE11" s="139"/>
      <c r="AF11" s="139"/>
      <c r="AG11" s="139">
        <v>3</v>
      </c>
      <c r="AH11" s="139"/>
      <c r="AI11" s="139"/>
      <c r="AJ11" s="139"/>
      <c r="AK11" s="139">
        <v>2</v>
      </c>
      <c r="AL11" s="139"/>
      <c r="AM11" s="139">
        <v>1</v>
      </c>
      <c r="AN11" s="139"/>
      <c r="AO11" s="139"/>
      <c r="AQ11" s="2"/>
      <c r="AR11" s="71" t="s">
        <v>1979</v>
      </c>
      <c r="AS11" s="72"/>
      <c r="AT11" s="72"/>
      <c r="AU11" s="72"/>
      <c r="AV11" s="78"/>
      <c r="AW11" s="71" t="s">
        <v>1980</v>
      </c>
      <c r="AX11" s="72"/>
      <c r="AY11" s="72"/>
      <c r="AZ11" s="78"/>
      <c r="BA11" s="61" t="s">
        <v>1981</v>
      </c>
      <c r="BB11" s="61"/>
      <c r="BC11" s="61"/>
      <c r="BD11" s="61"/>
      <c r="BE11" s="61" t="s">
        <v>1982</v>
      </c>
      <c r="BF11" s="61"/>
      <c r="BG11" s="61"/>
      <c r="BH11" s="61"/>
      <c r="BI11" s="61"/>
      <c r="BJ11" s="61" t="s">
        <v>1983</v>
      </c>
      <c r="BK11" s="61"/>
      <c r="BL11" s="61"/>
      <c r="BM11" s="61" t="s">
        <v>1984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8"/>
      <c r="CC11" s="8"/>
      <c r="CD11" s="8"/>
      <c r="CE11" s="217"/>
      <c r="CF11" s="218"/>
      <c r="CG11" s="217"/>
      <c r="CH11" s="218"/>
      <c r="CI11" s="61"/>
      <c r="CJ11" s="61"/>
      <c r="CK11" s="61"/>
      <c r="CL11" s="8"/>
    </row>
    <row r="12" s="1" customFormat="1" ht="14.1" customHeight="1" spans="2:90">
      <c r="B12" s="8"/>
      <c r="C12" s="34"/>
      <c r="D12" s="35"/>
      <c r="E12" s="35"/>
      <c r="F12" s="70"/>
      <c r="G12" s="139" t="s">
        <v>1946</v>
      </c>
      <c r="H12" s="139"/>
      <c r="I12" s="139" t="s">
        <v>1946</v>
      </c>
      <c r="J12" s="139"/>
      <c r="K12" s="139"/>
      <c r="L12" s="139"/>
      <c r="M12" s="139" t="s">
        <v>1946</v>
      </c>
      <c r="N12" s="139"/>
      <c r="O12" s="139"/>
      <c r="P12" s="146" t="s">
        <v>1946</v>
      </c>
      <c r="Q12" s="146"/>
      <c r="R12" s="146"/>
      <c r="S12" s="139" t="s">
        <v>1946</v>
      </c>
      <c r="T12" s="139"/>
      <c r="U12" s="139" t="s">
        <v>1946</v>
      </c>
      <c r="V12" s="139"/>
      <c r="W12" s="139" t="s">
        <v>1946</v>
      </c>
      <c r="X12" s="139"/>
      <c r="Y12" s="139" t="s">
        <v>1946</v>
      </c>
      <c r="Z12" s="139"/>
      <c r="AA12" s="139"/>
      <c r="AB12" s="139" t="s">
        <v>1946</v>
      </c>
      <c r="AC12" s="139"/>
      <c r="AD12" s="139" t="s">
        <v>1946</v>
      </c>
      <c r="AE12" s="139"/>
      <c r="AF12" s="139"/>
      <c r="AG12" s="139" t="s">
        <v>1946</v>
      </c>
      <c r="AH12" s="139"/>
      <c r="AI12" s="139"/>
      <c r="AJ12" s="139"/>
      <c r="AK12" s="139" t="s">
        <v>1946</v>
      </c>
      <c r="AL12" s="139"/>
      <c r="AM12" s="139" t="s">
        <v>1946</v>
      </c>
      <c r="AN12" s="139"/>
      <c r="AO12" s="139"/>
      <c r="AQ12" s="2"/>
      <c r="AR12" s="73"/>
      <c r="AS12" s="74"/>
      <c r="AT12" s="74"/>
      <c r="AU12" s="74"/>
      <c r="AV12" s="79"/>
      <c r="AW12" s="73"/>
      <c r="AX12" s="74"/>
      <c r="AY12" s="74"/>
      <c r="AZ12" s="79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8"/>
      <c r="CC12" s="8"/>
      <c r="CD12" s="8"/>
      <c r="CE12" s="73"/>
      <c r="CF12" s="79"/>
      <c r="CG12" s="73"/>
      <c r="CH12" s="79"/>
      <c r="CI12" s="61"/>
      <c r="CJ12" s="61"/>
      <c r="CK12" s="61"/>
      <c r="CL12" s="8"/>
    </row>
    <row r="13" s="3" customFormat="1" ht="15" customHeight="1" spans="2:96">
      <c r="B13" s="18" t="str">
        <f>B4</f>
        <v>IRG207</v>
      </c>
      <c r="C13" s="18" t="str">
        <f>IF(VLOOKUP($B4,'[2]IR GLASS '!$B$3:$FW$196,2,FALSE)="","",VLOOKUP($B4,'[2]IR GLASS '!$B$3:$FW$196,2,FALSE))</f>
        <v>Ge10Se50As40</v>
      </c>
      <c r="D13" s="18"/>
      <c r="E13" s="18"/>
      <c r="F13" s="18"/>
      <c r="G13" s="39">
        <f>IF(VLOOKUP($B4,'IR GLASS '!$B$3:$FW$192,133,FALSE)="","",VLOOKUP($B4,'IR GLASS '!$B$3:$FW$192,133,FALSE))</f>
        <v>0.526</v>
      </c>
      <c r="H13" s="39"/>
      <c r="I13" s="39">
        <f>IF(VLOOKUP($B4,'IR GLASS '!$B$3:$FW$192,134,FALSE)="","",VLOOKUP($B4,'IR GLASS '!$B$3:$FW$192,134,FALSE))</f>
        <v>0.865</v>
      </c>
      <c r="J13" s="39"/>
      <c r="K13" s="39"/>
      <c r="L13" s="39"/>
      <c r="M13" s="39">
        <f>IF(VLOOKUP($B4,'IR GLASS '!$B$3:$FW$192,136,FALSE)="","",VLOOKUP($B4,'IR GLASS '!$B$3:$FW$192,136,FALSE))</f>
        <v>0.902</v>
      </c>
      <c r="N13" s="39"/>
      <c r="O13" s="39"/>
      <c r="P13" s="49">
        <f>IF(VLOOKUP($B4,'IR GLASS '!$B$3:$FW$192,139,FALSE)="","",VLOOKUP($B4,'IR GLASS '!$B$3:$FW$192,139,FALSE))</f>
        <v>0.941</v>
      </c>
      <c r="Q13" s="49"/>
      <c r="R13" s="49"/>
      <c r="S13" s="39">
        <f>IF(VLOOKUP($B4,'IR GLASS '!$B$3:$FW$192,143,FALSE)="","",VLOOKUP($B4,'IR GLASS '!$B$3:$FW$192,143,FALSE))</f>
        <v>0.99</v>
      </c>
      <c r="T13" s="39"/>
      <c r="U13" s="39">
        <f>IF(VLOOKUP($B4,'IR GLASS '!$B$3:$FW$192,147,FALSE)="","",VLOOKUP($B4,'IR GLASS '!$B$3:$FW$192,147,FALSE))</f>
        <v>0.992</v>
      </c>
      <c r="V13" s="39"/>
      <c r="W13" s="39">
        <f>IF(VLOOKUP($B4,'IR GLASS '!$B$3:$FW$192,149,FALSE)="","",VLOOKUP($B4,'IR GLASS '!$B$3:$FW$192,149,FALSE))</f>
        <v>0.997</v>
      </c>
      <c r="X13" s="39"/>
      <c r="Y13" s="39">
        <f>IF(VLOOKUP($B4,'IR GLASS '!$B$3:$FW$192,151,FALSE)="","",VLOOKUP($B4,'IR GLASS '!$B$3:$FW$192,151,FALSE))</f>
        <v>0.998</v>
      </c>
      <c r="Z13" s="39"/>
      <c r="AA13" s="39"/>
      <c r="AB13" s="52">
        <f>IF(VLOOKUP($B4,'IR GLASS '!$B$3:$FW$192,153,FALSE)="","",VLOOKUP($B4,'IR GLASS '!$B$3:$FW$192,153,FALSE))</f>
        <v>0.985</v>
      </c>
      <c r="AC13" s="52"/>
      <c r="AD13" s="39">
        <f>IF(VLOOKUP($B4,'IR GLASS '!$B$3:$FW$192,157,FALSE)="","",VLOOKUP($B4,'IR GLASS '!$B$3:$FW$192,157,FALSE))</f>
        <v>0.996</v>
      </c>
      <c r="AE13" s="39"/>
      <c r="AF13" s="39"/>
      <c r="AG13" s="39">
        <f>IF(VLOOKUP($B4,'IR GLASS '!$B$3:$FW$192,161,FALSE)="","",VLOOKUP($B4,'IR GLASS '!$B$3:$FW$192,161,FALSE))</f>
        <v>0.995</v>
      </c>
      <c r="AH13" s="39"/>
      <c r="AI13" s="39"/>
      <c r="AJ13" s="39"/>
      <c r="AK13" s="160">
        <f>IF(VLOOKUP($B4,'IR GLASS '!$B$3:$FW$192,166,FALSE)="","",VLOOKUP($B4,'IR GLASS '!$B$3:$FW$192,166,FALSE))</f>
        <v>0.994</v>
      </c>
      <c r="AL13" s="161"/>
      <c r="AM13" s="39">
        <f>IF(VLOOKUP($B4,'IR GLASS '!$B$3:$FW$192,170,FALSE)="","",VLOOKUP($B4,'IR GLASS '!$B$3:$FW$192,170,FALSE))</f>
        <v>0.99</v>
      </c>
      <c r="AN13" s="39"/>
      <c r="AO13" s="39"/>
      <c r="AP13" s="1"/>
      <c r="AQ13" s="2"/>
      <c r="AR13" s="172">
        <f>IF(VLOOKUP($B4,'IR GLASS '!$B$3:$FW$192,82,FALSE)="","",VLOOKUP($B4,'IR GLASS '!$B$3:$FW$192,82,FALSE))</f>
        <v>1</v>
      </c>
      <c r="AS13" s="172"/>
      <c r="AT13" s="172"/>
      <c r="AU13" s="172"/>
      <c r="AV13" s="172"/>
      <c r="AW13" s="172">
        <f>IF(VLOOKUP($B4,'IR GLASS '!$B$3:$FW$192,83,FALSE)="","",VLOOKUP($B4,'IR GLASS '!$B$3:$FW$192,83,FALSE))</f>
        <v>1</v>
      </c>
      <c r="AX13" s="172"/>
      <c r="AY13" s="172"/>
      <c r="AZ13" s="172"/>
      <c r="BA13" s="172">
        <f>IF(VLOOKUP($B4,'IR GLASS '!$B$3:$FW$192,87,FALSE)="","",VLOOKUP($B4,'IR GLASS '!$B$3:$FW$192,87,FALSE))</f>
        <v>1</v>
      </c>
      <c r="BB13" s="172"/>
      <c r="BC13" s="172"/>
      <c r="BD13" s="172"/>
      <c r="BE13" s="172">
        <f>IF(VLOOKUP($B4,'IR GLASS '!$B$3:$FW$192,86,FALSE)="","",VLOOKUP($B4,'IR GLASS '!$B$3:$FW$192,86,FALSE))</f>
        <v>1</v>
      </c>
      <c r="BF13" s="172"/>
      <c r="BG13" s="172"/>
      <c r="BH13" s="172"/>
      <c r="BI13" s="172"/>
      <c r="BJ13" s="172">
        <f>IF(VLOOKUP($B4,'IR GLASS '!$B$3:$FW$192,84,FALSE)="","",VLOOKUP($B4,'IR GLASS '!$B$3:$FW$192,84,FALSE))</f>
        <v>1</v>
      </c>
      <c r="BK13" s="172"/>
      <c r="BL13" s="172"/>
      <c r="BM13" s="181">
        <f>IF(VLOOKUP($B4,'IR GLASS '!$B$3:$FW$192,85,FALSE)="","",VLOOKUP($B4,'IR GLASS '!$B$3:$FW$192,85,FALSE))</f>
        <v>1</v>
      </c>
      <c r="BN13" s="181"/>
      <c r="BO13" s="181"/>
      <c r="BP13" s="181"/>
      <c r="BQ13" s="181"/>
      <c r="BR13" s="181"/>
      <c r="BS13" s="181">
        <f>IF(VLOOKUP($B4,'IR GLASS '!$B$3:$FW$192,120,FALSE)="","",VLOOKUP($B4,'IR GLASS '!$B$3:$FW$192,120,FALSE))</f>
        <v>126</v>
      </c>
      <c r="BT13" s="181"/>
      <c r="BU13" s="181"/>
      <c r="BV13" s="181"/>
      <c r="BW13" s="186">
        <f>IF(VLOOKUP($B4,'IR GLASS '!$B$3:$FW$192,122,FALSE)="","",VLOOKUP($B4,'IR GLASS '!$B$3:$FW$192,122,FALSE))</f>
        <v>15.6</v>
      </c>
      <c r="BX13" s="187"/>
      <c r="BY13" s="187"/>
      <c r="BZ13" s="187"/>
      <c r="CA13" s="188"/>
      <c r="CB13" s="189">
        <f>IF(VLOOKUP($B4,'IR GLASS '!$B$3:$FW$192,123,FALSE)="","",VLOOKUP($B4,'IR GLASS '!$B$3:$FW$192,123,FALSE))</f>
        <v>6.1</v>
      </c>
      <c r="CC13" s="189"/>
      <c r="CD13" s="189"/>
      <c r="CE13" s="219">
        <f>IF(VLOOKUP($B4,'IR GLASS '!$B$3:$FW$192,127,FALSE)="","",VLOOKUP($B4,'IR GLASS '!$B$3:$FW$192,127,FALSE))</f>
        <v>0.287</v>
      </c>
      <c r="CF13" s="220"/>
      <c r="CG13" s="186" t="str">
        <f>IF(VLOOKUP($B4,'IR GLASS '!$B$3:$FW$192,128,FALSE)="","",VLOOKUP($B4,'IR GLASS '!$B$3:$FW$192,128,FALSE))</f>
        <v/>
      </c>
      <c r="CH13" s="188"/>
      <c r="CI13" s="221">
        <f>IF(VLOOKUP($B4,'IR GLASS '!$B$3:$FW$192,129,FALSE)="","",VLOOKUP($B4,'IR GLASS '!$B$3:$FW$192,129,FALSE))</f>
        <v>4.49</v>
      </c>
      <c r="CJ13" s="221"/>
      <c r="CK13" s="221"/>
      <c r="CL13" s="18" t="str">
        <f>CL4</f>
        <v>IRG207</v>
      </c>
      <c r="CM13" s="1"/>
      <c r="CN13" s="1"/>
      <c r="CO13" s="1"/>
      <c r="CP13" s="1"/>
      <c r="CQ13" s="1"/>
      <c r="CR13" s="1"/>
    </row>
    <row r="14" s="3" customFormat="1" ht="15" customHeight="1" spans="2:96">
      <c r="B14" s="22" t="str">
        <f>B5</f>
        <v>IRG209</v>
      </c>
      <c r="C14" s="134" t="e">
        <f>IF(VLOOKUP($B5,'[2]IR GLASS '!$B$3:$FW$196,2,FALSE)="","",VLOOKUP($B5,'[2]IR GLASS '!$B$3:$FW$196,2,FALSE))</f>
        <v>#REF!</v>
      </c>
      <c r="D14" s="134"/>
      <c r="E14" s="134"/>
      <c r="F14" s="134"/>
      <c r="G14" s="40">
        <f>IF(VLOOKUP($B5,'IR GLASS '!$B$3:$FW$192,133,FALSE)="","",VLOOKUP($B5,'IR GLASS '!$B$3:$FW$192,133,FALSE))</f>
        <v>0.858</v>
      </c>
      <c r="H14" s="40"/>
      <c r="I14" s="40">
        <f>IF(VLOOKUP($B5,'IR GLASS '!$B$3:$FW$192,134,FALSE)="","",VLOOKUP($B5,'IR GLASS '!$B$3:$FW$192,134,FALSE))</f>
        <v>0.926</v>
      </c>
      <c r="J14" s="40"/>
      <c r="K14" s="40"/>
      <c r="L14" s="40"/>
      <c r="M14" s="40">
        <f>IF(VLOOKUP($B5,'IR GLASS '!$B$3:$FW$192,136,FALSE)="","",VLOOKUP($B5,'IR GLASS '!$B$3:$FW$192,136,FALSE))</f>
        <v>0.838</v>
      </c>
      <c r="N14" s="40"/>
      <c r="O14" s="40"/>
      <c r="P14" s="50">
        <f>IF(VLOOKUP($B5,'IR GLASS '!$B$3:$FW$192,139,FALSE)="","",VLOOKUP($B5,'IR GLASS '!$B$3:$FW$192,139,FALSE))</f>
        <v>0.917810910433599</v>
      </c>
      <c r="Q14" s="50"/>
      <c r="R14" s="50"/>
      <c r="S14" s="40">
        <f>IF(VLOOKUP($B5,'IR GLASS '!$B$3:$FW$192,143,FALSE)="","",VLOOKUP($B5,'IR GLASS '!$B$3:$FW$192,143,FALSE))</f>
        <v>0.978</v>
      </c>
      <c r="T14" s="40"/>
      <c r="U14" s="40">
        <f>IF(VLOOKUP($B5,'IR GLASS '!$B$3:$FW$192,147,FALSE)="","",VLOOKUP($B5,'IR GLASS '!$B$3:$FW$192,147,FALSE))</f>
        <v>0.967</v>
      </c>
      <c r="V14" s="40"/>
      <c r="W14" s="40">
        <f>IF(VLOOKUP($B5,'IR GLASS '!$B$3:$FW$192,149,FALSE)="","",VLOOKUP($B5,'IR GLASS '!$B$3:$FW$192,149,FALSE))</f>
        <v>0.979</v>
      </c>
      <c r="X14" s="40"/>
      <c r="Y14" s="40">
        <f>IF(VLOOKUP($B5,'IR GLASS '!$B$3:$FW$192,151,FALSE)="","",VLOOKUP($B5,'IR GLASS '!$B$3:$FW$192,151,FALSE))</f>
        <v>0.979</v>
      </c>
      <c r="Z14" s="40"/>
      <c r="AA14" s="40"/>
      <c r="AB14" s="53">
        <f>IF(VLOOKUP($B5,'IR GLASS '!$B$3:$FW$192,153,FALSE)="","",VLOOKUP($B5,'IR GLASS '!$B$3:$FW$192,153,FALSE))</f>
        <v>0.977</v>
      </c>
      <c r="AC14" s="53"/>
      <c r="AD14" s="40">
        <f>IF(VLOOKUP($B5,'IR GLASS '!$B$3:$FW$192,157,FALSE)="","",VLOOKUP($B5,'IR GLASS '!$B$3:$FW$192,157,FALSE))</f>
        <v>0.975</v>
      </c>
      <c r="AE14" s="40"/>
      <c r="AF14" s="40"/>
      <c r="AG14" s="40">
        <f>IF(VLOOKUP($B5,'IR GLASS '!$B$3:$FW$192,161,FALSE)="","",VLOOKUP($B5,'IR GLASS '!$B$3:$FW$192,161,FALSE))</f>
        <v>0.966</v>
      </c>
      <c r="AH14" s="40"/>
      <c r="AI14" s="40"/>
      <c r="AJ14" s="40"/>
      <c r="AK14" s="162" t="str">
        <f>IF(VLOOKUP($B5,'IR GLASS '!$B$3:$FW$192,166,FALSE)="","",VLOOKUP($B5,'IR GLASS '!$B$3:$FW$192,166,FALSE))</f>
        <v/>
      </c>
      <c r="AL14" s="163"/>
      <c r="AM14" s="40" t="str">
        <f>IF(VLOOKUP($B5,'IR GLASS '!$B$3:$FW$192,170,FALSE)="","",VLOOKUP($B5,'IR GLASS '!$B$3:$FW$192,170,FALSE))</f>
        <v/>
      </c>
      <c r="AN14" s="40"/>
      <c r="AO14" s="40"/>
      <c r="AP14" s="1"/>
      <c r="AQ14" s="2"/>
      <c r="AR14" s="173">
        <f>IF(VLOOKUP($B5,'IR GLASS '!$B$3:$FW$192,82,FALSE)="","",VLOOKUP($B5,'IR GLASS '!$B$3:$FW$192,82,FALSE))</f>
        <v>1</v>
      </c>
      <c r="AS14" s="173"/>
      <c r="AT14" s="173"/>
      <c r="AU14" s="173"/>
      <c r="AV14" s="173"/>
      <c r="AW14" s="173">
        <f>IF(VLOOKUP($B5,'IR GLASS '!$B$3:$FW$192,83,FALSE)="","",VLOOKUP($B5,'IR GLASS '!$B$3:$FW$192,83,FALSE))</f>
        <v>1</v>
      </c>
      <c r="AX14" s="173"/>
      <c r="AY14" s="173"/>
      <c r="AZ14" s="173"/>
      <c r="BA14" s="173">
        <f>IF(VLOOKUP($B5,'IR GLASS '!$B$3:$FW$192,87,FALSE)="","",VLOOKUP($B5,'IR GLASS '!$B$3:$FW$192,87,FALSE))</f>
        <v>1</v>
      </c>
      <c r="BB14" s="173"/>
      <c r="BC14" s="173"/>
      <c r="BD14" s="173"/>
      <c r="BE14" s="173">
        <f>IF(VLOOKUP($B5,'IR GLASS '!$B$3:$FW$192,86,FALSE)="","",VLOOKUP($B5,'IR GLASS '!$B$3:$FW$192,86,FALSE))</f>
        <v>1</v>
      </c>
      <c r="BF14" s="173"/>
      <c r="BG14" s="173"/>
      <c r="BH14" s="173"/>
      <c r="BI14" s="173"/>
      <c r="BJ14" s="173">
        <f>IF(VLOOKUP($B5,'IR GLASS '!$B$3:$FW$192,84,FALSE)="","",VLOOKUP($B5,'IR GLASS '!$B$3:$FW$192,84,FALSE))</f>
        <v>1</v>
      </c>
      <c r="BK14" s="173"/>
      <c r="BL14" s="173"/>
      <c r="BM14" s="182">
        <f>IF(VLOOKUP($B5,'IR GLASS '!$B$3:$FW$192,85,FALSE)="","",VLOOKUP($B5,'IR GLASS '!$B$3:$FW$192,85,FALSE))</f>
        <v>1</v>
      </c>
      <c r="BN14" s="182"/>
      <c r="BO14" s="182"/>
      <c r="BP14" s="182"/>
      <c r="BQ14" s="182"/>
      <c r="BR14" s="182"/>
      <c r="BS14" s="182">
        <f>IF(VLOOKUP($B5,'IR GLASS '!$B$3:$FW$192,120,FALSE)="","",VLOOKUP($B5,'IR GLASS '!$B$3:$FW$192,120,FALSE))</f>
        <v>112</v>
      </c>
      <c r="BT14" s="182"/>
      <c r="BU14" s="182"/>
      <c r="BV14" s="182"/>
      <c r="BW14" s="190">
        <f>IF(VLOOKUP($B5,'IR GLASS '!$B$3:$FW$192,122,FALSE)="","",VLOOKUP($B5,'IR GLASS '!$B$3:$FW$192,122,FALSE))</f>
        <v>21.8</v>
      </c>
      <c r="BX14" s="191"/>
      <c r="BY14" s="191"/>
      <c r="BZ14" s="191"/>
      <c r="CA14" s="192"/>
      <c r="CB14" s="193">
        <f>IF(VLOOKUP($B5,'IR GLASS '!$B$3:$FW$192,123,FALSE)="","",VLOOKUP($B5,'IR GLASS '!$B$3:$FW$192,123,FALSE))</f>
        <v>8.1</v>
      </c>
      <c r="CC14" s="193"/>
      <c r="CD14" s="193"/>
      <c r="CE14" s="222">
        <f>IF(VLOOKUP($B5,'IR GLASS '!$B$3:$FW$192,127,FALSE)="","",VLOOKUP($B5,'IR GLASS '!$B$3:$FW$192,127,FALSE))</f>
        <v>0.344</v>
      </c>
      <c r="CF14" s="223"/>
      <c r="CG14" s="190" t="str">
        <f>IF(VLOOKUP($B5,'IR GLASS '!$B$3:$FW$192,128,FALSE)="","",VLOOKUP($B5,'IR GLASS '!$B$3:$FW$192,128,FALSE))</f>
        <v/>
      </c>
      <c r="CH14" s="192"/>
      <c r="CI14" s="224">
        <f>IF(VLOOKUP($B5,'IR GLASS '!$B$3:$FW$192,129,FALSE)="","",VLOOKUP($B5,'IR GLASS '!$B$3:$FW$192,129,FALSE))</f>
        <v>5.31</v>
      </c>
      <c r="CJ14" s="224"/>
      <c r="CK14" s="224"/>
      <c r="CL14" s="22" t="str">
        <f>CL5</f>
        <v>IRG209</v>
      </c>
      <c r="CM14" s="1"/>
      <c r="CN14" s="1"/>
      <c r="CO14" s="1"/>
      <c r="CP14" s="1"/>
      <c r="CQ14" s="1"/>
      <c r="CR14" s="1"/>
    </row>
    <row r="15" s="126" customFormat="1" ht="15" customHeight="1" spans="2:96">
      <c r="B15" s="135"/>
      <c r="C15" s="135"/>
      <c r="D15" s="135"/>
      <c r="E15" s="135"/>
      <c r="F15" s="135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7"/>
      <c r="AC15" s="147"/>
      <c r="AD15" s="140"/>
      <c r="AE15" s="140"/>
      <c r="AF15" s="140"/>
      <c r="AG15" s="140"/>
      <c r="AH15" s="140"/>
      <c r="AI15" s="140"/>
      <c r="AJ15" s="140"/>
      <c r="AK15" s="164"/>
      <c r="AL15" s="165"/>
      <c r="AM15" s="140"/>
      <c r="AN15" s="140"/>
      <c r="AO15" s="140"/>
      <c r="AP15" s="174"/>
      <c r="AQ15" s="175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94"/>
      <c r="BX15" s="195"/>
      <c r="BY15" s="195"/>
      <c r="BZ15" s="195"/>
      <c r="CA15" s="196"/>
      <c r="CB15" s="197"/>
      <c r="CC15" s="197"/>
      <c r="CD15" s="197"/>
      <c r="CE15" s="225"/>
      <c r="CF15" s="226"/>
      <c r="CG15" s="194"/>
      <c r="CH15" s="196"/>
      <c r="CI15" s="227"/>
      <c r="CJ15" s="227"/>
      <c r="CK15" s="227"/>
      <c r="CL15" s="135"/>
      <c r="CM15" s="174"/>
      <c r="CN15" s="174"/>
      <c r="CO15" s="174"/>
      <c r="CP15" s="174"/>
      <c r="CQ15" s="174"/>
      <c r="CR15" s="174"/>
    </row>
    <row r="16" s="127" customFormat="1" ht="15" customHeight="1" spans="2:96">
      <c r="B16" s="134"/>
      <c r="C16" s="134"/>
      <c r="D16" s="134"/>
      <c r="E16" s="134"/>
      <c r="F16" s="134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8"/>
      <c r="AC16" s="148"/>
      <c r="AD16" s="141"/>
      <c r="AE16" s="141"/>
      <c r="AF16" s="141"/>
      <c r="AG16" s="141"/>
      <c r="AH16" s="141"/>
      <c r="AI16" s="141"/>
      <c r="AJ16" s="141"/>
      <c r="AK16" s="166"/>
      <c r="AL16" s="167"/>
      <c r="AM16" s="141"/>
      <c r="AN16" s="141"/>
      <c r="AO16" s="141"/>
      <c r="AP16" s="129"/>
      <c r="AQ16" s="128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98"/>
      <c r="BX16" s="199"/>
      <c r="BY16" s="199"/>
      <c r="BZ16" s="199"/>
      <c r="CA16" s="200"/>
      <c r="CB16" s="201"/>
      <c r="CC16" s="201"/>
      <c r="CD16" s="201"/>
      <c r="CE16" s="228"/>
      <c r="CF16" s="229"/>
      <c r="CG16" s="198"/>
      <c r="CH16" s="200"/>
      <c r="CI16" s="230"/>
      <c r="CJ16" s="230"/>
      <c r="CK16" s="230"/>
      <c r="CL16" s="134"/>
      <c r="CM16" s="129"/>
      <c r="CN16" s="129"/>
      <c r="CO16" s="129"/>
      <c r="CP16" s="129"/>
      <c r="CQ16" s="129"/>
      <c r="CR16" s="129"/>
    </row>
    <row r="17" s="126" customFormat="1" ht="15" customHeight="1" spans="2:96">
      <c r="B17" s="135"/>
      <c r="C17" s="135"/>
      <c r="D17" s="135"/>
      <c r="E17" s="135"/>
      <c r="F17" s="135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7"/>
      <c r="AC17" s="147"/>
      <c r="AD17" s="140"/>
      <c r="AE17" s="140"/>
      <c r="AF17" s="140"/>
      <c r="AG17" s="140"/>
      <c r="AH17" s="140"/>
      <c r="AI17" s="140"/>
      <c r="AJ17" s="140"/>
      <c r="AK17" s="164"/>
      <c r="AL17" s="165"/>
      <c r="AM17" s="140"/>
      <c r="AN17" s="140"/>
      <c r="AO17" s="140"/>
      <c r="AP17" s="174"/>
      <c r="AQ17" s="175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94"/>
      <c r="BX17" s="195"/>
      <c r="BY17" s="195"/>
      <c r="BZ17" s="195"/>
      <c r="CA17" s="196"/>
      <c r="CB17" s="197"/>
      <c r="CC17" s="197"/>
      <c r="CD17" s="197"/>
      <c r="CE17" s="225"/>
      <c r="CF17" s="226"/>
      <c r="CG17" s="194"/>
      <c r="CH17" s="196"/>
      <c r="CI17" s="227"/>
      <c r="CJ17" s="227"/>
      <c r="CK17" s="227"/>
      <c r="CL17" s="135"/>
      <c r="CM17" s="174"/>
      <c r="CN17" s="174"/>
      <c r="CO17" s="174"/>
      <c r="CP17" s="174"/>
      <c r="CQ17" s="174"/>
      <c r="CR17" s="174"/>
    </row>
    <row r="18" s="129" customFormat="1" ht="15" customHeight="1" spans="2:90">
      <c r="B18" s="134"/>
      <c r="C18" s="134"/>
      <c r="D18" s="134"/>
      <c r="E18" s="134"/>
      <c r="F18" s="134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8"/>
      <c r="AC18" s="148"/>
      <c r="AD18" s="141"/>
      <c r="AE18" s="141"/>
      <c r="AF18" s="141"/>
      <c r="AG18" s="141"/>
      <c r="AH18" s="141"/>
      <c r="AI18" s="141"/>
      <c r="AJ18" s="141"/>
      <c r="AK18" s="166"/>
      <c r="AL18" s="167"/>
      <c r="AM18" s="141"/>
      <c r="AN18" s="141"/>
      <c r="AO18" s="141"/>
      <c r="AQ18" s="128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98"/>
      <c r="BX18" s="199"/>
      <c r="BY18" s="199"/>
      <c r="BZ18" s="199"/>
      <c r="CA18" s="200"/>
      <c r="CB18" s="201"/>
      <c r="CC18" s="201"/>
      <c r="CD18" s="201"/>
      <c r="CE18" s="228"/>
      <c r="CF18" s="229"/>
      <c r="CG18" s="198"/>
      <c r="CH18" s="200"/>
      <c r="CI18" s="230"/>
      <c r="CJ18" s="230"/>
      <c r="CK18" s="230"/>
      <c r="CL18" s="134"/>
    </row>
    <row r="19" spans="21:21">
      <c r="U19" s="7" t="s">
        <v>1711</v>
      </c>
    </row>
    <row r="21" ht="13.8" spans="28:46"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</row>
  </sheetData>
  <mergeCells count="391">
    <mergeCell ref="G2:L2"/>
    <mergeCell ref="M2:AO2"/>
    <mergeCell ref="AR2:BD2"/>
    <mergeCell ref="BE2:BV2"/>
    <mergeCell ref="BW2:BZ2"/>
    <mergeCell ref="CA2:CC2"/>
    <mergeCell ref="CD2:CH2"/>
    <mergeCell ref="G3:L3"/>
    <mergeCell ref="M3:O3"/>
    <mergeCell ref="P3:R3"/>
    <mergeCell ref="S3:T3"/>
    <mergeCell ref="U3:V3"/>
    <mergeCell ref="W3:X3"/>
    <mergeCell ref="Y3:AA3"/>
    <mergeCell ref="AB3:AC3"/>
    <mergeCell ref="AD3:AF3"/>
    <mergeCell ref="AG3:AJ3"/>
    <mergeCell ref="AK3:AL3"/>
    <mergeCell ref="AM3:AO3"/>
    <mergeCell ref="AR3:AV3"/>
    <mergeCell ref="AW3:AZ3"/>
    <mergeCell ref="BA3:BD3"/>
    <mergeCell ref="BE3:BH3"/>
    <mergeCell ref="BI3:BK3"/>
    <mergeCell ref="BL3:BN3"/>
    <mergeCell ref="BO3:BR3"/>
    <mergeCell ref="BS3:BV3"/>
    <mergeCell ref="BW3:BZ3"/>
    <mergeCell ref="CA3:CC3"/>
    <mergeCell ref="CD3:CE3"/>
    <mergeCell ref="CF3:CH3"/>
    <mergeCell ref="C4:F4"/>
    <mergeCell ref="G4:L4"/>
    <mergeCell ref="M4:O4"/>
    <mergeCell ref="P4:R4"/>
    <mergeCell ref="S4:T4"/>
    <mergeCell ref="U4:V4"/>
    <mergeCell ref="W4:X4"/>
    <mergeCell ref="Y4:AA4"/>
    <mergeCell ref="AB4:AC4"/>
    <mergeCell ref="AD4:AF4"/>
    <mergeCell ref="AG4:AJ4"/>
    <mergeCell ref="AK4:AL4"/>
    <mergeCell ref="AM4:AO4"/>
    <mergeCell ref="AR4:AV4"/>
    <mergeCell ref="AW4:AZ4"/>
    <mergeCell ref="BA4:BD4"/>
    <mergeCell ref="BE4:BH4"/>
    <mergeCell ref="BI4:BK4"/>
    <mergeCell ref="BL4:BN4"/>
    <mergeCell ref="BO4:BR4"/>
    <mergeCell ref="BS4:BV4"/>
    <mergeCell ref="BW4:BZ4"/>
    <mergeCell ref="CA4:CC4"/>
    <mergeCell ref="CD4:CE4"/>
    <mergeCell ref="CF4:CH4"/>
    <mergeCell ref="CI4:CK4"/>
    <mergeCell ref="C5:F5"/>
    <mergeCell ref="G5:L5"/>
    <mergeCell ref="M5:O5"/>
    <mergeCell ref="P5:R5"/>
    <mergeCell ref="S5:T5"/>
    <mergeCell ref="U5:V5"/>
    <mergeCell ref="W5:X5"/>
    <mergeCell ref="Y5:AA5"/>
    <mergeCell ref="AB5:AC5"/>
    <mergeCell ref="AD5:AF5"/>
    <mergeCell ref="AG5:AJ5"/>
    <mergeCell ref="AK5:AL5"/>
    <mergeCell ref="AM5:AO5"/>
    <mergeCell ref="AR5:AV5"/>
    <mergeCell ref="AW5:AZ5"/>
    <mergeCell ref="BA5:BD5"/>
    <mergeCell ref="BE5:BH5"/>
    <mergeCell ref="BI5:BK5"/>
    <mergeCell ref="BL5:BN5"/>
    <mergeCell ref="BO5:BR5"/>
    <mergeCell ref="BS5:BV5"/>
    <mergeCell ref="BW5:BZ5"/>
    <mergeCell ref="CA5:CC5"/>
    <mergeCell ref="CD5:CE5"/>
    <mergeCell ref="CF5:CH5"/>
    <mergeCell ref="CI5:CK5"/>
    <mergeCell ref="C6:F6"/>
    <mergeCell ref="G6:L6"/>
    <mergeCell ref="M6:O6"/>
    <mergeCell ref="P6:R6"/>
    <mergeCell ref="S6:T6"/>
    <mergeCell ref="U6:V6"/>
    <mergeCell ref="W6:X6"/>
    <mergeCell ref="Y6:AA6"/>
    <mergeCell ref="AB6:AC6"/>
    <mergeCell ref="AD6:AF6"/>
    <mergeCell ref="AG6:AJ6"/>
    <mergeCell ref="AK6:AL6"/>
    <mergeCell ref="AM6:AO6"/>
    <mergeCell ref="AR6:AV6"/>
    <mergeCell ref="AW6:AZ6"/>
    <mergeCell ref="BA6:BD6"/>
    <mergeCell ref="BE6:BH6"/>
    <mergeCell ref="BI6:BK6"/>
    <mergeCell ref="BL6:BN6"/>
    <mergeCell ref="BO6:BR6"/>
    <mergeCell ref="BS6:BV6"/>
    <mergeCell ref="BW6:BZ6"/>
    <mergeCell ref="CA6:CC6"/>
    <mergeCell ref="CD6:CE6"/>
    <mergeCell ref="CF6:CH6"/>
    <mergeCell ref="CI6:CK6"/>
    <mergeCell ref="C7:F7"/>
    <mergeCell ref="G7:L7"/>
    <mergeCell ref="M7:O7"/>
    <mergeCell ref="P7:R7"/>
    <mergeCell ref="S7:T7"/>
    <mergeCell ref="U7:V7"/>
    <mergeCell ref="W7:X7"/>
    <mergeCell ref="Y7:AA7"/>
    <mergeCell ref="AB7:AC7"/>
    <mergeCell ref="AD7:AF7"/>
    <mergeCell ref="AG7:AJ7"/>
    <mergeCell ref="AK7:AL7"/>
    <mergeCell ref="AM7:AO7"/>
    <mergeCell ref="AR7:AV7"/>
    <mergeCell ref="AW7:AZ7"/>
    <mergeCell ref="BA7:BD7"/>
    <mergeCell ref="BE7:BH7"/>
    <mergeCell ref="BI7:BK7"/>
    <mergeCell ref="BL7:BN7"/>
    <mergeCell ref="BO7:BR7"/>
    <mergeCell ref="BS7:BV7"/>
    <mergeCell ref="BW7:BZ7"/>
    <mergeCell ref="CA7:CC7"/>
    <mergeCell ref="CD7:CE7"/>
    <mergeCell ref="CF7:CH7"/>
    <mergeCell ref="CI7:CK7"/>
    <mergeCell ref="C8:F8"/>
    <mergeCell ref="G8:L8"/>
    <mergeCell ref="M8:O8"/>
    <mergeCell ref="P8:R8"/>
    <mergeCell ref="S8:T8"/>
    <mergeCell ref="U8:V8"/>
    <mergeCell ref="W8:X8"/>
    <mergeCell ref="Y8:AA8"/>
    <mergeCell ref="AB8:AC8"/>
    <mergeCell ref="AD8:AF8"/>
    <mergeCell ref="AG8:AJ8"/>
    <mergeCell ref="AK8:AL8"/>
    <mergeCell ref="AM8:AO8"/>
    <mergeCell ref="AR8:AV8"/>
    <mergeCell ref="AW8:AZ8"/>
    <mergeCell ref="BA8:BD8"/>
    <mergeCell ref="BE8:BH8"/>
    <mergeCell ref="BI8:BK8"/>
    <mergeCell ref="BL8:BN8"/>
    <mergeCell ref="BO8:BR8"/>
    <mergeCell ref="BS8:BV8"/>
    <mergeCell ref="BW8:BZ8"/>
    <mergeCell ref="CA8:CC8"/>
    <mergeCell ref="CD8:CE8"/>
    <mergeCell ref="CF8:CH8"/>
    <mergeCell ref="CI8:CK8"/>
    <mergeCell ref="C9:F9"/>
    <mergeCell ref="G9:L9"/>
    <mergeCell ref="M9:O9"/>
    <mergeCell ref="P9:R9"/>
    <mergeCell ref="S9:T9"/>
    <mergeCell ref="U9:V9"/>
    <mergeCell ref="W9:X9"/>
    <mergeCell ref="Y9:AA9"/>
    <mergeCell ref="AB9:AC9"/>
    <mergeCell ref="AD9:AF9"/>
    <mergeCell ref="AG9:AJ9"/>
    <mergeCell ref="AK9:AL9"/>
    <mergeCell ref="AM9:AO9"/>
    <mergeCell ref="AR9:AV9"/>
    <mergeCell ref="AW9:AZ9"/>
    <mergeCell ref="BA9:BD9"/>
    <mergeCell ref="BE9:BH9"/>
    <mergeCell ref="BI9:BK9"/>
    <mergeCell ref="BL9:BN9"/>
    <mergeCell ref="BO9:BR9"/>
    <mergeCell ref="BS9:BV9"/>
    <mergeCell ref="BW9:BZ9"/>
    <mergeCell ref="CA9:CC9"/>
    <mergeCell ref="CD9:CE9"/>
    <mergeCell ref="CF9:CH9"/>
    <mergeCell ref="CI9:CK9"/>
    <mergeCell ref="G10:AO10"/>
    <mergeCell ref="AR10:BI10"/>
    <mergeCell ref="BJ10:BR10"/>
    <mergeCell ref="G11:H11"/>
    <mergeCell ref="I11:L11"/>
    <mergeCell ref="M11:O11"/>
    <mergeCell ref="P11:R11"/>
    <mergeCell ref="S11:T11"/>
    <mergeCell ref="U11:V11"/>
    <mergeCell ref="W11:X11"/>
    <mergeCell ref="Y11:AA11"/>
    <mergeCell ref="AB11:AC11"/>
    <mergeCell ref="AD11:AF11"/>
    <mergeCell ref="AG11:AJ11"/>
    <mergeCell ref="AK11:AL11"/>
    <mergeCell ref="AM11:AO11"/>
    <mergeCell ref="G12:H12"/>
    <mergeCell ref="I12:L12"/>
    <mergeCell ref="M12:O12"/>
    <mergeCell ref="P12:R12"/>
    <mergeCell ref="S12:T12"/>
    <mergeCell ref="U12:V12"/>
    <mergeCell ref="W12:X12"/>
    <mergeCell ref="Y12:AA12"/>
    <mergeCell ref="AB12:AC12"/>
    <mergeCell ref="AD12:AF12"/>
    <mergeCell ref="AG12:AJ12"/>
    <mergeCell ref="AK12:AL12"/>
    <mergeCell ref="AM12:AO12"/>
    <mergeCell ref="C13:F13"/>
    <mergeCell ref="G13:H13"/>
    <mergeCell ref="I13:L13"/>
    <mergeCell ref="M13:O13"/>
    <mergeCell ref="P13:R13"/>
    <mergeCell ref="S13:T13"/>
    <mergeCell ref="U13:V13"/>
    <mergeCell ref="W13:X13"/>
    <mergeCell ref="Y13:AA13"/>
    <mergeCell ref="AB13:AC13"/>
    <mergeCell ref="AD13:AF13"/>
    <mergeCell ref="AG13:AJ13"/>
    <mergeCell ref="AK13:AL13"/>
    <mergeCell ref="AM13:AO13"/>
    <mergeCell ref="AR13:AV13"/>
    <mergeCell ref="AW13:AZ13"/>
    <mergeCell ref="BA13:BD13"/>
    <mergeCell ref="BE13:BI13"/>
    <mergeCell ref="BJ13:BL13"/>
    <mergeCell ref="BM13:BR13"/>
    <mergeCell ref="BS13:BV13"/>
    <mergeCell ref="BW13:CA13"/>
    <mergeCell ref="CB13:CD13"/>
    <mergeCell ref="CE13:CF13"/>
    <mergeCell ref="CG13:CH13"/>
    <mergeCell ref="CI13:CK13"/>
    <mergeCell ref="C14:F14"/>
    <mergeCell ref="G14:H14"/>
    <mergeCell ref="I14:L14"/>
    <mergeCell ref="M14:O14"/>
    <mergeCell ref="P14:R14"/>
    <mergeCell ref="S14:T14"/>
    <mergeCell ref="U14:V14"/>
    <mergeCell ref="W14:X14"/>
    <mergeCell ref="Y14:AA14"/>
    <mergeCell ref="AB14:AC14"/>
    <mergeCell ref="AD14:AF14"/>
    <mergeCell ref="AG14:AJ14"/>
    <mergeCell ref="AK14:AL14"/>
    <mergeCell ref="AM14:AO14"/>
    <mergeCell ref="AR14:AV14"/>
    <mergeCell ref="AW14:AZ14"/>
    <mergeCell ref="BA14:BD14"/>
    <mergeCell ref="BE14:BI14"/>
    <mergeCell ref="BJ14:BL14"/>
    <mergeCell ref="BM14:BR14"/>
    <mergeCell ref="BS14:BV14"/>
    <mergeCell ref="BW14:CA14"/>
    <mergeCell ref="CB14:CD14"/>
    <mergeCell ref="CE14:CF14"/>
    <mergeCell ref="CG14:CH14"/>
    <mergeCell ref="CI14:CK14"/>
    <mergeCell ref="C15:F15"/>
    <mergeCell ref="G15:H15"/>
    <mergeCell ref="I15:L15"/>
    <mergeCell ref="M15:O15"/>
    <mergeCell ref="P15:R15"/>
    <mergeCell ref="S15:T15"/>
    <mergeCell ref="U15:V15"/>
    <mergeCell ref="W15:X15"/>
    <mergeCell ref="Y15:AA15"/>
    <mergeCell ref="AB15:AC15"/>
    <mergeCell ref="AD15:AF15"/>
    <mergeCell ref="AG15:AJ15"/>
    <mergeCell ref="AK15:AL15"/>
    <mergeCell ref="AM15:AO15"/>
    <mergeCell ref="AR15:AV15"/>
    <mergeCell ref="AW15:AZ15"/>
    <mergeCell ref="BA15:BD15"/>
    <mergeCell ref="BE15:BI15"/>
    <mergeCell ref="BJ15:BL15"/>
    <mergeCell ref="BM15:BR15"/>
    <mergeCell ref="BS15:BV15"/>
    <mergeCell ref="BW15:CA15"/>
    <mergeCell ref="CB15:CD15"/>
    <mergeCell ref="CE15:CF15"/>
    <mergeCell ref="CG15:CH15"/>
    <mergeCell ref="CI15:CK15"/>
    <mergeCell ref="C16:F16"/>
    <mergeCell ref="G16:H16"/>
    <mergeCell ref="I16:L16"/>
    <mergeCell ref="M16:O16"/>
    <mergeCell ref="P16:R16"/>
    <mergeCell ref="S16:T16"/>
    <mergeCell ref="U16:V16"/>
    <mergeCell ref="W16:X16"/>
    <mergeCell ref="Y16:AA16"/>
    <mergeCell ref="AB16:AC16"/>
    <mergeCell ref="AD16:AF16"/>
    <mergeCell ref="AG16:AJ16"/>
    <mergeCell ref="AK16:AL16"/>
    <mergeCell ref="AM16:AO16"/>
    <mergeCell ref="AR16:AV16"/>
    <mergeCell ref="AW16:AZ16"/>
    <mergeCell ref="BA16:BD16"/>
    <mergeCell ref="BE16:BI16"/>
    <mergeCell ref="BJ16:BL16"/>
    <mergeCell ref="BM16:BR16"/>
    <mergeCell ref="BS16:BV16"/>
    <mergeCell ref="BW16:CA16"/>
    <mergeCell ref="CB16:CD16"/>
    <mergeCell ref="CE16:CF16"/>
    <mergeCell ref="CG16:CH16"/>
    <mergeCell ref="CI16:CK16"/>
    <mergeCell ref="C17:F17"/>
    <mergeCell ref="G17:H17"/>
    <mergeCell ref="I17:L17"/>
    <mergeCell ref="M17:O17"/>
    <mergeCell ref="P17:R17"/>
    <mergeCell ref="S17:T17"/>
    <mergeCell ref="U17:V17"/>
    <mergeCell ref="W17:X17"/>
    <mergeCell ref="Y17:AA17"/>
    <mergeCell ref="AB17:AC17"/>
    <mergeCell ref="AD17:AF17"/>
    <mergeCell ref="AG17:AJ17"/>
    <mergeCell ref="AK17:AL17"/>
    <mergeCell ref="AM17:AO17"/>
    <mergeCell ref="AR17:AV17"/>
    <mergeCell ref="AW17:AZ17"/>
    <mergeCell ref="BA17:BD17"/>
    <mergeCell ref="BE17:BI17"/>
    <mergeCell ref="BJ17:BL17"/>
    <mergeCell ref="BM17:BR17"/>
    <mergeCell ref="BS17:BV17"/>
    <mergeCell ref="BW17:CA17"/>
    <mergeCell ref="CB17:CD17"/>
    <mergeCell ref="CE17:CF17"/>
    <mergeCell ref="CG17:CH17"/>
    <mergeCell ref="CI17:CK17"/>
    <mergeCell ref="C18:F18"/>
    <mergeCell ref="G18:H18"/>
    <mergeCell ref="I18:L18"/>
    <mergeCell ref="M18:O18"/>
    <mergeCell ref="P18:R18"/>
    <mergeCell ref="S18:T18"/>
    <mergeCell ref="U18:V18"/>
    <mergeCell ref="W18:X18"/>
    <mergeCell ref="Y18:AA18"/>
    <mergeCell ref="AB18:AC18"/>
    <mergeCell ref="AD18:AF18"/>
    <mergeCell ref="AG18:AJ18"/>
    <mergeCell ref="AK18:AL18"/>
    <mergeCell ref="AM18:AO18"/>
    <mergeCell ref="AR18:AV18"/>
    <mergeCell ref="AW18:AZ18"/>
    <mergeCell ref="BA18:BD18"/>
    <mergeCell ref="BE18:BI18"/>
    <mergeCell ref="BJ18:BL18"/>
    <mergeCell ref="BM18:BR18"/>
    <mergeCell ref="BS18:BV18"/>
    <mergeCell ref="BW18:CA18"/>
    <mergeCell ref="CB18:CD18"/>
    <mergeCell ref="CE18:CF18"/>
    <mergeCell ref="CG18:CH18"/>
    <mergeCell ref="CI18:CK18"/>
    <mergeCell ref="B2:B3"/>
    <mergeCell ref="B10:B12"/>
    <mergeCell ref="CL2:CL3"/>
    <mergeCell ref="CL10:CL12"/>
    <mergeCell ref="AW11:AZ12"/>
    <mergeCell ref="BA11:BD12"/>
    <mergeCell ref="BW10:CA12"/>
    <mergeCell ref="CB10:CD12"/>
    <mergeCell ref="CE10:CF12"/>
    <mergeCell ref="CG10:CH12"/>
    <mergeCell ref="CI10:CK12"/>
    <mergeCell ref="BM11:BR12"/>
    <mergeCell ref="AR11:AV12"/>
    <mergeCell ref="BE11:BI12"/>
    <mergeCell ref="BJ11:BL12"/>
    <mergeCell ref="C10:F12"/>
    <mergeCell ref="BS10:BV12"/>
    <mergeCell ref="CI2:CK3"/>
    <mergeCell ref="C2:F3"/>
  </mergeCells>
  <printOptions horizontalCentered="1" verticalCentered="1"/>
  <pageMargins left="1.14166666666667" right="0" top="0.236111111111111" bottom="0.314583333333333" header="0" footer="0"/>
  <pageSetup paperSize="152" scale="8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P21"/>
  <sheetViews>
    <sheetView workbookViewId="0">
      <selection activeCell="BV27" sqref="BV27"/>
    </sheetView>
  </sheetViews>
  <sheetFormatPr defaultColWidth="9" defaultRowHeight="9.6"/>
  <cols>
    <col min="1" max="1" width="2.37962962962963" style="7" customWidth="1"/>
    <col min="2" max="2" width="6.12962962962963" style="7" customWidth="1"/>
    <col min="3" max="3" width="2.87962962962963" style="7" customWidth="1"/>
    <col min="4" max="4" width="2.5" style="7" customWidth="1"/>
    <col min="5" max="5" width="1.25" style="7" customWidth="1"/>
    <col min="6" max="6" width="0.87962962962963" style="7" customWidth="1"/>
    <col min="7" max="7" width="2.75" style="7" customWidth="1"/>
    <col min="8" max="8" width="0.25" style="7" customWidth="1"/>
    <col min="9" max="10" width="2" style="7" customWidth="1"/>
    <col min="11" max="11" width="1.5" style="7" customWidth="1"/>
    <col min="12" max="12" width="2.12962962962963" style="7" customWidth="1"/>
    <col min="13" max="13" width="1.75" style="7" customWidth="1"/>
    <col min="14" max="14" width="1.25" style="7" customWidth="1"/>
    <col min="15" max="15" width="3.25" style="7" customWidth="1"/>
    <col min="16" max="16" width="1.5" style="7" customWidth="1"/>
    <col min="17" max="17" width="3.62962962962963" style="7" customWidth="1"/>
    <col min="18" max="18" width="1.25" style="7" customWidth="1"/>
    <col min="19" max="19" width="2.25" style="7" customWidth="1"/>
    <col min="20" max="20" width="2.87962962962963" style="7" customWidth="1"/>
    <col min="21" max="21" width="1.62962962962963" style="7" customWidth="1"/>
    <col min="22" max="22" width="1.75" style="7" customWidth="1"/>
    <col min="23" max="23" width="1.5" style="7" customWidth="1"/>
    <col min="24" max="24" width="2.37962962962963" style="7" customWidth="1"/>
    <col min="25" max="25" width="2.62962962962963" style="7" customWidth="1"/>
    <col min="26" max="27" width="2" style="7" customWidth="1"/>
    <col min="28" max="30" width="1.25" style="7" customWidth="1"/>
    <col min="31" max="31" width="1.75" style="7" customWidth="1"/>
    <col min="32" max="32" width="1" style="7" customWidth="1"/>
    <col min="33" max="33" width="2.37962962962963" style="7" customWidth="1"/>
    <col min="34" max="34" width="2.12962962962963" style="7" customWidth="1"/>
    <col min="35" max="35" width="0.87962962962963" style="7" customWidth="1"/>
    <col min="36" max="36" width="1.37962962962963" style="7" customWidth="1"/>
    <col min="37" max="38" width="0.87962962962963" style="7" customWidth="1"/>
    <col min="39" max="39" width="0.37962962962963" style="7" customWidth="1"/>
    <col min="40" max="40" width="1.75" style="7" customWidth="1"/>
    <col min="41" max="41" width="1.62962962962963" style="7" customWidth="1"/>
    <col min="42" max="42" width="0.87962962962963" style="7" customWidth="1"/>
    <col min="43" max="43" width="0.12962962962963" style="7" hidden="1" customWidth="1"/>
    <col min="44" max="44" width="2.75" style="7" customWidth="1"/>
    <col min="45" max="45" width="2.5" style="7" customWidth="1"/>
    <col min="46" max="46" width="2.75" style="7" customWidth="1"/>
    <col min="47" max="47" width="1.62962962962963" style="7" customWidth="1"/>
    <col min="48" max="49" width="0.87962962962963" style="7" customWidth="1"/>
    <col min="50" max="50" width="2.12962962962963" style="7" customWidth="1"/>
    <col min="51" max="51" width="0.37962962962963" style="7" customWidth="1"/>
    <col min="52" max="52" width="2.12962962962963" style="7" customWidth="1"/>
    <col min="53" max="54" width="1.62962962962963" style="7" customWidth="1"/>
    <col min="55" max="55" width="0.12962962962963" style="7" hidden="1" customWidth="1"/>
    <col min="56" max="56" width="2.75" style="7" customWidth="1"/>
    <col min="57" max="57" width="2.62962962962963" style="7" customWidth="1"/>
    <col min="58" max="58" width="0.62962962962963" style="7" customWidth="1"/>
    <col min="59" max="60" width="0.75" style="7" customWidth="1"/>
    <col min="61" max="61" width="0.87962962962963" style="7" customWidth="1"/>
    <col min="62" max="62" width="1.62962962962963" style="7" customWidth="1"/>
    <col min="63" max="63" width="0.62962962962963" style="7" customWidth="1"/>
    <col min="64" max="64" width="0.37962962962963" style="7" customWidth="1"/>
    <col min="65" max="65" width="3.25" style="7" customWidth="1"/>
    <col min="66" max="67" width="1.37962962962963" style="7" customWidth="1"/>
    <col min="68" max="68" width="4" style="7" customWidth="1"/>
    <col min="69" max="69" width="2.62962962962963" style="7" customWidth="1"/>
    <col min="70" max="70" width="3.25" style="7" customWidth="1"/>
    <col min="71" max="71" width="1.5" style="7" customWidth="1"/>
    <col min="72" max="72" width="2.25" style="7" customWidth="1"/>
    <col min="73" max="73" width="2.37962962962963" style="7" customWidth="1"/>
    <col min="74" max="74" width="1.37962962962963" style="7" customWidth="1"/>
    <col min="75" max="75" width="1.87962962962963" style="7" customWidth="1"/>
    <col min="76" max="76" width="2.5" style="7" customWidth="1"/>
    <col min="77" max="77" width="1.12962962962963" style="7" customWidth="1"/>
    <col min="78" max="78" width="2.37962962962963" style="7" customWidth="1"/>
    <col min="79" max="79" width="1.5" style="7" customWidth="1"/>
    <col min="80" max="80" width="1.62962962962963" style="7" customWidth="1"/>
    <col min="81" max="81" width="1" style="7" customWidth="1"/>
    <col min="82" max="82" width="0.37962962962963" style="7" customWidth="1"/>
    <col min="83" max="83" width="1.75" style="7" customWidth="1"/>
    <col min="84" max="84" width="0.87962962962963" style="7" customWidth="1"/>
    <col min="85" max="85" width="2.12962962962963" style="7" customWidth="1"/>
    <col min="86" max="86" width="3" style="7" customWidth="1"/>
    <col min="87" max="87" width="2.87962962962963" style="7" customWidth="1"/>
    <col min="88" max="88" width="3.5" style="7" customWidth="1"/>
    <col min="89" max="89" width="6.12962962962963" style="7" customWidth="1"/>
    <col min="90" max="90" width="6" style="7" customWidth="1"/>
    <col min="91" max="16384" width="9" style="7"/>
  </cols>
  <sheetData>
    <row r="2" s="1" customFormat="1" ht="14.1" customHeight="1" spans="2:89">
      <c r="B2" s="8" t="s">
        <v>1649</v>
      </c>
      <c r="C2" s="9" t="s">
        <v>1907</v>
      </c>
      <c r="D2" s="10"/>
      <c r="E2" s="10"/>
      <c r="F2" s="10"/>
      <c r="G2" s="10"/>
      <c r="H2" s="11"/>
      <c r="I2" s="9" t="s">
        <v>1908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1"/>
      <c r="AT2" s="2"/>
      <c r="AU2" s="61" t="s">
        <v>1952</v>
      </c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55" t="s">
        <v>1956</v>
      </c>
      <c r="BQ2" s="56"/>
      <c r="BR2" s="56"/>
      <c r="BS2" s="56"/>
      <c r="BT2" s="57"/>
      <c r="BU2" s="55" t="s">
        <v>1953</v>
      </c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7"/>
      <c r="CK2" s="8" t="s">
        <v>1649</v>
      </c>
    </row>
    <row r="3" s="1" customFormat="1" ht="14.1" customHeight="1" spans="2:89">
      <c r="B3" s="8"/>
      <c r="C3" s="12" t="s">
        <v>1911</v>
      </c>
      <c r="D3" s="13"/>
      <c r="E3" s="13"/>
      <c r="F3" s="13"/>
      <c r="G3" s="13"/>
      <c r="H3" s="14"/>
      <c r="I3" s="42" t="s">
        <v>1985</v>
      </c>
      <c r="J3" s="42"/>
      <c r="K3" s="42"/>
      <c r="L3" s="42" t="s">
        <v>1986</v>
      </c>
      <c r="M3" s="42"/>
      <c r="N3" s="42"/>
      <c r="O3" s="42" t="s">
        <v>1912</v>
      </c>
      <c r="P3" s="42"/>
      <c r="Q3" s="51" t="s">
        <v>1987</v>
      </c>
      <c r="R3" s="51"/>
      <c r="S3" s="42" t="s">
        <v>1913</v>
      </c>
      <c r="T3" s="42"/>
      <c r="U3" s="42" t="s">
        <v>1915</v>
      </c>
      <c r="V3" s="42"/>
      <c r="W3" s="42"/>
      <c r="X3" s="42" t="s">
        <v>1917</v>
      </c>
      <c r="Y3" s="42"/>
      <c r="Z3" s="42" t="s">
        <v>1919</v>
      </c>
      <c r="AA3" s="42"/>
      <c r="AB3" s="42"/>
      <c r="AC3" s="42" t="s">
        <v>1921</v>
      </c>
      <c r="AD3" s="42"/>
      <c r="AE3" s="42"/>
      <c r="AF3" s="42"/>
      <c r="AG3" s="42" t="s">
        <v>1923</v>
      </c>
      <c r="AH3" s="42"/>
      <c r="AI3" s="42"/>
      <c r="AJ3" s="42" t="s">
        <v>1959</v>
      </c>
      <c r="AK3" s="42"/>
      <c r="AL3" s="42"/>
      <c r="AM3" s="42"/>
      <c r="AN3" s="42"/>
      <c r="AO3" s="42" t="s">
        <v>1960</v>
      </c>
      <c r="AP3" s="42"/>
      <c r="AQ3" s="42"/>
      <c r="AR3" s="42"/>
      <c r="AS3" s="62"/>
      <c r="AT3" s="62"/>
      <c r="AU3" s="63" t="s">
        <v>1961</v>
      </c>
      <c r="AV3" s="63"/>
      <c r="AW3" s="63"/>
      <c r="AX3" s="63"/>
      <c r="AY3" s="63"/>
      <c r="AZ3" s="63" t="s">
        <v>1962</v>
      </c>
      <c r="BA3" s="63"/>
      <c r="BB3" s="63"/>
      <c r="BC3" s="75"/>
      <c r="BD3" s="63" t="s">
        <v>1963</v>
      </c>
      <c r="BE3" s="63"/>
      <c r="BF3" s="63" t="s">
        <v>1965</v>
      </c>
      <c r="BG3" s="63"/>
      <c r="BH3" s="63"/>
      <c r="BI3" s="63"/>
      <c r="BJ3" s="63"/>
      <c r="BK3" s="63"/>
      <c r="BL3" s="63"/>
      <c r="BM3" s="63" t="s">
        <v>1966</v>
      </c>
      <c r="BN3" s="63"/>
      <c r="BO3" s="63"/>
      <c r="BP3" s="82" t="s">
        <v>1971</v>
      </c>
      <c r="BQ3" s="82"/>
      <c r="BR3" s="83" t="s">
        <v>1988</v>
      </c>
      <c r="BS3" s="83"/>
      <c r="BT3" s="83"/>
      <c r="BU3" s="92" t="s">
        <v>1870</v>
      </c>
      <c r="BV3" s="93"/>
      <c r="BW3" s="94"/>
      <c r="BX3" s="92" t="s">
        <v>1791</v>
      </c>
      <c r="BY3" s="93"/>
      <c r="BZ3" s="94"/>
      <c r="CA3" s="92" t="s">
        <v>1792</v>
      </c>
      <c r="CB3" s="93"/>
      <c r="CC3" s="93"/>
      <c r="CD3" s="93"/>
      <c r="CE3" s="94"/>
      <c r="CF3" s="92" t="s">
        <v>1793</v>
      </c>
      <c r="CG3" s="93"/>
      <c r="CH3" s="94"/>
      <c r="CI3" s="92" t="s">
        <v>1794</v>
      </c>
      <c r="CJ3" s="94"/>
      <c r="CK3" s="8"/>
    </row>
    <row r="4" s="2" customFormat="1" ht="14.1" customHeight="1" spans="2:94">
      <c r="B4" s="8"/>
      <c r="C4" s="15"/>
      <c r="D4" s="16"/>
      <c r="E4" s="16"/>
      <c r="F4" s="16"/>
      <c r="G4" s="16"/>
      <c r="H4" s="17"/>
      <c r="I4" s="42"/>
      <c r="J4" s="42"/>
      <c r="K4" s="42"/>
      <c r="L4" s="42"/>
      <c r="M4" s="42"/>
      <c r="N4" s="42"/>
      <c r="O4" s="42"/>
      <c r="P4" s="42"/>
      <c r="Q4" s="51"/>
      <c r="R4" s="51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62"/>
      <c r="AT4" s="62"/>
      <c r="AU4" s="63"/>
      <c r="AV4" s="63"/>
      <c r="AW4" s="63"/>
      <c r="AX4" s="63"/>
      <c r="AY4" s="63"/>
      <c r="AZ4" s="63"/>
      <c r="BA4" s="63"/>
      <c r="BB4" s="63"/>
      <c r="BC4" s="75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82"/>
      <c r="BQ4" s="82"/>
      <c r="BR4" s="83"/>
      <c r="BS4" s="83"/>
      <c r="BT4" s="83"/>
      <c r="BU4" s="95"/>
      <c r="BV4" s="96"/>
      <c r="BW4" s="97"/>
      <c r="BX4" s="95"/>
      <c r="BY4" s="96"/>
      <c r="BZ4" s="97"/>
      <c r="CA4" s="95"/>
      <c r="CB4" s="96"/>
      <c r="CC4" s="96"/>
      <c r="CD4" s="96"/>
      <c r="CE4" s="97"/>
      <c r="CF4" s="95"/>
      <c r="CG4" s="96"/>
      <c r="CH4" s="97"/>
      <c r="CI4" s="95"/>
      <c r="CJ4" s="97"/>
      <c r="CK4" s="8"/>
      <c r="CL4" s="1"/>
      <c r="CM4" s="1"/>
      <c r="CN4" s="1"/>
      <c r="CO4" s="1"/>
      <c r="CP4" s="1"/>
    </row>
    <row r="5" s="3" customFormat="1" ht="15" customHeight="1" spans="2:89">
      <c r="B5" s="18" t="s">
        <v>1904</v>
      </c>
      <c r="C5" s="19">
        <f>IF(VLOOKUP($B5,'IR GLASS '!$B$3:$FW$192,4,FALSE)="","",VLOOKUP($B5,'IR GLASS '!$B$3:$FW$192,4,FALSE))</f>
        <v>159.19</v>
      </c>
      <c r="D5" s="20"/>
      <c r="E5" s="20"/>
      <c r="F5" s="20"/>
      <c r="G5" s="20"/>
      <c r="H5" s="21"/>
      <c r="I5" s="43">
        <f>IF(VLOOKUP($B5,'IR GLASS '!$B$3:$FW$192,9,FALSE)="","",VLOOKUP($B5,'IR GLASS '!$B$3:$FW$192,9,FALSE))</f>
        <v>2.6133</v>
      </c>
      <c r="J5" s="43"/>
      <c r="K5" s="43"/>
      <c r="L5" s="43">
        <f>IF(VLOOKUP($B5,'IR GLASS '!$B$3:$FW$192,10,FALSE)="","",VLOOKUP($B5,'IR GLASS '!$B$3:$FW$192,10,FALSE))</f>
        <v>2.5652</v>
      </c>
      <c r="M5" s="43"/>
      <c r="N5" s="43"/>
      <c r="O5" s="43">
        <f>IF(VLOOKUP($B5,'IR GLASS '!$B$3:$FW$192,11,FALSE)="","",VLOOKUP($B5,'IR GLASS '!$B$3:$FW$192,11,FALSE))</f>
        <v>2.5121</v>
      </c>
      <c r="P5" s="43"/>
      <c r="Q5" s="43">
        <f>IF(VLOOKUP($B5,'IR GLASS '!$B$3:$FW$192,12,FALSE)="","",VLOOKUP($B5,'IR GLASS '!$B$3:$FW$192,12,FALSE))</f>
        <v>2.5023</v>
      </c>
      <c r="R5" s="43"/>
      <c r="S5" s="43">
        <f>IF(VLOOKUP($B5,'IR GLASS '!$B$3:$FW$192,13,FALSE)="","",VLOOKUP($B5,'IR GLASS '!$B$3:$FW$192,13,FALSE))</f>
        <v>2.4816</v>
      </c>
      <c r="T5" s="43"/>
      <c r="U5" s="43">
        <f>IF(VLOOKUP($B5,'IR GLASS '!$B$3:$FW$192,15,FALSE)="","",VLOOKUP($B5,'IR GLASS '!$B$3:$FW$192,15,FALSE))</f>
        <v>2.4437</v>
      </c>
      <c r="V5" s="43"/>
      <c r="W5" s="43"/>
      <c r="X5" s="43">
        <f>IF(VLOOKUP($B5,'IR GLASS '!$B$3:$FW$192,17,FALSE)="","",VLOOKUP($B5,'IR GLASS '!$B$3:$FW$192,17,FALSE))</f>
        <v>2.4318</v>
      </c>
      <c r="Y5" s="43"/>
      <c r="Z5" s="43">
        <f>IF(VLOOKUP($B5,'IR GLASS '!$B$3:$FW$192,19,FALSE)="","",VLOOKUP($B5,'IR GLASS '!$B$3:$FW$192,19,FALSE))</f>
        <v>2.4217</v>
      </c>
      <c r="AA5" s="43"/>
      <c r="AB5" s="43"/>
      <c r="AC5" s="43">
        <f>IF(VLOOKUP($B5,'IR GLASS '!$B$3:$FW$192,21,FALSE)="","",VLOOKUP($B5,'IR GLASS '!$B$3:$FW$192,21,FALSE))</f>
        <v>2.4168</v>
      </c>
      <c r="AD5" s="43"/>
      <c r="AE5" s="43"/>
      <c r="AF5" s="43"/>
      <c r="AG5" s="43">
        <f>IF(VLOOKUP($B5,'IR GLASS '!$B$3:$FW$192,23,FALSE)="","",VLOOKUP($B5,'IR GLASS '!$B$3:$FW$192,23,FALSE))</f>
        <v>2.4128</v>
      </c>
      <c r="AH5" s="43"/>
      <c r="AI5" s="43"/>
      <c r="AJ5" s="43">
        <f>IF(VLOOKUP($B5,'IR GLASS '!$B$3:$FW$192,25,FALSE)="","",VLOOKUP($B5,'IR GLASS '!$B$3:$FW$192,25,FALSE))</f>
        <v>2.4087</v>
      </c>
      <c r="AK5" s="43"/>
      <c r="AL5" s="43"/>
      <c r="AM5" s="43"/>
      <c r="AN5" s="43"/>
      <c r="AO5" s="43">
        <f>IF(VLOOKUP($B5,'IR GLASS '!$B$3:$FW$192,27,FALSE)="","",VLOOKUP($B5,'IR GLASS '!$B$3:$FW$192,27,FALSE))</f>
        <v>2.4043</v>
      </c>
      <c r="AP5" s="43"/>
      <c r="AQ5" s="43"/>
      <c r="AR5" s="43"/>
      <c r="AS5" s="1"/>
      <c r="AT5" s="2"/>
      <c r="AU5" s="64">
        <f>IF(VLOOKUP($B5,'IR GLASS '!$B$3:$FW$192,28,FALSE)="","",VLOOKUP($B5,'IR GLASS '!$B$3:$FW$192,28,FALSE))</f>
        <v>2.3994</v>
      </c>
      <c r="AV5" s="64"/>
      <c r="AW5" s="64"/>
      <c r="AX5" s="64"/>
      <c r="AY5" s="64"/>
      <c r="AZ5" s="64">
        <f>IF(VLOOKUP($B5,'IR GLASS '!$B$3:$FW$192,29,FALSE)="","",VLOOKUP($B5,'IR GLASS '!$B$3:$FW$192,29,FALSE))</f>
        <v>2.3936</v>
      </c>
      <c r="BA5" s="64"/>
      <c r="BB5" s="64"/>
      <c r="BC5" s="76"/>
      <c r="BD5" s="64">
        <f>IF(VLOOKUP($B5,'IR GLASS '!$B$3:$FW$192,30,FALSE)="","",VLOOKUP($B5,'IR GLASS '!$B$3:$FW$192,30,FALSE))</f>
        <v>2.387</v>
      </c>
      <c r="BE5" s="64"/>
      <c r="BF5" s="64">
        <f>IF(VLOOKUP($B5,'IR GLASS '!$B$3:$FW$192,32,FALSE)="","",VLOOKUP($B5,'IR GLASS '!$B$3:$FW$192,32,FALSE))</f>
        <v>2.3793</v>
      </c>
      <c r="BG5" s="64"/>
      <c r="BH5" s="64"/>
      <c r="BI5" s="64"/>
      <c r="BJ5" s="64"/>
      <c r="BK5" s="64"/>
      <c r="BL5" s="64"/>
      <c r="BM5" s="64">
        <f>IF(VLOOKUP($B5,'IR GLASS '!$B$3:$FW$192,33,FALSE)="","",VLOOKUP($B5,'IR GLASS '!$B$3:$FW$192,33,FALSE))</f>
        <v>2.37</v>
      </c>
      <c r="BN5" s="64"/>
      <c r="BO5" s="64"/>
      <c r="BP5" s="84">
        <f>IF(VLOOKUP($B5,'IR GLASS '!$B$3:$FW$192,94,FALSE)="","",VLOOKUP($B5,'IR GLASS '!$B$3:$FW$192,94,FALSE))</f>
        <v>218</v>
      </c>
      <c r="BQ5" s="84"/>
      <c r="BR5" s="84">
        <f>IF(VLOOKUP($B5,'IR GLASS '!$B$3:$FW$192,95,FALSE)="","",VLOOKUP($B5,'IR GLASS '!$B$3:$FW$192,95,FALSE))</f>
        <v>221</v>
      </c>
      <c r="BS5" s="84"/>
      <c r="BT5" s="84"/>
      <c r="BU5" s="98">
        <f>IF(VLOOKUP($B5,'IR GLASS '!$B$3:$FW$192,69,FALSE)="","",VLOOKUP($B5,'IR GLASS '!$B$3:$FW$192,69,FALSE))</f>
        <v>-1.4</v>
      </c>
      <c r="BV5" s="99"/>
      <c r="BW5" s="100"/>
      <c r="BX5" s="98">
        <f>IF(VLOOKUP($B5,'IR GLASS '!$B$3:$FW$192,71,FALSE)="","",VLOOKUP($B5,'IR GLASS '!$B$3:$FW$192,71,FALSE))</f>
        <v>-2.8</v>
      </c>
      <c r="BY5" s="99"/>
      <c r="BZ5" s="100"/>
      <c r="CA5" s="98">
        <f>IF(VLOOKUP($B5,'IR GLASS '!$B$3:$FW$192,72,FALSE)="","",VLOOKUP($B5,'IR GLASS '!$B$3:$FW$192,72,FALSE))</f>
        <v>-3.9</v>
      </c>
      <c r="CB5" s="99"/>
      <c r="CC5" s="99"/>
      <c r="CD5" s="99"/>
      <c r="CE5" s="100"/>
      <c r="CF5" s="113">
        <f>IF(VLOOKUP($B5,'IR GLASS '!$B$3:$FW$192,73,FALSE)="","",VLOOKUP($B5,'IR GLASS '!$B$3:$FW$192,73,FALSE))</f>
        <v>-4</v>
      </c>
      <c r="CG5" s="114"/>
      <c r="CH5" s="115"/>
      <c r="CI5" s="113">
        <f>IF(VLOOKUP($B5,'IR GLASS '!$B$3:$FW$192,74,FALSE)="","",VLOOKUP($B5,'IR GLASS '!$B$3:$FW$192,74,FALSE))</f>
        <v>-4.2</v>
      </c>
      <c r="CJ5" s="115"/>
      <c r="CK5" s="18" t="str">
        <f>B5</f>
        <v>IRG208</v>
      </c>
    </row>
    <row r="6" s="3" customFormat="1" ht="15" customHeight="1" spans="2:94">
      <c r="B6" s="22"/>
      <c r="C6" s="23"/>
      <c r="D6" s="24"/>
      <c r="E6" s="24"/>
      <c r="F6" s="24"/>
      <c r="G6" s="24"/>
      <c r="H6" s="25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65"/>
      <c r="AT6" s="66"/>
      <c r="AU6" s="67"/>
      <c r="AV6" s="67"/>
      <c r="AW6" s="67"/>
      <c r="AX6" s="67"/>
      <c r="AY6" s="67"/>
      <c r="AZ6" s="67"/>
      <c r="BA6" s="67"/>
      <c r="BB6" s="67"/>
      <c r="BC6" s="7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85"/>
      <c r="BQ6" s="85"/>
      <c r="BR6" s="85"/>
      <c r="BS6" s="85"/>
      <c r="BT6" s="85"/>
      <c r="BU6" s="101"/>
      <c r="BV6" s="102"/>
      <c r="BW6" s="103"/>
      <c r="BX6" s="101"/>
      <c r="BY6" s="102"/>
      <c r="BZ6" s="103"/>
      <c r="CA6" s="101"/>
      <c r="CB6" s="102"/>
      <c r="CC6" s="102"/>
      <c r="CD6" s="102"/>
      <c r="CE6" s="103"/>
      <c r="CF6" s="116"/>
      <c r="CG6" s="117"/>
      <c r="CH6" s="118"/>
      <c r="CI6" s="116"/>
      <c r="CJ6" s="118"/>
      <c r="CK6" s="22"/>
      <c r="CL6" s="1"/>
      <c r="CM6" s="1"/>
      <c r="CN6" s="1"/>
      <c r="CO6" s="1"/>
      <c r="CP6" s="1"/>
    </row>
    <row r="7" s="3" customFormat="1" ht="15" customHeight="1" spans="2:89">
      <c r="B7" s="18"/>
      <c r="C7" s="19"/>
      <c r="D7" s="20"/>
      <c r="E7" s="20"/>
      <c r="F7" s="20"/>
      <c r="G7" s="20"/>
      <c r="H7" s="21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65"/>
      <c r="AT7" s="66"/>
      <c r="AU7" s="64"/>
      <c r="AV7" s="64"/>
      <c r="AW7" s="64"/>
      <c r="AX7" s="64"/>
      <c r="AY7" s="64"/>
      <c r="AZ7" s="64"/>
      <c r="BA7" s="64"/>
      <c r="BB7" s="64"/>
      <c r="BC7" s="76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84"/>
      <c r="BQ7" s="84"/>
      <c r="BR7" s="84"/>
      <c r="BS7" s="84"/>
      <c r="BT7" s="84"/>
      <c r="BU7" s="104"/>
      <c r="BV7" s="105"/>
      <c r="BW7" s="106"/>
      <c r="BX7" s="104"/>
      <c r="BY7" s="105"/>
      <c r="BZ7" s="106"/>
      <c r="CA7" s="104"/>
      <c r="CB7" s="105"/>
      <c r="CC7" s="105"/>
      <c r="CD7" s="105"/>
      <c r="CE7" s="106"/>
      <c r="CF7" s="119"/>
      <c r="CG7" s="120"/>
      <c r="CH7" s="121"/>
      <c r="CI7" s="119"/>
      <c r="CJ7" s="121"/>
      <c r="CK7" s="18"/>
    </row>
    <row r="8" s="3" customFormat="1" ht="15" customHeight="1" spans="2:94">
      <c r="B8" s="22"/>
      <c r="C8" s="26"/>
      <c r="D8" s="27"/>
      <c r="E8" s="27"/>
      <c r="F8" s="27"/>
      <c r="G8" s="27"/>
      <c r="H8" s="28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65"/>
      <c r="AT8" s="66"/>
      <c r="AU8" s="67"/>
      <c r="AV8" s="67"/>
      <c r="AW8" s="67"/>
      <c r="AX8" s="67"/>
      <c r="AY8" s="67"/>
      <c r="AZ8" s="67"/>
      <c r="BA8" s="67"/>
      <c r="BB8" s="67"/>
      <c r="BC8" s="7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85"/>
      <c r="BQ8" s="85"/>
      <c r="BR8" s="85"/>
      <c r="BS8" s="85"/>
      <c r="BT8" s="85"/>
      <c r="BU8" s="101"/>
      <c r="BV8" s="102"/>
      <c r="BW8" s="103"/>
      <c r="BX8" s="101"/>
      <c r="BY8" s="102"/>
      <c r="BZ8" s="103"/>
      <c r="CA8" s="101"/>
      <c r="CB8" s="102"/>
      <c r="CC8" s="102"/>
      <c r="CD8" s="102"/>
      <c r="CE8" s="103"/>
      <c r="CF8" s="116"/>
      <c r="CG8" s="117"/>
      <c r="CH8" s="118"/>
      <c r="CI8" s="116"/>
      <c r="CJ8" s="118"/>
      <c r="CK8" s="22"/>
      <c r="CL8" s="1"/>
      <c r="CM8" s="1"/>
      <c r="CN8" s="1"/>
      <c r="CO8" s="1"/>
      <c r="CP8" s="1"/>
    </row>
    <row r="9" s="3" customFormat="1" ht="15" customHeight="1" spans="2:89">
      <c r="B9" s="18"/>
      <c r="C9" s="19"/>
      <c r="D9" s="20"/>
      <c r="E9" s="20"/>
      <c r="F9" s="20"/>
      <c r="G9" s="20"/>
      <c r="H9" s="21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65"/>
      <c r="AT9" s="66"/>
      <c r="AU9" s="64"/>
      <c r="AV9" s="64"/>
      <c r="AW9" s="64"/>
      <c r="AX9" s="64"/>
      <c r="AY9" s="64"/>
      <c r="AZ9" s="64"/>
      <c r="BA9" s="64"/>
      <c r="BB9" s="64"/>
      <c r="BC9" s="76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84"/>
      <c r="BQ9" s="84"/>
      <c r="BR9" s="84"/>
      <c r="BS9" s="84"/>
      <c r="BT9" s="84"/>
      <c r="BU9" s="104"/>
      <c r="BV9" s="105"/>
      <c r="BW9" s="106"/>
      <c r="BX9" s="104"/>
      <c r="BY9" s="105"/>
      <c r="BZ9" s="106"/>
      <c r="CA9" s="104"/>
      <c r="CB9" s="105"/>
      <c r="CC9" s="105"/>
      <c r="CD9" s="105"/>
      <c r="CE9" s="106"/>
      <c r="CF9" s="119"/>
      <c r="CG9" s="120"/>
      <c r="CH9" s="121"/>
      <c r="CI9" s="119"/>
      <c r="CJ9" s="121"/>
      <c r="CK9" s="18"/>
    </row>
    <row r="10" s="4" customFormat="1" ht="15" customHeight="1" spans="2:94">
      <c r="B10" s="29"/>
      <c r="C10" s="30" t="e">
        <f>IF(VLOOKUP($B10,'[2]IR GLASS '!$B$3:$FW$196,3,FALSE)="","",VLOOKUP($B10,'[2]IR GLASS '!$B$3:$FW$196,3,FALSE))</f>
        <v>#N/A</v>
      </c>
      <c r="D10" s="31"/>
      <c r="E10" s="31"/>
      <c r="F10" s="31"/>
      <c r="G10" s="31"/>
      <c r="H10" s="32"/>
      <c r="I10" s="45" t="e">
        <f>IF(VLOOKUP($B10,'[2]IR GLASS '!$B$3:$FW$196,9,FALSE)="","",VLOOKUP($B10,'[2]IR GLASS '!$B$3:$FW$196,9,FALSE))</f>
        <v>#N/A</v>
      </c>
      <c r="J10" s="45"/>
      <c r="K10" s="45"/>
      <c r="L10" s="45" t="e">
        <f>IF(VLOOKUP($B10,'[2]IR GLASS '!$B$3:$FW$196,10,FALSE)="","",VLOOKUP($B10,'[2]IR GLASS '!$B$3:$FW$196,10,FALSE))</f>
        <v>#N/A</v>
      </c>
      <c r="M10" s="45"/>
      <c r="N10" s="45" t="e">
        <f>IF(VLOOKUP($B10,[1]NHG2017数据!$B$5:$GN$236,4,FALSE)="","",VLOOKUP($B10,[1]NHG2017数据!$B$5:$GN$236,4,FALSE))</f>
        <v>#REF!</v>
      </c>
      <c r="O10" s="45" t="e">
        <f>IF(VLOOKUP($B10,'[2]IR GLASS '!$B$3:$FW$196,11,FALSE)="","",VLOOKUP($B10,'[2]IR GLASS '!$B$3:$FW$196,11,FALSE))</f>
        <v>#N/A</v>
      </c>
      <c r="P10" s="45" t="e">
        <f>IF(VLOOKUP($B10,[1]NHG2017数据!$B$5:$GN$236,6,FALSE)="","",VLOOKUP($B10,[1]NHG2017数据!$B$5:$GN$236,6,FALSE))</f>
        <v>#REF!</v>
      </c>
      <c r="Q10" s="45" t="e">
        <f>IF(VLOOKUP($B10,'[2]IR GLASS '!$B$3:$FW$196,12,FALSE)="","",VLOOKUP($B10,'[2]IR GLASS '!$B$3:$FW$196,12,FALSE))</f>
        <v>#N/A</v>
      </c>
      <c r="R10" s="45"/>
      <c r="S10" s="45" t="e">
        <f>IF(VLOOKUP($B10,'[2]IR GLASS '!$B$3:$FW$196,13,FALSE)="","",VLOOKUP($B10,'[2]IR GLASS '!$B$3:$FW$196,13,FALSE))</f>
        <v>#N/A</v>
      </c>
      <c r="T10" s="45"/>
      <c r="U10" s="45" t="e">
        <f>IF(VLOOKUP($B10,'[2]IR GLASS '!$B$3:$FW$196,14,FALSE)="","",VLOOKUP($B10,'[2]IR GLASS '!$B$3:$FW$196,14,FALSE))</f>
        <v>#N/A</v>
      </c>
      <c r="V10" s="45"/>
      <c r="W10" s="45"/>
      <c r="X10" s="45" t="e">
        <f>IF(VLOOKUP($B10,'[2]IR GLASS '!$B$3:$FW$196,15,FALSE)="","",VLOOKUP($B10,'[2]IR GLASS '!$B$3:$FW$196,15,FALSE))</f>
        <v>#N/A</v>
      </c>
      <c r="Y10" s="45"/>
      <c r="Z10" s="45" t="e">
        <f>IF(VLOOKUP($B10,'[2]IR GLASS '!$B$3:$FW$196,16,FALSE)="","",VLOOKUP($B10,'[2]IR GLASS '!$B$3:$FW$196,16,FALSE))</f>
        <v>#N/A</v>
      </c>
      <c r="AA10" s="45"/>
      <c r="AB10" s="45"/>
      <c r="AC10" s="45" t="e">
        <f>IF(VLOOKUP($B10,'[2]IR GLASS '!$B$3:$FW$196,17,FALSE)="","",VLOOKUP($B10,'[2]IR GLASS '!$B$3:$FW$196,17,FALSE))</f>
        <v>#N/A</v>
      </c>
      <c r="AD10" s="45"/>
      <c r="AE10" s="45"/>
      <c r="AF10" s="45"/>
      <c r="AG10" s="45" t="e">
        <f>IF(VLOOKUP($B10,'[2]IR GLASS '!$B$3:$FW$196,18,FALSE)="","",VLOOKUP($B10,'[2]IR GLASS '!$B$3:$FW$196,18,FALSE))</f>
        <v>#N/A</v>
      </c>
      <c r="AH10" s="45"/>
      <c r="AI10" s="45"/>
      <c r="AJ10" s="45" t="e">
        <f>IF(VLOOKUP($CK10,'[2]IR GLASS '!$B$3:$FW$196,19,FALSE)="","",VLOOKUP($CK10,'[2]IR GLASS '!$B$3:$FW$196,19,FALSE))</f>
        <v>#N/A</v>
      </c>
      <c r="AK10" s="45"/>
      <c r="AL10" s="45"/>
      <c r="AM10" s="45"/>
      <c r="AN10" s="45"/>
      <c r="AO10" s="45" t="e">
        <f>IF(VLOOKUP($CK10,'[2]IR GLASS '!$B$3:$FW$196,20,FALSE)="","",VLOOKUP($CK10,'[2]IR GLASS '!$B$3:$FW$196,20,FALSE))</f>
        <v>#N/A</v>
      </c>
      <c r="AP10" s="45"/>
      <c r="AQ10" s="45"/>
      <c r="AR10" s="45"/>
      <c r="AS10" s="68"/>
      <c r="AT10" s="69"/>
      <c r="AU10" s="67"/>
      <c r="AV10" s="67"/>
      <c r="AW10" s="67"/>
      <c r="AX10" s="67"/>
      <c r="AY10" s="67"/>
      <c r="AZ10" s="67"/>
      <c r="BA10" s="67"/>
      <c r="BB10" s="67"/>
      <c r="BC10" s="7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85"/>
      <c r="BQ10" s="85"/>
      <c r="BR10" s="85"/>
      <c r="BS10" s="85"/>
      <c r="BT10" s="85"/>
      <c r="BU10" s="101"/>
      <c r="BV10" s="102"/>
      <c r="BW10" s="103"/>
      <c r="BX10" s="101"/>
      <c r="BY10" s="102"/>
      <c r="BZ10" s="103"/>
      <c r="CA10" s="101"/>
      <c r="CB10" s="102"/>
      <c r="CC10" s="102"/>
      <c r="CD10" s="102"/>
      <c r="CE10" s="103"/>
      <c r="CF10" s="116"/>
      <c r="CG10" s="117"/>
      <c r="CH10" s="118"/>
      <c r="CI10" s="116"/>
      <c r="CJ10" s="118"/>
      <c r="CK10" s="125">
        <f>B10</f>
        <v>0</v>
      </c>
      <c r="CL10" s="6"/>
      <c r="CM10" s="6"/>
      <c r="CN10" s="6"/>
      <c r="CO10" s="6"/>
      <c r="CP10" s="6"/>
    </row>
    <row r="11" s="1" customFormat="1" ht="14.1" customHeight="1" spans="2:89">
      <c r="B11" s="33" t="s">
        <v>1649</v>
      </c>
      <c r="C11" s="34" t="s">
        <v>1935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70"/>
      <c r="AT11" s="2"/>
      <c r="AU11" s="33" t="s">
        <v>1684</v>
      </c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 t="s">
        <v>1685</v>
      </c>
      <c r="BO11" s="33"/>
      <c r="BP11" s="33"/>
      <c r="BQ11" s="33"/>
      <c r="BR11" s="33"/>
      <c r="BS11" s="86" t="s">
        <v>1989</v>
      </c>
      <c r="BT11" s="86"/>
      <c r="BU11" s="86"/>
      <c r="BV11" s="86" t="s">
        <v>1990</v>
      </c>
      <c r="BW11" s="86"/>
      <c r="BX11" s="86"/>
      <c r="BY11" s="86"/>
      <c r="BZ11" s="107" t="s">
        <v>1973</v>
      </c>
      <c r="CA11" s="107"/>
      <c r="CB11" s="107"/>
      <c r="CC11" s="86" t="s">
        <v>1991</v>
      </c>
      <c r="CD11" s="107"/>
      <c r="CE11" s="107"/>
      <c r="CF11" s="107"/>
      <c r="CG11" s="107"/>
      <c r="CH11" s="86" t="s">
        <v>1992</v>
      </c>
      <c r="CI11" s="107"/>
      <c r="CJ11" s="107" t="s">
        <v>1978</v>
      </c>
      <c r="CK11" s="33" t="s">
        <v>1649</v>
      </c>
    </row>
    <row r="12" s="1" customFormat="1" ht="14.1" customHeight="1" spans="2:89">
      <c r="B12" s="8"/>
      <c r="C12" s="36">
        <v>12.5</v>
      </c>
      <c r="D12" s="37"/>
      <c r="E12" s="36">
        <v>12</v>
      </c>
      <c r="F12" s="38"/>
      <c r="G12" s="38"/>
      <c r="H12" s="37"/>
      <c r="I12" s="36">
        <v>11</v>
      </c>
      <c r="J12" s="38"/>
      <c r="K12" s="37"/>
      <c r="L12" s="46">
        <v>10</v>
      </c>
      <c r="M12" s="47"/>
      <c r="N12" s="48"/>
      <c r="O12" s="36">
        <v>9</v>
      </c>
      <c r="P12" s="37"/>
      <c r="Q12" s="36">
        <v>8</v>
      </c>
      <c r="R12" s="37"/>
      <c r="S12" s="36">
        <v>7</v>
      </c>
      <c r="T12" s="37"/>
      <c r="U12" s="36">
        <v>6</v>
      </c>
      <c r="V12" s="38"/>
      <c r="W12" s="37"/>
      <c r="X12" s="36">
        <v>5</v>
      </c>
      <c r="Y12" s="37"/>
      <c r="Z12" s="36">
        <v>3</v>
      </c>
      <c r="AA12" s="38"/>
      <c r="AB12" s="37"/>
      <c r="AC12" s="36">
        <v>2</v>
      </c>
      <c r="AD12" s="38"/>
      <c r="AE12" s="38"/>
      <c r="AF12" s="37"/>
      <c r="AG12" s="36">
        <v>1</v>
      </c>
      <c r="AH12" s="38"/>
      <c r="AI12" s="37"/>
      <c r="AJ12" s="55">
        <v>0.8</v>
      </c>
      <c r="AK12" s="56"/>
      <c r="AL12" s="56"/>
      <c r="AM12" s="56"/>
      <c r="AN12" s="57"/>
      <c r="AO12" s="55">
        <v>0.6</v>
      </c>
      <c r="AP12" s="56"/>
      <c r="AQ12" s="56"/>
      <c r="AR12" s="57"/>
      <c r="AT12" s="2"/>
      <c r="AU12" s="71" t="s">
        <v>1979</v>
      </c>
      <c r="AV12" s="72"/>
      <c r="AW12" s="72"/>
      <c r="AX12" s="72"/>
      <c r="AY12" s="72"/>
      <c r="AZ12" s="78"/>
      <c r="BA12" s="71" t="s">
        <v>1980</v>
      </c>
      <c r="BB12" s="72"/>
      <c r="BC12" s="72"/>
      <c r="BD12" s="78"/>
      <c r="BE12" s="71" t="s">
        <v>1981</v>
      </c>
      <c r="BF12" s="80"/>
      <c r="BG12" s="80"/>
      <c r="BH12" s="80"/>
      <c r="BI12" s="81"/>
      <c r="BJ12" s="71" t="s">
        <v>1982</v>
      </c>
      <c r="BK12" s="80"/>
      <c r="BL12" s="80"/>
      <c r="BM12" s="81"/>
      <c r="BN12" s="71" t="s">
        <v>1983</v>
      </c>
      <c r="BO12" s="72"/>
      <c r="BP12" s="78"/>
      <c r="BQ12" s="71" t="s">
        <v>1984</v>
      </c>
      <c r="BR12" s="78"/>
      <c r="BS12" s="87" t="s">
        <v>1969</v>
      </c>
      <c r="BT12" s="87"/>
      <c r="BU12" s="87"/>
      <c r="BV12" s="87" t="s">
        <v>1970</v>
      </c>
      <c r="BW12" s="87"/>
      <c r="BX12" s="87"/>
      <c r="BY12" s="87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8"/>
    </row>
    <row r="13" s="5" customFormat="1" ht="14.1" customHeight="1" spans="2:94">
      <c r="B13" s="8"/>
      <c r="C13" s="36" t="s">
        <v>1946</v>
      </c>
      <c r="D13" s="37"/>
      <c r="E13" s="36" t="s">
        <v>1946</v>
      </c>
      <c r="F13" s="38"/>
      <c r="G13" s="38"/>
      <c r="H13" s="37"/>
      <c r="I13" s="36" t="s">
        <v>1946</v>
      </c>
      <c r="J13" s="38"/>
      <c r="K13" s="37"/>
      <c r="L13" s="46" t="s">
        <v>1946</v>
      </c>
      <c r="M13" s="47"/>
      <c r="N13" s="48"/>
      <c r="O13" s="36" t="s">
        <v>1946</v>
      </c>
      <c r="P13" s="37"/>
      <c r="Q13" s="36" t="s">
        <v>1946</v>
      </c>
      <c r="R13" s="37"/>
      <c r="S13" s="36" t="s">
        <v>1946</v>
      </c>
      <c r="T13" s="37"/>
      <c r="U13" s="36" t="s">
        <v>1946</v>
      </c>
      <c r="V13" s="38"/>
      <c r="W13" s="37"/>
      <c r="X13" s="36" t="s">
        <v>1946</v>
      </c>
      <c r="Y13" s="37"/>
      <c r="Z13" s="36" t="s">
        <v>1946</v>
      </c>
      <c r="AA13" s="38"/>
      <c r="AB13" s="37"/>
      <c r="AC13" s="36" t="s">
        <v>1946</v>
      </c>
      <c r="AD13" s="38"/>
      <c r="AE13" s="38"/>
      <c r="AF13" s="37"/>
      <c r="AG13" s="36" t="s">
        <v>1946</v>
      </c>
      <c r="AH13" s="38"/>
      <c r="AI13" s="37"/>
      <c r="AJ13" s="55" t="s">
        <v>1946</v>
      </c>
      <c r="AK13" s="56"/>
      <c r="AL13" s="56"/>
      <c r="AM13" s="56"/>
      <c r="AN13" s="57"/>
      <c r="AO13" s="55" t="s">
        <v>1946</v>
      </c>
      <c r="AP13" s="56"/>
      <c r="AQ13" s="56"/>
      <c r="AR13" s="57"/>
      <c r="AS13" s="1"/>
      <c r="AT13" s="2"/>
      <c r="AU13" s="73"/>
      <c r="AV13" s="74"/>
      <c r="AW13" s="74"/>
      <c r="AX13" s="74"/>
      <c r="AY13" s="74"/>
      <c r="AZ13" s="79"/>
      <c r="BA13" s="73"/>
      <c r="BB13" s="74"/>
      <c r="BC13" s="74"/>
      <c r="BD13" s="79"/>
      <c r="BE13" s="34"/>
      <c r="BF13" s="35"/>
      <c r="BG13" s="35"/>
      <c r="BH13" s="35"/>
      <c r="BI13" s="70"/>
      <c r="BJ13" s="34"/>
      <c r="BK13" s="35"/>
      <c r="BL13" s="35"/>
      <c r="BM13" s="70"/>
      <c r="BN13" s="73"/>
      <c r="BO13" s="74"/>
      <c r="BP13" s="79"/>
      <c r="BQ13" s="73"/>
      <c r="BR13" s="79"/>
      <c r="BS13" s="87"/>
      <c r="BT13" s="87"/>
      <c r="BU13" s="87"/>
      <c r="BV13" s="87"/>
      <c r="BW13" s="87"/>
      <c r="BX13" s="87"/>
      <c r="BY13" s="87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8"/>
      <c r="CL13" s="1"/>
      <c r="CM13" s="1"/>
      <c r="CN13" s="1"/>
      <c r="CO13" s="1"/>
      <c r="CP13" s="1"/>
    </row>
    <row r="14" s="3" customFormat="1" ht="15" customHeight="1" spans="2:89">
      <c r="B14" s="18" t="str">
        <f>B5</f>
        <v>IRG208</v>
      </c>
      <c r="C14" s="39">
        <f>IF(VLOOKUP($B5,'IR GLASS '!$B$3:$FW$192,138,FALSE)="","",VLOOKUP($B5,'IR GLASS '!$B$3:$FW$192,138,FALSE))</f>
        <v>0.678</v>
      </c>
      <c r="D14" s="39"/>
      <c r="E14" s="39">
        <f>IF(VLOOKUP($B5,'IR GLASS '!$B$3:$FW$192,139,FALSE)="","",VLOOKUP($B5,'IR GLASS '!$B$3:$FW$192,139,FALSE))</f>
        <v>0.82</v>
      </c>
      <c r="F14" s="39"/>
      <c r="G14" s="39"/>
      <c r="H14" s="39"/>
      <c r="I14" s="39">
        <f>IF(VLOOKUP($B5,'IR GLASS '!$B$3:$FW$192,141,FALSE)="","",VLOOKUP($B5,'IR GLASS '!$B$3:$FW$192,141,FALSE))</f>
        <v>0.928</v>
      </c>
      <c r="J14" s="39"/>
      <c r="K14" s="39"/>
      <c r="L14" s="49">
        <f>IF(VLOOKUP($B5,'IR GLASS '!$B$3:$FW$192,143,FALSE)="","",VLOOKUP($B5,'IR GLASS '!$B$3:$FW$192,143,FALSE))</f>
        <v>0.916</v>
      </c>
      <c r="M14" s="49"/>
      <c r="N14" s="49"/>
      <c r="O14" s="39">
        <f>IF(VLOOKUP($B5,'IR GLASS '!$B$3:$FW$192,145,FALSE)="","",VLOOKUP($B5,'IR GLASS '!$B$3:$FW$192,145,FALSE))</f>
        <v>0.967</v>
      </c>
      <c r="P14" s="39"/>
      <c r="Q14" s="39">
        <f>IF(VLOOKUP($B5,'IR GLASS '!$B$3:$FW$192,147,FALSE)="","",VLOOKUP($B5,'IR GLASS '!$B$3:$FW$192,147,FALSE))</f>
        <v>0.999</v>
      </c>
      <c r="R14" s="39"/>
      <c r="S14" s="39">
        <f>IF(VLOOKUP($B5,'IR GLASS '!$B$3:$FW$192,149,FALSE)="","",VLOOKUP($B5,'IR GLASS '!$B$3:$FW$192,149,FALSE))</f>
        <v>0.999</v>
      </c>
      <c r="T14" s="39"/>
      <c r="U14" s="39">
        <f>IF(VLOOKUP($B5,'IR GLASS '!$B$3:$FW$192,151,FALSE)="","",VLOOKUP($B5,'IR GLASS '!$B$3:$FW$192,151,FALSE))</f>
        <v>0.999</v>
      </c>
      <c r="V14" s="39"/>
      <c r="W14" s="39"/>
      <c r="X14" s="52">
        <f>IF(VLOOKUP($B5,'IR GLASS '!$B$3:$FW$192,153,FALSE)="","",VLOOKUP($B5,'IR GLASS '!$B$3:$FW$192,153,FALSE))</f>
        <v>0.999</v>
      </c>
      <c r="Y14" s="52"/>
      <c r="Z14" s="39">
        <f>IF(VLOOKUP($B5,'IR GLASS '!$B$3:$FW$192,161,FALSE)="","",VLOOKUP($B5,'IR GLASS '!$B$3:$FW$192,161,FALSE))</f>
        <v>0.999</v>
      </c>
      <c r="AA14" s="39"/>
      <c r="AB14" s="39"/>
      <c r="AC14" s="39">
        <f>IF(VLOOKUP($B5,'IR GLASS '!$B$3:$FW$192,166,FALSE)="","",VLOOKUP($B5,'IR GLASS '!$B$3:$FW$192,166,FALSE))</f>
        <v>0.999</v>
      </c>
      <c r="AD14" s="39"/>
      <c r="AE14" s="39"/>
      <c r="AF14" s="39"/>
      <c r="AG14" s="39">
        <f>IF(VLOOKUP($B5,'IR GLASS '!$B$3:$FW$192,170,FALSE)="","",VLOOKUP($B5,'IR GLASS '!$B$3:$FW$192,170,FALSE))</f>
        <v>0.999</v>
      </c>
      <c r="AH14" s="39"/>
      <c r="AI14" s="39"/>
      <c r="AJ14" s="58">
        <f>IF(VLOOKUP($B5,'IR GLASS '!$B$3:$FW$192,171,FALSE)="","",VLOOKUP($B5,'IR GLASS '!$B$3:$FW$192,171,FALSE))</f>
        <v>0.999</v>
      </c>
      <c r="AK14" s="58"/>
      <c r="AL14" s="58"/>
      <c r="AM14" s="58"/>
      <c r="AN14" s="58"/>
      <c r="AO14" s="58">
        <f>IF(VLOOKUP($B5,'IR GLASS '!$B$3:$FW$192,174,FALSE)="","",VLOOKUP($B5,'IR GLASS '!$B$3:$FW$192,174,FALSE))</f>
        <v>0.833</v>
      </c>
      <c r="AP14" s="58"/>
      <c r="AQ14" s="58"/>
      <c r="AR14" s="58"/>
      <c r="AS14" s="1"/>
      <c r="AT14" s="2"/>
      <c r="AU14" s="58">
        <f>IF(VLOOKUP($B5,'IR GLASS '!$B$3:$FW$192,82,FALSE)="","",VLOOKUP($B5,'IR GLASS '!$B$3:$FW$192,82,FALSE))</f>
        <v>1</v>
      </c>
      <c r="AV14" s="58"/>
      <c r="AW14" s="58"/>
      <c r="AX14" s="58"/>
      <c r="AY14" s="58"/>
      <c r="AZ14" s="58"/>
      <c r="BA14" s="58">
        <f>IF(VLOOKUP($B5,'IR GLASS '!$B$3:$FW$192,83,FALSE)="","",VLOOKUP($B5,'IR GLASS '!$B$3:$FW$192,83,FALSE))</f>
        <v>1</v>
      </c>
      <c r="BB14" s="58"/>
      <c r="BC14" s="58"/>
      <c r="BD14" s="58"/>
      <c r="BE14" s="58">
        <f>IF(VLOOKUP($B5,'IR GLASS '!$B$3:$FW$192,87,FALSE)="","",VLOOKUP($B5,'IR GLASS '!$B$3:$FW$192,87,FALSE))</f>
        <v>2</v>
      </c>
      <c r="BF14" s="58"/>
      <c r="BG14" s="58"/>
      <c r="BH14" s="58"/>
      <c r="BI14" s="58"/>
      <c r="BJ14" s="58">
        <f>IF(VLOOKUP($B5,'IR GLASS '!$B$3:$FW$192,86,FALSE)="","",VLOOKUP($B5,'IR GLASS '!$B$3:$FW$192,86,FALSE))</f>
        <v>4</v>
      </c>
      <c r="BK14" s="58"/>
      <c r="BL14" s="58"/>
      <c r="BM14" s="58"/>
      <c r="BN14" s="58">
        <f>IF(VLOOKUP($B5,'IR GLASS '!$B$3:$FW$192,84,FALSE)="","",VLOOKUP($B5,'IR GLASS '!$B$3:$FW$192,84,FALSE))</f>
        <v>1</v>
      </c>
      <c r="BO14" s="58"/>
      <c r="BP14" s="58"/>
      <c r="BQ14" s="18">
        <f>IF(VLOOKUP($B5,'IR GLASS '!$B$3:$FW$192,85,FALSE)="","",VLOOKUP($B5,'IR GLASS '!$B$3:$FW$192,85,FALSE))</f>
        <v>1</v>
      </c>
      <c r="BR14" s="18"/>
      <c r="BS14" s="88">
        <f>IF(VLOOKUP($B5,'IR GLASS '!$B$3:$FW$192,90,FALSE)="","",VLOOKUP($B5,'IR GLASS '!$B$3:$FW$192,90,FALSE))</f>
        <v>205</v>
      </c>
      <c r="BT14" s="89"/>
      <c r="BU14" s="108"/>
      <c r="BV14" s="109">
        <f>IF(VLOOKUP($B5,'IR GLASS '!$B$3:$FW$192,91,FALSE)="","",VLOOKUP($B5,'IR GLASS '!$B$3:$FW$192,91,FALSE))</f>
        <v>227</v>
      </c>
      <c r="BW14" s="110"/>
      <c r="BX14" s="110"/>
      <c r="BY14" s="111"/>
      <c r="BZ14" s="18">
        <f>IF(VLOOKUP($B5,'IR GLASS '!$B$3:$FW$192,120,FALSE)="","",VLOOKUP($B5,'IR GLASS '!$B$3:$FW$192,120,FALSE))</f>
        <v>112</v>
      </c>
      <c r="CA14" s="18"/>
      <c r="CB14" s="18"/>
      <c r="CC14" s="18">
        <f>IF(VLOOKUP($B5,'IR GLASS '!$B$3:$FW$192,122,FALSE)="","",VLOOKUP($B5,'IR GLASS '!$B$3:$FW$192,122,FALSE))</f>
        <v>17.1</v>
      </c>
      <c r="CD14" s="18"/>
      <c r="CE14" s="18"/>
      <c r="CF14" s="18"/>
      <c r="CG14" s="18"/>
      <c r="CH14" s="18">
        <f>IF(VLOOKUP($B5,'IR GLASS '!$B$3:$FW$192,123,FALSE)="","",VLOOKUP($B5,'IR GLASS '!$B$3:$FW$192,123,FALSE))</f>
        <v>6.5</v>
      </c>
      <c r="CI14" s="18"/>
      <c r="CJ14" s="122">
        <f>IF(VLOOKUP($B5,'IR GLASS '!$B$3:$FW$192,129,FALSE)="","",VLOOKUP($B5,'IR GLASS '!$B$3:$FW$192,129,FALSE))</f>
        <v>3.19</v>
      </c>
      <c r="CK14" s="18" t="str">
        <f>CK5</f>
        <v>IRG208</v>
      </c>
    </row>
    <row r="15" s="3" customFormat="1" ht="15" customHeight="1" spans="2:94">
      <c r="B15" s="22"/>
      <c r="C15" s="40"/>
      <c r="D15" s="40"/>
      <c r="E15" s="40"/>
      <c r="F15" s="40"/>
      <c r="G15" s="40"/>
      <c r="H15" s="40"/>
      <c r="I15" s="40"/>
      <c r="J15" s="40"/>
      <c r="K15" s="40"/>
      <c r="L15" s="50"/>
      <c r="M15" s="50"/>
      <c r="N15" s="50"/>
      <c r="O15" s="40"/>
      <c r="P15" s="40"/>
      <c r="Q15" s="40"/>
      <c r="R15" s="40"/>
      <c r="S15" s="40"/>
      <c r="T15" s="40"/>
      <c r="U15" s="40"/>
      <c r="V15" s="40"/>
      <c r="W15" s="40"/>
      <c r="X15" s="53"/>
      <c r="Y15" s="53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59"/>
      <c r="AK15" s="59"/>
      <c r="AL15" s="59"/>
      <c r="AM15" s="59"/>
      <c r="AN15" s="59"/>
      <c r="AO15" s="59"/>
      <c r="AP15" s="59"/>
      <c r="AQ15" s="59"/>
      <c r="AR15" s="59"/>
      <c r="AS15" s="1"/>
      <c r="AT15" s="2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22"/>
      <c r="BR15" s="22"/>
      <c r="BS15" s="90"/>
      <c r="BT15" s="91"/>
      <c r="BU15" s="112"/>
      <c r="BV15" s="90"/>
      <c r="BW15" s="91"/>
      <c r="BX15" s="91"/>
      <c r="BY15" s="11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123"/>
      <c r="CK15" s="22"/>
      <c r="CL15" s="1"/>
      <c r="CM15" s="1"/>
      <c r="CN15" s="1"/>
      <c r="CO15" s="1"/>
      <c r="CP15" s="1"/>
    </row>
    <row r="16" s="3" customFormat="1" ht="15" customHeight="1" spans="2:89">
      <c r="B16" s="18"/>
      <c r="C16" s="39"/>
      <c r="D16" s="39"/>
      <c r="E16" s="39"/>
      <c r="F16" s="39"/>
      <c r="G16" s="39"/>
      <c r="H16" s="39"/>
      <c r="I16" s="39"/>
      <c r="J16" s="39"/>
      <c r="K16" s="39"/>
      <c r="L16" s="49"/>
      <c r="M16" s="49"/>
      <c r="N16" s="49"/>
      <c r="O16" s="39"/>
      <c r="P16" s="39"/>
      <c r="Q16" s="39"/>
      <c r="R16" s="39"/>
      <c r="S16" s="39"/>
      <c r="T16" s="39"/>
      <c r="U16" s="39"/>
      <c r="V16" s="39"/>
      <c r="W16" s="39"/>
      <c r="X16" s="52"/>
      <c r="Y16" s="52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58"/>
      <c r="AK16" s="58"/>
      <c r="AL16" s="58"/>
      <c r="AM16" s="58"/>
      <c r="AN16" s="58"/>
      <c r="AO16" s="58"/>
      <c r="AP16" s="58"/>
      <c r="AQ16" s="58"/>
      <c r="AR16" s="58"/>
      <c r="AS16" s="1"/>
      <c r="AT16" s="2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18"/>
      <c r="BR16" s="18"/>
      <c r="BS16" s="88"/>
      <c r="BT16" s="89"/>
      <c r="BU16" s="108"/>
      <c r="BV16" s="109"/>
      <c r="BW16" s="110"/>
      <c r="BX16" s="110"/>
      <c r="BY16" s="111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22"/>
      <c r="CK16" s="18"/>
    </row>
    <row r="17" s="3" customFormat="1" ht="15" customHeight="1" spans="2:94">
      <c r="B17" s="22"/>
      <c r="C17" s="40"/>
      <c r="D17" s="40"/>
      <c r="E17" s="40"/>
      <c r="F17" s="40"/>
      <c r="G17" s="40"/>
      <c r="H17" s="40"/>
      <c r="I17" s="40"/>
      <c r="J17" s="40"/>
      <c r="K17" s="40"/>
      <c r="L17" s="50"/>
      <c r="M17" s="50"/>
      <c r="N17" s="50"/>
      <c r="O17" s="40"/>
      <c r="P17" s="40"/>
      <c r="Q17" s="40"/>
      <c r="R17" s="40"/>
      <c r="S17" s="40"/>
      <c r="T17" s="40"/>
      <c r="U17" s="40"/>
      <c r="V17" s="40"/>
      <c r="W17" s="40"/>
      <c r="X17" s="53"/>
      <c r="Y17" s="53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59"/>
      <c r="AK17" s="59"/>
      <c r="AL17" s="59"/>
      <c r="AM17" s="59"/>
      <c r="AN17" s="59"/>
      <c r="AO17" s="59"/>
      <c r="AP17" s="59"/>
      <c r="AQ17" s="59"/>
      <c r="AR17" s="59"/>
      <c r="AS17" s="1"/>
      <c r="AT17" s="2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22"/>
      <c r="BR17" s="22"/>
      <c r="BS17" s="90"/>
      <c r="BT17" s="91"/>
      <c r="BU17" s="112"/>
      <c r="BV17" s="90"/>
      <c r="BW17" s="91"/>
      <c r="BX17" s="91"/>
      <c r="BY17" s="11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123"/>
      <c r="CK17" s="22"/>
      <c r="CL17" s="1"/>
      <c r="CM17" s="1"/>
      <c r="CN17" s="1"/>
      <c r="CO17" s="1"/>
      <c r="CP17" s="1"/>
    </row>
    <row r="18" s="3" customFormat="1" ht="15" customHeight="1" spans="2:89">
      <c r="B18" s="18"/>
      <c r="C18" s="39"/>
      <c r="D18" s="39"/>
      <c r="E18" s="39"/>
      <c r="F18" s="39"/>
      <c r="G18" s="39"/>
      <c r="H18" s="39"/>
      <c r="I18" s="39"/>
      <c r="J18" s="39"/>
      <c r="K18" s="39"/>
      <c r="L18" s="49"/>
      <c r="M18" s="49"/>
      <c r="N18" s="49"/>
      <c r="O18" s="39"/>
      <c r="P18" s="39"/>
      <c r="Q18" s="39"/>
      <c r="R18" s="39"/>
      <c r="S18" s="39"/>
      <c r="T18" s="39"/>
      <c r="U18" s="39"/>
      <c r="V18" s="39"/>
      <c r="W18" s="39"/>
      <c r="X18" s="52"/>
      <c r="Y18" s="52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58"/>
      <c r="AK18" s="58"/>
      <c r="AL18" s="58"/>
      <c r="AM18" s="58"/>
      <c r="AN18" s="58"/>
      <c r="AO18" s="58"/>
      <c r="AP18" s="58"/>
      <c r="AQ18" s="58"/>
      <c r="AR18" s="58"/>
      <c r="AS18" s="1"/>
      <c r="AT18" s="2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18"/>
      <c r="BR18" s="18"/>
      <c r="BS18" s="88"/>
      <c r="BT18" s="89"/>
      <c r="BU18" s="108"/>
      <c r="BV18" s="109"/>
      <c r="BW18" s="110"/>
      <c r="BX18" s="110"/>
      <c r="BY18" s="111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22"/>
      <c r="CK18" s="18"/>
    </row>
    <row r="19" s="6" customFormat="1" ht="15" customHeight="1" spans="2:89">
      <c r="B19" s="29">
        <f>B10</f>
        <v>0</v>
      </c>
      <c r="C19" s="41" t="e">
        <f>IF(VLOOKUP($B10,'[2]IR GLASS '!$B$3:$FW$196,101,FALSE)="","",VLOOKUP($B10,'[2]IR GLASS '!$B$3:$FW$196,101,FALSE))</f>
        <v>#N/A</v>
      </c>
      <c r="D19" s="41"/>
      <c r="E19" s="41" t="e">
        <f>IF(VLOOKUP($B10,'[2]IR GLASS '!$B$3:$FW$196,102,FALSE)="","",VLOOKUP($B10,'[2]IR GLASS '!$B$3:$FW$196,102,FALSE))</f>
        <v>#N/A</v>
      </c>
      <c r="F19" s="41"/>
      <c r="G19" s="41"/>
      <c r="H19" s="41"/>
      <c r="I19" s="41" t="e">
        <f>IF(VLOOKUP($B10,'[2]IR GLASS '!$B$3:$FW$196,103,FALSE)="","",VLOOKUP($B10,'[2]IR GLASS '!$B$3:$FW$196,103,FALSE))</f>
        <v>#N/A</v>
      </c>
      <c r="J19" s="41"/>
      <c r="K19" s="41"/>
      <c r="L19" s="41" t="e">
        <f>IF(VLOOKUP($B10,'[2]IR GLASS '!$B$3:$FW$196,105,FALSE)="","",VLOOKUP($B10,'[2]IR GLASS '!$B$3:$FW$196,105,FALSE))</f>
        <v>#N/A</v>
      </c>
      <c r="M19" s="41"/>
      <c r="N19" s="41"/>
      <c r="O19" s="41" t="e">
        <f>IF(VLOOKUP($B10,'[2]IR GLASS '!$B$3:$FW$196,107,FALSE)="","",VLOOKUP($B10,'[2]IR GLASS '!$B$3:$FW$196,107,FALSE))</f>
        <v>#N/A</v>
      </c>
      <c r="P19" s="41"/>
      <c r="Q19" s="41" t="e">
        <f>IF(VLOOKUP($B10,'[2]IR GLASS '!$B$3:$FW$196,109,FALSE)="","",VLOOKUP($B10,'[2]IR GLASS '!$B$3:$FW$196,109,FALSE))</f>
        <v>#N/A</v>
      </c>
      <c r="R19" s="41"/>
      <c r="S19" s="41" t="e">
        <f>IF(VLOOKUP($B10,'[2]IR GLASS '!$B$3:$FW$196,112,FALSE)="","",VLOOKUP($B10,'[2]IR GLASS '!$B$3:$FW$196,112,FALSE))</f>
        <v>#N/A</v>
      </c>
      <c r="T19" s="41"/>
      <c r="U19" s="41" t="e">
        <f>IF(VLOOKUP($B10,'[2]IR GLASS '!$B$3:$FW$196,114,FALSE)="","",VLOOKUP($B10,'[2]IR GLASS '!$B$3:$FW$196,114,FALSE))</f>
        <v>#N/A</v>
      </c>
      <c r="V19" s="41"/>
      <c r="W19" s="41"/>
      <c r="X19" s="54" t="e">
        <f>IF(VLOOKUP($B10,'[2]IR GLASS '!$B$3:$FW$196,116,FALSE)="","",VLOOKUP($B10,'[2]IR GLASS '!$B$3:$FW$196,116,FALSE))</f>
        <v>#N/A</v>
      </c>
      <c r="Y19" s="54"/>
      <c r="Z19" s="41" t="e">
        <f>IF(VLOOKUP($B10,'[2]IR GLASS '!$B$3:$FW$196,118,FALSE)="","",VLOOKUP($B10,'[2]IR GLASS '!$B$3:$FW$196,118,FALSE))</f>
        <v>#N/A</v>
      </c>
      <c r="AA19" s="41"/>
      <c r="AB19" s="41"/>
      <c r="AC19" s="41" t="e">
        <f>IF(VLOOKUP($B10,'[2]IR GLASS '!$B$3:$FW$196,123,FALSE)="","",VLOOKUP($B10,'[2]IR GLASS '!$B$3:$FW$196,123,FALSE))</f>
        <v>#N/A</v>
      </c>
      <c r="AD19" s="41"/>
      <c r="AE19" s="41"/>
      <c r="AF19" s="41"/>
      <c r="AG19" s="41" t="e">
        <f>IF(VLOOKUP($B10,'[2]IR GLASS '!$B$3:$FW$196,125,FALSE)="","",VLOOKUP($B10,'[2]IR GLASS '!$B$3:$FW$196,125,FALSE))</f>
        <v>#N/A</v>
      </c>
      <c r="AH19" s="41"/>
      <c r="AI19" s="41"/>
      <c r="AJ19" s="60"/>
      <c r="AK19" s="60"/>
      <c r="AL19" s="60"/>
      <c r="AM19" s="60"/>
      <c r="AN19" s="60"/>
      <c r="AO19" s="60"/>
      <c r="AP19" s="60"/>
      <c r="AQ19" s="60"/>
      <c r="AR19" s="60"/>
      <c r="AT19" s="4"/>
      <c r="AU19" s="60" t="e">
        <f>IF(VLOOKUP($CK10,'[2]IR GLASS '!$B$3:$FW$196,57,FALSE)="","",VLOOKUP($CK10,'[2]IR GLASS '!$B$3:$FW$196,57,FALSE))</f>
        <v>#N/A</v>
      </c>
      <c r="AV19" s="60"/>
      <c r="AW19" s="60"/>
      <c r="AX19" s="60"/>
      <c r="AY19" s="60"/>
      <c r="AZ19" s="60"/>
      <c r="BA19" s="60" t="e">
        <f>IF(VLOOKUP($CK10,'[2]IR GLASS '!$B$3:$FW$196,58,FALSE)="","",VLOOKUP($CK10,'[2]IR GLASS '!$B$3:$FW$196,58,FALSE))</f>
        <v>#N/A</v>
      </c>
      <c r="BB19" s="60"/>
      <c r="BC19" s="60"/>
      <c r="BD19" s="60"/>
      <c r="BE19" s="60" t="e">
        <f>IF(VLOOKUP($CK10,'[2]IR GLASS '!$B$3:$FW$196,59,FALSE)="","",VLOOKUP($CK10,'[2]IR GLASS '!$B$3:$FW$196,59,FALSE))</f>
        <v>#N/A</v>
      </c>
      <c r="BF19" s="60"/>
      <c r="BG19" s="60"/>
      <c r="BH19" s="60"/>
      <c r="BI19" s="60"/>
      <c r="BJ19" s="60" t="e">
        <f>IF(VLOOKUP($CK10,'[2]IR GLASS '!$B$3:$FW$196,60,FALSE)="","",VLOOKUP($CK10,'[2]IR GLASS '!$B$3:$FW$196,60,FALSE))</f>
        <v>#N/A</v>
      </c>
      <c r="BK19" s="60"/>
      <c r="BL19" s="60"/>
      <c r="BM19" s="60"/>
      <c r="BN19" s="60" t="e">
        <f>IF(VLOOKUP($CK10,'[2]IR GLASS '!$B$3:$FW$196,61,FALSE)="","",VLOOKUP($CK10,'[2]IR GLASS '!$B$3:$FW$196,61,FALSE))</f>
        <v>#N/A</v>
      </c>
      <c r="BO19" s="60"/>
      <c r="BP19" s="60"/>
      <c r="BQ19" s="29" t="e">
        <f>IF(VLOOKUP($CK10,'[2]IR GLASS '!$B$3:$FW$196,62,FALSE)="","",VLOOKUP($CK10,'[2]IR GLASS '!$B$3:$FW$196,62,FALSE))</f>
        <v>#N/A</v>
      </c>
      <c r="BR19" s="29"/>
      <c r="BS19" s="90"/>
      <c r="BT19" s="91"/>
      <c r="BU19" s="112"/>
      <c r="BV19" s="90"/>
      <c r="BW19" s="91"/>
      <c r="BX19" s="91"/>
      <c r="BY19" s="112"/>
      <c r="BZ19" s="29" t="e">
        <f>IF(VLOOKUP($CK10,'[2]IR GLASS '!$B$3:$FW$196,70,FALSE)="","",VLOOKUP($CK10,'[2]IR GLASS '!$B$3:$FW$196,70,FALSE))</f>
        <v>#N/A</v>
      </c>
      <c r="CA19" s="29"/>
      <c r="CB19" s="29"/>
      <c r="CC19" s="29" t="e">
        <f>IF(VLOOKUP($CK10,'[2]IR GLASS '!$B$3:$FW$196,71,FALSE)="","",VLOOKUP($CK10,'[2]IR GLASS '!$B$3:$FW$196,71,FALSE))</f>
        <v>#N/A</v>
      </c>
      <c r="CD19" s="29"/>
      <c r="CE19" s="29"/>
      <c r="CF19" s="29"/>
      <c r="CG19" s="29"/>
      <c r="CH19" s="29" t="e">
        <f>IF(VLOOKUP($CK10,'[2]IR GLASS '!$B$3:$FW$196,69,FALSE)="","",VLOOKUP($CK10,'[2]IR GLASS '!$B$3:$FW$196,69,FALSE))</f>
        <v>#N/A</v>
      </c>
      <c r="CI19" s="29"/>
      <c r="CJ19" s="124" t="e">
        <f>IF(VLOOKUP($CK10,'[2]IR GLASS '!$B$3:$FW$196,79,FALSE)="","",VLOOKUP($CK10,'[2]IR GLASS '!$B$3:$FW$196,79,FALSE))</f>
        <v>#N/A</v>
      </c>
      <c r="CK19" s="29">
        <f>CK10</f>
        <v>0</v>
      </c>
    </row>
    <row r="21" spans="17:17">
      <c r="Q21" s="7" t="s">
        <v>1711</v>
      </c>
    </row>
  </sheetData>
  <mergeCells count="378">
    <mergeCell ref="C2:H2"/>
    <mergeCell ref="I2:AR2"/>
    <mergeCell ref="AU2:BO2"/>
    <mergeCell ref="BP2:BT2"/>
    <mergeCell ref="BU2:CJ2"/>
    <mergeCell ref="C5:H5"/>
    <mergeCell ref="I5:K5"/>
    <mergeCell ref="L5:N5"/>
    <mergeCell ref="O5:P5"/>
    <mergeCell ref="Q5:R5"/>
    <mergeCell ref="S5:T5"/>
    <mergeCell ref="U5:W5"/>
    <mergeCell ref="X5:Y5"/>
    <mergeCell ref="Z5:AB5"/>
    <mergeCell ref="AC5:AF5"/>
    <mergeCell ref="AG5:AI5"/>
    <mergeCell ref="AJ5:AN5"/>
    <mergeCell ref="AO5:AR5"/>
    <mergeCell ref="AU5:AY5"/>
    <mergeCell ref="AZ5:BB5"/>
    <mergeCell ref="BD5:BE5"/>
    <mergeCell ref="BF5:BL5"/>
    <mergeCell ref="BM5:BO5"/>
    <mergeCell ref="BP5:BQ5"/>
    <mergeCell ref="BR5:BT5"/>
    <mergeCell ref="BU5:BW5"/>
    <mergeCell ref="BX5:BZ5"/>
    <mergeCell ref="CA5:CE5"/>
    <mergeCell ref="CF5:CH5"/>
    <mergeCell ref="CI5:CJ5"/>
    <mergeCell ref="I6:K6"/>
    <mergeCell ref="L6:N6"/>
    <mergeCell ref="O6:P6"/>
    <mergeCell ref="Q6:R6"/>
    <mergeCell ref="S6:T6"/>
    <mergeCell ref="U6:W6"/>
    <mergeCell ref="X6:Y6"/>
    <mergeCell ref="Z6:AB6"/>
    <mergeCell ref="AC6:AF6"/>
    <mergeCell ref="AG6:AI6"/>
    <mergeCell ref="AJ6:AN6"/>
    <mergeCell ref="AO6:AR6"/>
    <mergeCell ref="AU6:AY6"/>
    <mergeCell ref="AZ6:BB6"/>
    <mergeCell ref="BD6:BE6"/>
    <mergeCell ref="BF6:BL6"/>
    <mergeCell ref="BM6:BO6"/>
    <mergeCell ref="BP6:BQ6"/>
    <mergeCell ref="BR6:BT6"/>
    <mergeCell ref="BU6:BW6"/>
    <mergeCell ref="BX6:BZ6"/>
    <mergeCell ref="CA6:CE6"/>
    <mergeCell ref="CF6:CH6"/>
    <mergeCell ref="CI6:CJ6"/>
    <mergeCell ref="C7:H7"/>
    <mergeCell ref="I7:K7"/>
    <mergeCell ref="L7:N7"/>
    <mergeCell ref="O7:P7"/>
    <mergeCell ref="Q7:R7"/>
    <mergeCell ref="S7:T7"/>
    <mergeCell ref="U7:W7"/>
    <mergeCell ref="X7:Y7"/>
    <mergeCell ref="Z7:AB7"/>
    <mergeCell ref="AC7:AF7"/>
    <mergeCell ref="AG7:AI7"/>
    <mergeCell ref="AJ7:AN7"/>
    <mergeCell ref="AO7:AR7"/>
    <mergeCell ref="AU7:AY7"/>
    <mergeCell ref="AZ7:BB7"/>
    <mergeCell ref="BD7:BE7"/>
    <mergeCell ref="BF7:BL7"/>
    <mergeCell ref="BM7:BO7"/>
    <mergeCell ref="BP7:BQ7"/>
    <mergeCell ref="BR7:BT7"/>
    <mergeCell ref="BU7:BW7"/>
    <mergeCell ref="BX7:BZ7"/>
    <mergeCell ref="CA7:CE7"/>
    <mergeCell ref="CF7:CH7"/>
    <mergeCell ref="CI7:CJ7"/>
    <mergeCell ref="C8:H8"/>
    <mergeCell ref="I8:K8"/>
    <mergeCell ref="L8:N8"/>
    <mergeCell ref="O8:P8"/>
    <mergeCell ref="Q8:R8"/>
    <mergeCell ref="S8:T8"/>
    <mergeCell ref="U8:W8"/>
    <mergeCell ref="X8:Y8"/>
    <mergeCell ref="Z8:AB8"/>
    <mergeCell ref="AC8:AF8"/>
    <mergeCell ref="AG8:AI8"/>
    <mergeCell ref="AJ8:AN8"/>
    <mergeCell ref="AO8:AR8"/>
    <mergeCell ref="AU8:AY8"/>
    <mergeCell ref="AZ8:BB8"/>
    <mergeCell ref="BD8:BE8"/>
    <mergeCell ref="BF8:BL8"/>
    <mergeCell ref="BM8:BO8"/>
    <mergeCell ref="BP8:BQ8"/>
    <mergeCell ref="BR8:BT8"/>
    <mergeCell ref="BU8:BW8"/>
    <mergeCell ref="BX8:BZ8"/>
    <mergeCell ref="CA8:CE8"/>
    <mergeCell ref="CF8:CH8"/>
    <mergeCell ref="CI8:CJ8"/>
    <mergeCell ref="C9:H9"/>
    <mergeCell ref="I9:K9"/>
    <mergeCell ref="L9:N9"/>
    <mergeCell ref="O9:P9"/>
    <mergeCell ref="Q9:R9"/>
    <mergeCell ref="S9:T9"/>
    <mergeCell ref="U9:W9"/>
    <mergeCell ref="X9:Y9"/>
    <mergeCell ref="Z9:AB9"/>
    <mergeCell ref="AC9:AF9"/>
    <mergeCell ref="AG9:AI9"/>
    <mergeCell ref="AJ9:AN9"/>
    <mergeCell ref="AO9:AR9"/>
    <mergeCell ref="AU9:AY9"/>
    <mergeCell ref="AZ9:BB9"/>
    <mergeCell ref="BD9:BE9"/>
    <mergeCell ref="BF9:BL9"/>
    <mergeCell ref="BM9:BO9"/>
    <mergeCell ref="BP9:BQ9"/>
    <mergeCell ref="BR9:BT9"/>
    <mergeCell ref="BU9:BW9"/>
    <mergeCell ref="BX9:BZ9"/>
    <mergeCell ref="CA9:CE9"/>
    <mergeCell ref="CF9:CH9"/>
    <mergeCell ref="CI9:CJ9"/>
    <mergeCell ref="C10:H10"/>
    <mergeCell ref="I10:K10"/>
    <mergeCell ref="L10:N10"/>
    <mergeCell ref="O10:P10"/>
    <mergeCell ref="Q10:R10"/>
    <mergeCell ref="S10:T10"/>
    <mergeCell ref="U10:W10"/>
    <mergeCell ref="X10:Y10"/>
    <mergeCell ref="Z10:AB10"/>
    <mergeCell ref="AC10:AF10"/>
    <mergeCell ref="AG10:AI10"/>
    <mergeCell ref="AJ10:AN10"/>
    <mergeCell ref="AO10:AR10"/>
    <mergeCell ref="AU10:AY10"/>
    <mergeCell ref="AZ10:BB10"/>
    <mergeCell ref="BD10:BE10"/>
    <mergeCell ref="BF10:BL10"/>
    <mergeCell ref="BM10:BO10"/>
    <mergeCell ref="BP10:BQ10"/>
    <mergeCell ref="BR10:BT10"/>
    <mergeCell ref="BU10:BW10"/>
    <mergeCell ref="BX10:BZ10"/>
    <mergeCell ref="CA10:CE10"/>
    <mergeCell ref="CF10:CH10"/>
    <mergeCell ref="CI10:CJ10"/>
    <mergeCell ref="C11:AR11"/>
    <mergeCell ref="AU11:BM11"/>
    <mergeCell ref="BN11:BR11"/>
    <mergeCell ref="BS11:BU11"/>
    <mergeCell ref="BV11:BY11"/>
    <mergeCell ref="C12:D12"/>
    <mergeCell ref="E12:H12"/>
    <mergeCell ref="I12:K12"/>
    <mergeCell ref="L12:N12"/>
    <mergeCell ref="O12:P12"/>
    <mergeCell ref="Q12:R12"/>
    <mergeCell ref="S12:T12"/>
    <mergeCell ref="U12:W12"/>
    <mergeCell ref="X12:Y12"/>
    <mergeCell ref="Z12:AB12"/>
    <mergeCell ref="AC12:AF12"/>
    <mergeCell ref="AG12:AI12"/>
    <mergeCell ref="AJ12:AN12"/>
    <mergeCell ref="AO12:AR12"/>
    <mergeCell ref="C13:D13"/>
    <mergeCell ref="E13:H13"/>
    <mergeCell ref="I13:K13"/>
    <mergeCell ref="L13:N13"/>
    <mergeCell ref="O13:P13"/>
    <mergeCell ref="Q13:R13"/>
    <mergeCell ref="S13:T13"/>
    <mergeCell ref="U13:W13"/>
    <mergeCell ref="X13:Y13"/>
    <mergeCell ref="Z13:AB13"/>
    <mergeCell ref="AC13:AF13"/>
    <mergeCell ref="AG13:AI13"/>
    <mergeCell ref="AJ13:AN13"/>
    <mergeCell ref="AO13:AR13"/>
    <mergeCell ref="C14:D14"/>
    <mergeCell ref="E14:H14"/>
    <mergeCell ref="I14:K14"/>
    <mergeCell ref="L14:N14"/>
    <mergeCell ref="O14:P14"/>
    <mergeCell ref="Q14:R14"/>
    <mergeCell ref="S14:T14"/>
    <mergeCell ref="U14:W14"/>
    <mergeCell ref="X14:Y14"/>
    <mergeCell ref="Z14:AB14"/>
    <mergeCell ref="AC14:AF14"/>
    <mergeCell ref="AG14:AI14"/>
    <mergeCell ref="AJ14:AN14"/>
    <mergeCell ref="AO14:AR14"/>
    <mergeCell ref="AU14:AZ14"/>
    <mergeCell ref="BA14:BD14"/>
    <mergeCell ref="BE14:BI14"/>
    <mergeCell ref="BJ14:BM14"/>
    <mergeCell ref="BN14:BP14"/>
    <mergeCell ref="BQ14:BR14"/>
    <mergeCell ref="BS14:BU14"/>
    <mergeCell ref="BV14:BY14"/>
    <mergeCell ref="BZ14:CB14"/>
    <mergeCell ref="CC14:CG14"/>
    <mergeCell ref="CH14:CI14"/>
    <mergeCell ref="C15:D15"/>
    <mergeCell ref="E15:H15"/>
    <mergeCell ref="I15:K15"/>
    <mergeCell ref="L15:N15"/>
    <mergeCell ref="O15:P15"/>
    <mergeCell ref="Q15:R15"/>
    <mergeCell ref="S15:T15"/>
    <mergeCell ref="U15:W15"/>
    <mergeCell ref="X15:Y15"/>
    <mergeCell ref="Z15:AB15"/>
    <mergeCell ref="AC15:AF15"/>
    <mergeCell ref="AG15:AI15"/>
    <mergeCell ref="AJ15:AN15"/>
    <mergeCell ref="AO15:AR15"/>
    <mergeCell ref="AU15:AZ15"/>
    <mergeCell ref="BA15:BD15"/>
    <mergeCell ref="BE15:BI15"/>
    <mergeCell ref="BJ15:BM15"/>
    <mergeCell ref="BN15:BP15"/>
    <mergeCell ref="BQ15:BR15"/>
    <mergeCell ref="BS15:BU15"/>
    <mergeCell ref="BV15:BY15"/>
    <mergeCell ref="BZ15:CB15"/>
    <mergeCell ref="CC15:CG15"/>
    <mergeCell ref="CH15:CI15"/>
    <mergeCell ref="C16:D16"/>
    <mergeCell ref="E16:H16"/>
    <mergeCell ref="I16:K16"/>
    <mergeCell ref="L16:N16"/>
    <mergeCell ref="O16:P16"/>
    <mergeCell ref="Q16:R16"/>
    <mergeCell ref="S16:T16"/>
    <mergeCell ref="U16:W16"/>
    <mergeCell ref="X16:Y16"/>
    <mergeCell ref="Z16:AB16"/>
    <mergeCell ref="AC16:AF16"/>
    <mergeCell ref="AG16:AI16"/>
    <mergeCell ref="AJ16:AN16"/>
    <mergeCell ref="AO16:AR16"/>
    <mergeCell ref="AU16:AZ16"/>
    <mergeCell ref="BA16:BD16"/>
    <mergeCell ref="BE16:BI16"/>
    <mergeCell ref="BJ16:BM16"/>
    <mergeCell ref="BN16:BP16"/>
    <mergeCell ref="BQ16:BR16"/>
    <mergeCell ref="BS16:BU16"/>
    <mergeCell ref="BV16:BY16"/>
    <mergeCell ref="BZ16:CB16"/>
    <mergeCell ref="CC16:CG16"/>
    <mergeCell ref="CH16:CI16"/>
    <mergeCell ref="C17:D17"/>
    <mergeCell ref="E17:H17"/>
    <mergeCell ref="I17:K17"/>
    <mergeCell ref="L17:N17"/>
    <mergeCell ref="O17:P17"/>
    <mergeCell ref="Q17:R17"/>
    <mergeCell ref="S17:T17"/>
    <mergeCell ref="U17:W17"/>
    <mergeCell ref="X17:Y17"/>
    <mergeCell ref="Z17:AB17"/>
    <mergeCell ref="AC17:AF17"/>
    <mergeCell ref="AG17:AI17"/>
    <mergeCell ref="AJ17:AN17"/>
    <mergeCell ref="AO17:AR17"/>
    <mergeCell ref="AU17:AZ17"/>
    <mergeCell ref="BA17:BD17"/>
    <mergeCell ref="BE17:BI17"/>
    <mergeCell ref="BJ17:BM17"/>
    <mergeCell ref="BN17:BP17"/>
    <mergeCell ref="BQ17:BR17"/>
    <mergeCell ref="BS17:BU17"/>
    <mergeCell ref="BV17:BY17"/>
    <mergeCell ref="BZ17:CB17"/>
    <mergeCell ref="CC17:CG17"/>
    <mergeCell ref="CH17:CI17"/>
    <mergeCell ref="C18:D18"/>
    <mergeCell ref="E18:H18"/>
    <mergeCell ref="I18:K18"/>
    <mergeCell ref="L18:N18"/>
    <mergeCell ref="O18:P18"/>
    <mergeCell ref="Q18:R18"/>
    <mergeCell ref="S18:T18"/>
    <mergeCell ref="U18:W18"/>
    <mergeCell ref="X18:Y18"/>
    <mergeCell ref="Z18:AB18"/>
    <mergeCell ref="AC18:AF18"/>
    <mergeCell ref="AG18:AI18"/>
    <mergeCell ref="AJ18:AN18"/>
    <mergeCell ref="AO18:AR18"/>
    <mergeCell ref="AU18:AZ18"/>
    <mergeCell ref="BA18:BD18"/>
    <mergeCell ref="BE18:BI18"/>
    <mergeCell ref="BJ18:BM18"/>
    <mergeCell ref="BN18:BP18"/>
    <mergeCell ref="BQ18:BR18"/>
    <mergeCell ref="BS18:BU18"/>
    <mergeCell ref="BV18:BY18"/>
    <mergeCell ref="BZ18:CB18"/>
    <mergeCell ref="CC18:CG18"/>
    <mergeCell ref="CH18:CI18"/>
    <mergeCell ref="C19:D19"/>
    <mergeCell ref="E19:H19"/>
    <mergeCell ref="I19:K19"/>
    <mergeCell ref="L19:N19"/>
    <mergeCell ref="O19:P19"/>
    <mergeCell ref="Q19:R19"/>
    <mergeCell ref="S19:T19"/>
    <mergeCell ref="U19:W19"/>
    <mergeCell ref="X19:Y19"/>
    <mergeCell ref="Z19:AB19"/>
    <mergeCell ref="AC19:AF19"/>
    <mergeCell ref="AG19:AI19"/>
    <mergeCell ref="AJ19:AN19"/>
    <mergeCell ref="AO19:AR19"/>
    <mergeCell ref="AU19:AZ19"/>
    <mergeCell ref="BA19:BD19"/>
    <mergeCell ref="BE19:BI19"/>
    <mergeCell ref="BJ19:BM19"/>
    <mergeCell ref="BN19:BP19"/>
    <mergeCell ref="BQ19:BR19"/>
    <mergeCell ref="BS19:BU19"/>
    <mergeCell ref="BV19:BY19"/>
    <mergeCell ref="BZ19:CB19"/>
    <mergeCell ref="CC19:CG19"/>
    <mergeCell ref="CH19:CI19"/>
    <mergeCell ref="B2:B4"/>
    <mergeCell ref="B11:B13"/>
    <mergeCell ref="CJ11:CJ13"/>
    <mergeCell ref="CK2:CK4"/>
    <mergeCell ref="CK11:CK13"/>
    <mergeCell ref="AU12:AZ13"/>
    <mergeCell ref="BA12:BD13"/>
    <mergeCell ref="BE12:BI13"/>
    <mergeCell ref="BJ12:BM13"/>
    <mergeCell ref="BV12:BY13"/>
    <mergeCell ref="BN12:BP13"/>
    <mergeCell ref="BQ12:BR13"/>
    <mergeCell ref="O3:P4"/>
    <mergeCell ref="Q3:R4"/>
    <mergeCell ref="S3:T4"/>
    <mergeCell ref="CI3:CJ4"/>
    <mergeCell ref="X3:Y4"/>
    <mergeCell ref="BD3:BE4"/>
    <mergeCell ref="BP3:BQ4"/>
    <mergeCell ref="Z3:AB4"/>
    <mergeCell ref="BM3:BO4"/>
    <mergeCell ref="BZ11:CB13"/>
    <mergeCell ref="CC11:CG13"/>
    <mergeCell ref="CH11:CI13"/>
    <mergeCell ref="AU3:AY4"/>
    <mergeCell ref="BF3:BL4"/>
    <mergeCell ref="AC3:AF4"/>
    <mergeCell ref="AO3:AR4"/>
    <mergeCell ref="C3:H4"/>
    <mergeCell ref="AZ3:BB4"/>
    <mergeCell ref="BR3:BT4"/>
    <mergeCell ref="BU3:BW4"/>
    <mergeCell ref="BX3:BZ4"/>
    <mergeCell ref="CA3:CE4"/>
    <mergeCell ref="I3:K4"/>
    <mergeCell ref="L3:N4"/>
    <mergeCell ref="U3:W4"/>
    <mergeCell ref="AG3:AI4"/>
    <mergeCell ref="CF3:CH4"/>
    <mergeCell ref="AJ3:AN4"/>
    <mergeCell ref="BS12:BU13"/>
  </mergeCells>
  <printOptions horizontalCentered="1" verticalCentered="1"/>
  <pageMargins left="0" right="1.14173228346457" top="0.236220472440945" bottom="0.31496062992126" header="0" footer="0"/>
  <pageSetup paperSize="161" scale="80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2"/>
  <sheetViews>
    <sheetView topLeftCell="A2" workbookViewId="0">
      <selection activeCell="P26" sqref="P26"/>
    </sheetView>
  </sheetViews>
  <sheetFormatPr defaultColWidth="9" defaultRowHeight="13.2"/>
  <cols>
    <col min="1" max="1" width="9" style="625"/>
    <col min="2" max="2" width="4.5" style="629" customWidth="1"/>
    <col min="3" max="3" width="19.1296296296296" style="630" customWidth="1"/>
    <col min="4" max="10" width="7.75" style="625" customWidth="1"/>
    <col min="11" max="16384" width="9" style="625"/>
  </cols>
  <sheetData>
    <row r="1" s="625" customFormat="1" ht="13.15" hidden="1" customHeight="1" spans="1:3">
      <c r="A1" s="631"/>
      <c r="B1" s="632"/>
      <c r="C1" s="633"/>
    </row>
    <row r="2" s="626" customFormat="1" ht="24" customHeight="1" spans="1:10">
      <c r="A2" s="634" t="s">
        <v>1</v>
      </c>
      <c r="B2" s="635" t="s">
        <v>2</v>
      </c>
      <c r="C2" s="634" t="s">
        <v>3</v>
      </c>
      <c r="D2" s="634" t="s">
        <v>14</v>
      </c>
      <c r="E2" s="634"/>
      <c r="F2" s="634"/>
      <c r="G2" s="634"/>
      <c r="H2" s="634"/>
      <c r="I2" s="634"/>
      <c r="J2" s="634"/>
    </row>
    <row r="3" s="626" customFormat="1" ht="16.8" spans="1:10">
      <c r="A3" s="634"/>
      <c r="B3" s="635"/>
      <c r="C3" s="634"/>
      <c r="D3" s="634" t="s">
        <v>188</v>
      </c>
      <c r="E3" s="634" t="s">
        <v>189</v>
      </c>
      <c r="F3" s="636" t="s">
        <v>190</v>
      </c>
      <c r="G3" s="636" t="s">
        <v>191</v>
      </c>
      <c r="H3" s="634" t="s">
        <v>192</v>
      </c>
      <c r="I3" s="634" t="s">
        <v>193</v>
      </c>
      <c r="J3" s="626" t="s">
        <v>194</v>
      </c>
    </row>
    <row r="4" s="627" customFormat="1" spans="1:10">
      <c r="A4" s="637"/>
      <c r="B4" s="638">
        <v>0</v>
      </c>
      <c r="C4" s="638">
        <v>1</v>
      </c>
      <c r="D4" s="638">
        <v>2</v>
      </c>
      <c r="E4" s="638">
        <v>3</v>
      </c>
      <c r="F4" s="638">
        <v>4</v>
      </c>
      <c r="G4" s="638">
        <v>5</v>
      </c>
      <c r="H4" s="638">
        <v>6</v>
      </c>
      <c r="I4" s="638">
        <v>7</v>
      </c>
      <c r="J4" s="638">
        <v>8</v>
      </c>
    </row>
    <row r="5" s="625" customFormat="1" spans="1:10">
      <c r="A5" s="639" t="s">
        <v>277</v>
      </c>
      <c r="B5" s="640">
        <v>1</v>
      </c>
      <c r="C5" s="641" t="s">
        <v>278</v>
      </c>
      <c r="D5" s="642">
        <v>1</v>
      </c>
      <c r="E5" s="642">
        <v>2</v>
      </c>
      <c r="F5" s="642">
        <v>1</v>
      </c>
      <c r="G5" s="642">
        <v>3</v>
      </c>
      <c r="H5" s="642">
        <v>2</v>
      </c>
      <c r="I5" s="642">
        <v>2</v>
      </c>
      <c r="J5" s="642">
        <v>1</v>
      </c>
    </row>
    <row r="6" s="625" customFormat="1" spans="1:10">
      <c r="A6" s="639" t="s">
        <v>277</v>
      </c>
      <c r="B6" s="640">
        <v>2</v>
      </c>
      <c r="C6" s="641" t="s">
        <v>290</v>
      </c>
      <c r="D6" s="642">
        <v>1</v>
      </c>
      <c r="E6" s="642">
        <v>1</v>
      </c>
      <c r="F6" s="642">
        <v>1</v>
      </c>
      <c r="G6" s="642">
        <v>3</v>
      </c>
      <c r="H6" s="642">
        <v>2</v>
      </c>
      <c r="I6" s="642">
        <v>2</v>
      </c>
      <c r="J6" s="642">
        <v>1</v>
      </c>
    </row>
    <row r="7" s="625" customFormat="1" spans="1:10">
      <c r="A7" s="639" t="s">
        <v>300</v>
      </c>
      <c r="B7" s="640">
        <v>3</v>
      </c>
      <c r="C7" s="641" t="s">
        <v>301</v>
      </c>
      <c r="D7" s="643">
        <v>1</v>
      </c>
      <c r="E7" s="643">
        <v>1</v>
      </c>
      <c r="F7" s="643">
        <v>1</v>
      </c>
      <c r="G7" s="643">
        <v>2</v>
      </c>
      <c r="H7" s="643">
        <v>2</v>
      </c>
      <c r="I7" s="643">
        <v>2</v>
      </c>
      <c r="J7" s="642">
        <v>1</v>
      </c>
    </row>
    <row r="8" s="628" customFormat="1" spans="1:10">
      <c r="A8" s="639" t="s">
        <v>277</v>
      </c>
      <c r="B8" s="640">
        <v>4</v>
      </c>
      <c r="C8" s="641" t="s">
        <v>307</v>
      </c>
      <c r="D8" s="642">
        <v>1</v>
      </c>
      <c r="E8" s="642">
        <v>2</v>
      </c>
      <c r="F8" s="642">
        <v>2</v>
      </c>
      <c r="G8" s="642">
        <v>3</v>
      </c>
      <c r="H8" s="642">
        <v>4</v>
      </c>
      <c r="I8" s="642">
        <v>2</v>
      </c>
      <c r="J8" s="642">
        <v>1</v>
      </c>
    </row>
    <row r="9" s="625" customFormat="1" spans="1:10">
      <c r="A9" s="639" t="s">
        <v>277</v>
      </c>
      <c r="B9" s="640">
        <v>5</v>
      </c>
      <c r="C9" s="641" t="s">
        <v>317</v>
      </c>
      <c r="D9" s="642">
        <v>1</v>
      </c>
      <c r="E9" s="642">
        <v>3</v>
      </c>
      <c r="F9" s="642">
        <v>2</v>
      </c>
      <c r="G9" s="642">
        <v>3</v>
      </c>
      <c r="H9" s="642">
        <v>4</v>
      </c>
      <c r="I9" s="642">
        <v>3</v>
      </c>
      <c r="J9" s="642">
        <v>1</v>
      </c>
    </row>
    <row r="10" s="625" customFormat="1" spans="1:10">
      <c r="A10" s="639" t="s">
        <v>300</v>
      </c>
      <c r="B10" s="640">
        <v>6</v>
      </c>
      <c r="C10" s="641" t="s">
        <v>327</v>
      </c>
      <c r="D10" s="642">
        <v>1</v>
      </c>
      <c r="E10" s="642">
        <v>3</v>
      </c>
      <c r="F10" s="642">
        <v>4</v>
      </c>
      <c r="G10" s="642">
        <v>4</v>
      </c>
      <c r="H10" s="642">
        <v>1</v>
      </c>
      <c r="I10" s="642">
        <v>1</v>
      </c>
      <c r="J10" s="642">
        <v>1</v>
      </c>
    </row>
    <row r="11" s="625" customFormat="1" spans="1:10">
      <c r="A11" s="625" t="s">
        <v>300</v>
      </c>
      <c r="B11" s="640">
        <v>7</v>
      </c>
      <c r="C11" s="641" t="s">
        <v>336</v>
      </c>
      <c r="D11" s="644">
        <v>1</v>
      </c>
      <c r="E11" s="644">
        <v>1</v>
      </c>
      <c r="F11" s="644">
        <v>1</v>
      </c>
      <c r="G11" s="644">
        <v>4</v>
      </c>
      <c r="H11" s="644">
        <v>1</v>
      </c>
      <c r="I11" s="644">
        <v>2</v>
      </c>
      <c r="J11" s="642">
        <v>2</v>
      </c>
    </row>
    <row r="12" s="625" customFormat="1" spans="1:10">
      <c r="A12" s="639" t="s">
        <v>345</v>
      </c>
      <c r="B12" s="640">
        <v>8</v>
      </c>
      <c r="C12" s="641" t="s">
        <v>346</v>
      </c>
      <c r="D12" s="644">
        <v>2</v>
      </c>
      <c r="E12" s="644">
        <v>2</v>
      </c>
      <c r="F12" s="644">
        <v>1</v>
      </c>
      <c r="G12" s="644">
        <v>4</v>
      </c>
      <c r="H12" s="644">
        <v>1</v>
      </c>
      <c r="I12" s="644">
        <v>2</v>
      </c>
      <c r="J12" s="642">
        <v>1</v>
      </c>
    </row>
    <row r="13" s="625" customFormat="1" spans="1:10">
      <c r="A13" s="639" t="s">
        <v>277</v>
      </c>
      <c r="B13" s="640">
        <v>9</v>
      </c>
      <c r="C13" s="641" t="s">
        <v>349</v>
      </c>
      <c r="D13" s="642">
        <v>1</v>
      </c>
      <c r="E13" s="642">
        <v>2</v>
      </c>
      <c r="F13" s="642">
        <v>1</v>
      </c>
      <c r="G13" s="642">
        <v>4</v>
      </c>
      <c r="H13" s="642">
        <v>1</v>
      </c>
      <c r="I13" s="642">
        <v>2</v>
      </c>
      <c r="J13" s="642">
        <v>1</v>
      </c>
    </row>
    <row r="14" s="625" customFormat="1" spans="1:10">
      <c r="A14" s="639" t="s">
        <v>300</v>
      </c>
      <c r="B14" s="640">
        <v>10</v>
      </c>
      <c r="C14" s="641" t="s">
        <v>358</v>
      </c>
      <c r="D14" s="642">
        <v>1</v>
      </c>
      <c r="E14" s="642">
        <v>1</v>
      </c>
      <c r="F14" s="642">
        <v>1</v>
      </c>
      <c r="G14" s="642">
        <v>4</v>
      </c>
      <c r="H14" s="642">
        <v>2</v>
      </c>
      <c r="I14" s="642">
        <v>2</v>
      </c>
      <c r="J14" s="642">
        <v>1</v>
      </c>
    </row>
    <row r="15" s="625" customFormat="1" spans="1:10">
      <c r="A15" s="639" t="s">
        <v>300</v>
      </c>
      <c r="B15" s="640">
        <v>11</v>
      </c>
      <c r="C15" s="641" t="s">
        <v>366</v>
      </c>
      <c r="D15" s="642">
        <v>1</v>
      </c>
      <c r="E15" s="642">
        <v>3</v>
      </c>
      <c r="F15" s="642">
        <v>1</v>
      </c>
      <c r="G15" s="642">
        <v>4</v>
      </c>
      <c r="H15" s="642">
        <v>1</v>
      </c>
      <c r="I15" s="642">
        <v>2</v>
      </c>
      <c r="J15" s="642">
        <v>1</v>
      </c>
    </row>
    <row r="16" s="625" customFormat="1" spans="1:10">
      <c r="A16" s="639" t="s">
        <v>374</v>
      </c>
      <c r="B16" s="640">
        <v>12</v>
      </c>
      <c r="C16" s="641" t="s">
        <v>375</v>
      </c>
      <c r="D16" s="643">
        <v>1</v>
      </c>
      <c r="E16" s="643">
        <v>1</v>
      </c>
      <c r="F16" s="643">
        <v>1</v>
      </c>
      <c r="G16" s="643">
        <v>1</v>
      </c>
      <c r="H16" s="643">
        <v>1</v>
      </c>
      <c r="I16" s="643">
        <v>2</v>
      </c>
      <c r="J16" s="642">
        <v>1</v>
      </c>
    </row>
    <row r="17" s="625" customFormat="1" spans="1:10">
      <c r="A17" s="643" t="s">
        <v>374</v>
      </c>
      <c r="B17" s="640">
        <v>13</v>
      </c>
      <c r="C17" s="641" t="s">
        <v>382</v>
      </c>
      <c r="D17" s="642">
        <v>3</v>
      </c>
      <c r="E17" s="642">
        <v>1</v>
      </c>
      <c r="F17" s="642">
        <v>2</v>
      </c>
      <c r="G17" s="642">
        <v>1</v>
      </c>
      <c r="H17" s="642">
        <v>1</v>
      </c>
      <c r="I17" s="642">
        <v>1</v>
      </c>
      <c r="J17" s="642"/>
    </row>
    <row r="18" s="625" customFormat="1" spans="1:10">
      <c r="A18" s="643" t="s">
        <v>374</v>
      </c>
      <c r="B18" s="640">
        <v>14</v>
      </c>
      <c r="C18" s="641" t="s">
        <v>388</v>
      </c>
      <c r="D18" s="642">
        <v>1</v>
      </c>
      <c r="E18" s="642">
        <v>1</v>
      </c>
      <c r="F18" s="642">
        <v>2</v>
      </c>
      <c r="G18" s="642">
        <v>1</v>
      </c>
      <c r="H18" s="642">
        <v>1</v>
      </c>
      <c r="I18" s="642">
        <v>1</v>
      </c>
      <c r="J18" s="642"/>
    </row>
    <row r="19" s="625" customFormat="1" spans="1:10">
      <c r="A19" s="643" t="s">
        <v>374</v>
      </c>
      <c r="B19" s="640">
        <v>15</v>
      </c>
      <c r="C19" s="641" t="s">
        <v>401</v>
      </c>
      <c r="D19" s="642">
        <v>1</v>
      </c>
      <c r="E19" s="642">
        <v>1</v>
      </c>
      <c r="F19" s="642">
        <v>1</v>
      </c>
      <c r="G19" s="642">
        <v>1</v>
      </c>
      <c r="H19" s="642">
        <v>2</v>
      </c>
      <c r="I19" s="642">
        <v>1</v>
      </c>
      <c r="J19" s="642"/>
    </row>
    <row r="20" s="625" customFormat="1" spans="1:10">
      <c r="A20" s="643" t="s">
        <v>374</v>
      </c>
      <c r="B20" s="640">
        <v>16</v>
      </c>
      <c r="C20" s="641" t="s">
        <v>409</v>
      </c>
      <c r="D20" s="642">
        <v>1</v>
      </c>
      <c r="E20" s="642">
        <v>1</v>
      </c>
      <c r="F20" s="642">
        <v>1</v>
      </c>
      <c r="G20" s="642">
        <v>1</v>
      </c>
      <c r="H20" s="642">
        <v>1</v>
      </c>
      <c r="I20" s="642">
        <v>2</v>
      </c>
      <c r="J20" s="642"/>
    </row>
    <row r="21" s="625" customFormat="1" spans="1:10">
      <c r="A21" s="643" t="s">
        <v>374</v>
      </c>
      <c r="B21" s="640">
        <v>17</v>
      </c>
      <c r="C21" s="641" t="s">
        <v>414</v>
      </c>
      <c r="D21" s="642">
        <v>2</v>
      </c>
      <c r="E21" s="642">
        <v>1</v>
      </c>
      <c r="F21" s="642">
        <v>2</v>
      </c>
      <c r="G21" s="642">
        <v>1</v>
      </c>
      <c r="H21" s="642">
        <v>1</v>
      </c>
      <c r="I21" s="642">
        <v>1</v>
      </c>
      <c r="J21" s="642"/>
    </row>
    <row r="22" s="625" customFormat="1" spans="1:10">
      <c r="A22" s="643" t="s">
        <v>374</v>
      </c>
      <c r="B22" s="640">
        <v>18</v>
      </c>
      <c r="C22" s="641" t="s">
        <v>420</v>
      </c>
      <c r="D22" s="642">
        <v>1</v>
      </c>
      <c r="E22" s="642">
        <v>2</v>
      </c>
      <c r="F22" s="642">
        <v>1</v>
      </c>
      <c r="G22" s="642">
        <v>1</v>
      </c>
      <c r="H22" s="642">
        <v>2</v>
      </c>
      <c r="I22" s="642">
        <v>1</v>
      </c>
      <c r="J22" s="642"/>
    </row>
    <row r="23" s="625" customFormat="1" spans="1:10">
      <c r="A23" s="643" t="s">
        <v>300</v>
      </c>
      <c r="B23" s="640">
        <v>19</v>
      </c>
      <c r="C23" s="645" t="s">
        <v>426</v>
      </c>
      <c r="D23" s="642">
        <v>1</v>
      </c>
      <c r="E23" s="642">
        <v>1</v>
      </c>
      <c r="F23" s="642">
        <v>1</v>
      </c>
      <c r="G23" s="642">
        <v>1</v>
      </c>
      <c r="H23" s="642">
        <v>1</v>
      </c>
      <c r="I23" s="642">
        <v>1</v>
      </c>
      <c r="J23" s="642"/>
    </row>
    <row r="24" s="625" customFormat="1" spans="1:10">
      <c r="A24" s="643" t="s">
        <v>374</v>
      </c>
      <c r="B24" s="640">
        <v>20</v>
      </c>
      <c r="C24" s="641" t="s">
        <v>434</v>
      </c>
      <c r="D24" s="642">
        <v>1</v>
      </c>
      <c r="E24" s="642">
        <v>3</v>
      </c>
      <c r="F24" s="642">
        <v>1</v>
      </c>
      <c r="G24" s="642">
        <v>2</v>
      </c>
      <c r="H24" s="642">
        <v>1</v>
      </c>
      <c r="I24" s="642">
        <v>1</v>
      </c>
      <c r="J24" s="642"/>
    </row>
    <row r="25" s="625" customFormat="1" spans="1:10">
      <c r="A25" s="643" t="s">
        <v>277</v>
      </c>
      <c r="B25" s="640">
        <v>21</v>
      </c>
      <c r="C25" s="641" t="s">
        <v>440</v>
      </c>
      <c r="D25" s="642">
        <v>1</v>
      </c>
      <c r="E25" s="642">
        <v>3</v>
      </c>
      <c r="F25" s="642">
        <v>2</v>
      </c>
      <c r="G25" s="642">
        <v>3</v>
      </c>
      <c r="H25" s="642">
        <v>2</v>
      </c>
      <c r="I25" s="642">
        <v>1</v>
      </c>
      <c r="J25" s="642" t="s">
        <v>441</v>
      </c>
    </row>
    <row r="26" s="625" customFormat="1" spans="1:10">
      <c r="A26" s="643" t="s">
        <v>374</v>
      </c>
      <c r="B26" s="640">
        <v>22</v>
      </c>
      <c r="C26" s="641" t="s">
        <v>450</v>
      </c>
      <c r="D26" s="642">
        <v>1</v>
      </c>
      <c r="E26" s="642">
        <v>3</v>
      </c>
      <c r="F26" s="642">
        <v>1</v>
      </c>
      <c r="G26" s="642">
        <v>3</v>
      </c>
      <c r="H26" s="642">
        <v>2</v>
      </c>
      <c r="I26" s="642">
        <v>2</v>
      </c>
      <c r="J26" s="642">
        <v>2</v>
      </c>
    </row>
    <row r="27" s="625" customFormat="1" spans="1:10">
      <c r="A27" s="643" t="s">
        <v>374</v>
      </c>
      <c r="B27" s="640">
        <v>23</v>
      </c>
      <c r="C27" s="641" t="s">
        <v>457</v>
      </c>
      <c r="D27" s="642">
        <v>1</v>
      </c>
      <c r="E27" s="642">
        <v>3</v>
      </c>
      <c r="F27" s="642">
        <v>2</v>
      </c>
      <c r="G27" s="642">
        <v>4</v>
      </c>
      <c r="H27" s="642">
        <v>2</v>
      </c>
      <c r="I27" s="642">
        <v>2</v>
      </c>
      <c r="J27" s="642">
        <v>3</v>
      </c>
    </row>
    <row r="28" s="625" customFormat="1" spans="1:10">
      <c r="A28" s="643" t="s">
        <v>277</v>
      </c>
      <c r="B28" s="640">
        <v>24</v>
      </c>
      <c r="C28" s="641" t="s">
        <v>462</v>
      </c>
      <c r="D28" s="642">
        <v>1</v>
      </c>
      <c r="E28" s="642">
        <v>2</v>
      </c>
      <c r="F28" s="642">
        <v>2</v>
      </c>
      <c r="G28" s="642">
        <v>4</v>
      </c>
      <c r="H28" s="643">
        <v>3</v>
      </c>
      <c r="I28" s="643">
        <v>2</v>
      </c>
      <c r="J28" s="642" t="s">
        <v>441</v>
      </c>
    </row>
    <row r="29" s="625" customFormat="1" spans="1:10">
      <c r="A29" s="643" t="s">
        <v>374</v>
      </c>
      <c r="B29" s="640">
        <v>25</v>
      </c>
      <c r="C29" s="641" t="s">
        <v>469</v>
      </c>
      <c r="D29" s="642">
        <v>1</v>
      </c>
      <c r="E29" s="642">
        <v>3</v>
      </c>
      <c r="F29" s="642">
        <v>1</v>
      </c>
      <c r="G29" s="642">
        <v>4</v>
      </c>
      <c r="H29" s="642">
        <v>2</v>
      </c>
      <c r="I29" s="642">
        <v>1</v>
      </c>
      <c r="J29" s="642" t="s">
        <v>441</v>
      </c>
    </row>
    <row r="30" s="625" customFormat="1" spans="1:10">
      <c r="A30" s="643" t="s">
        <v>277</v>
      </c>
      <c r="B30" s="640">
        <v>26</v>
      </c>
      <c r="C30" s="641" t="s">
        <v>477</v>
      </c>
      <c r="D30" s="642">
        <v>1</v>
      </c>
      <c r="E30" s="642">
        <v>3</v>
      </c>
      <c r="F30" s="642">
        <v>1</v>
      </c>
      <c r="G30" s="642">
        <v>4</v>
      </c>
      <c r="H30" s="642">
        <v>2</v>
      </c>
      <c r="I30" s="642">
        <v>2</v>
      </c>
      <c r="J30" s="642">
        <v>2</v>
      </c>
    </row>
    <row r="31" s="625" customFormat="1" spans="1:10">
      <c r="A31" s="643" t="s">
        <v>277</v>
      </c>
      <c r="B31" s="640">
        <v>27</v>
      </c>
      <c r="C31" s="641" t="s">
        <v>484</v>
      </c>
      <c r="D31" s="642">
        <v>1</v>
      </c>
      <c r="E31" s="642">
        <v>2</v>
      </c>
      <c r="F31" s="642">
        <v>1</v>
      </c>
      <c r="G31" s="642">
        <v>3</v>
      </c>
      <c r="H31" s="642">
        <v>2</v>
      </c>
      <c r="I31" s="642">
        <v>2</v>
      </c>
      <c r="J31" s="642" t="s">
        <v>441</v>
      </c>
    </row>
    <row r="32" s="625" customFormat="1" spans="1:10">
      <c r="A32" s="646" t="s">
        <v>300</v>
      </c>
      <c r="B32" s="640">
        <v>28</v>
      </c>
      <c r="C32" s="647" t="s">
        <v>492</v>
      </c>
      <c r="D32" s="648">
        <v>3</v>
      </c>
      <c r="E32" s="648">
        <v>3</v>
      </c>
      <c r="F32" s="648">
        <v>2</v>
      </c>
      <c r="G32" s="648">
        <v>4</v>
      </c>
      <c r="H32" s="648">
        <v>2</v>
      </c>
      <c r="I32" s="648">
        <v>2</v>
      </c>
      <c r="J32" s="642"/>
    </row>
    <row r="33" s="625" customFormat="1" spans="1:10">
      <c r="A33" s="643" t="s">
        <v>374</v>
      </c>
      <c r="B33" s="640">
        <v>29</v>
      </c>
      <c r="C33" s="641" t="s">
        <v>501</v>
      </c>
      <c r="D33" s="642">
        <v>1</v>
      </c>
      <c r="E33" s="642">
        <v>3</v>
      </c>
      <c r="F33" s="642">
        <v>1</v>
      </c>
      <c r="G33" s="642">
        <v>3</v>
      </c>
      <c r="H33" s="642">
        <v>2</v>
      </c>
      <c r="I33" s="642">
        <v>2</v>
      </c>
      <c r="J33" s="642">
        <v>3</v>
      </c>
    </row>
    <row r="34" s="625" customFormat="1" spans="1:10">
      <c r="A34" s="643" t="s">
        <v>300</v>
      </c>
      <c r="B34" s="640">
        <v>30</v>
      </c>
      <c r="C34" s="641" t="s">
        <v>506</v>
      </c>
      <c r="D34" s="642">
        <v>3</v>
      </c>
      <c r="E34" s="642">
        <v>3</v>
      </c>
      <c r="F34" s="642">
        <v>2</v>
      </c>
      <c r="G34" s="642">
        <v>4</v>
      </c>
      <c r="H34" s="642">
        <v>2</v>
      </c>
      <c r="I34" s="642">
        <v>2</v>
      </c>
      <c r="J34" s="642">
        <v>2</v>
      </c>
    </row>
    <row r="35" s="625" customFormat="1" spans="1:10">
      <c r="A35" s="643" t="s">
        <v>374</v>
      </c>
      <c r="B35" s="640">
        <v>31</v>
      </c>
      <c r="C35" s="641" t="s">
        <v>515</v>
      </c>
      <c r="D35" s="642">
        <v>1</v>
      </c>
      <c r="E35" s="642">
        <v>3</v>
      </c>
      <c r="F35" s="642">
        <v>1</v>
      </c>
      <c r="G35" s="642">
        <v>3</v>
      </c>
      <c r="H35" s="642">
        <v>2</v>
      </c>
      <c r="I35" s="642">
        <v>2</v>
      </c>
      <c r="J35" s="642" t="s">
        <v>516</v>
      </c>
    </row>
    <row r="36" s="625" customFormat="1" spans="1:10">
      <c r="A36" s="643" t="s">
        <v>374</v>
      </c>
      <c r="B36" s="640">
        <v>32</v>
      </c>
      <c r="C36" s="645" t="s">
        <v>523</v>
      </c>
      <c r="D36" s="642">
        <v>1</v>
      </c>
      <c r="E36" s="642">
        <v>1</v>
      </c>
      <c r="F36" s="642">
        <v>3</v>
      </c>
      <c r="G36" s="642">
        <v>4</v>
      </c>
      <c r="H36" s="642">
        <v>1</v>
      </c>
      <c r="I36" s="642">
        <v>3</v>
      </c>
      <c r="J36" s="642">
        <v>3</v>
      </c>
    </row>
    <row r="37" s="625" customFormat="1" spans="1:10">
      <c r="A37" s="643" t="s">
        <v>374</v>
      </c>
      <c r="B37" s="640">
        <v>33</v>
      </c>
      <c r="C37" s="645" t="s">
        <v>529</v>
      </c>
      <c r="D37" s="642">
        <v>1</v>
      </c>
      <c r="E37" s="642">
        <v>3</v>
      </c>
      <c r="F37" s="642">
        <v>1</v>
      </c>
      <c r="G37" s="642">
        <v>3</v>
      </c>
      <c r="H37" s="642">
        <v>1</v>
      </c>
      <c r="I37" s="642">
        <v>3</v>
      </c>
      <c r="J37" s="642">
        <v>1</v>
      </c>
    </row>
    <row r="38" s="625" customFormat="1" spans="1:10">
      <c r="A38" s="639" t="s">
        <v>277</v>
      </c>
      <c r="B38" s="640">
        <v>34</v>
      </c>
      <c r="C38" s="645" t="s">
        <v>538</v>
      </c>
      <c r="D38" s="642">
        <v>1</v>
      </c>
      <c r="E38" s="642">
        <v>3</v>
      </c>
      <c r="F38" s="642">
        <v>1</v>
      </c>
      <c r="G38" s="642">
        <v>3</v>
      </c>
      <c r="H38" s="642">
        <v>1</v>
      </c>
      <c r="I38" s="642">
        <v>3</v>
      </c>
      <c r="J38" s="642">
        <v>1</v>
      </c>
    </row>
    <row r="39" s="625" customFormat="1" spans="1:10">
      <c r="A39" s="643" t="s">
        <v>300</v>
      </c>
      <c r="B39" s="640">
        <v>35</v>
      </c>
      <c r="C39" s="645" t="s">
        <v>546</v>
      </c>
      <c r="D39" s="642">
        <v>1</v>
      </c>
      <c r="E39" s="642">
        <v>1</v>
      </c>
      <c r="F39" s="642">
        <v>1</v>
      </c>
      <c r="G39" s="642">
        <v>3</v>
      </c>
      <c r="H39" s="642">
        <v>1</v>
      </c>
      <c r="I39" s="642">
        <v>2</v>
      </c>
      <c r="J39" s="642">
        <v>1</v>
      </c>
    </row>
    <row r="40" s="625" customFormat="1" spans="1:10">
      <c r="A40" s="639" t="s">
        <v>277</v>
      </c>
      <c r="B40" s="640">
        <v>36</v>
      </c>
      <c r="C40" s="645" t="s">
        <v>554</v>
      </c>
      <c r="D40" s="642">
        <v>3</v>
      </c>
      <c r="E40" s="642">
        <v>2</v>
      </c>
      <c r="F40" s="642">
        <v>4</v>
      </c>
      <c r="G40" s="642">
        <v>4</v>
      </c>
      <c r="H40" s="642">
        <v>5</v>
      </c>
      <c r="I40" s="642">
        <v>4</v>
      </c>
      <c r="J40" s="642">
        <v>3</v>
      </c>
    </row>
    <row r="41" s="625" customFormat="1" spans="1:10">
      <c r="A41" s="639" t="s">
        <v>300</v>
      </c>
      <c r="B41" s="640">
        <v>37</v>
      </c>
      <c r="C41" s="645" t="s">
        <v>564</v>
      </c>
      <c r="D41" s="649">
        <v>3</v>
      </c>
      <c r="E41" s="649">
        <v>3</v>
      </c>
      <c r="F41" s="649">
        <v>3</v>
      </c>
      <c r="G41" s="649">
        <v>3</v>
      </c>
      <c r="H41" s="649">
        <v>2</v>
      </c>
      <c r="I41" s="649">
        <v>3</v>
      </c>
      <c r="J41" s="642">
        <v>1</v>
      </c>
    </row>
    <row r="42" s="625" customFormat="1" spans="1:10">
      <c r="A42" s="643" t="s">
        <v>374</v>
      </c>
      <c r="B42" s="640">
        <v>38</v>
      </c>
      <c r="C42" s="645" t="s">
        <v>574</v>
      </c>
      <c r="D42" s="642">
        <v>2</v>
      </c>
      <c r="E42" s="642">
        <v>3</v>
      </c>
      <c r="F42" s="642">
        <v>1</v>
      </c>
      <c r="G42" s="642">
        <v>3</v>
      </c>
      <c r="H42" s="642">
        <v>1</v>
      </c>
      <c r="I42" s="642">
        <v>2</v>
      </c>
      <c r="J42" s="642">
        <v>1</v>
      </c>
    </row>
    <row r="43" s="625" customFormat="1" spans="1:10">
      <c r="A43" s="639" t="s">
        <v>277</v>
      </c>
      <c r="B43" s="640">
        <v>39</v>
      </c>
      <c r="C43" s="645" t="s">
        <v>581</v>
      </c>
      <c r="D43" s="635">
        <v>1</v>
      </c>
      <c r="E43" s="635">
        <v>2</v>
      </c>
      <c r="F43" s="642">
        <v>1</v>
      </c>
      <c r="G43" s="642">
        <v>3</v>
      </c>
      <c r="H43" s="642">
        <v>1</v>
      </c>
      <c r="I43" s="642">
        <v>2</v>
      </c>
      <c r="J43" s="642">
        <v>1</v>
      </c>
    </row>
    <row r="44" s="625" customFormat="1" spans="1:10">
      <c r="A44" s="643" t="s">
        <v>374</v>
      </c>
      <c r="B44" s="640">
        <v>40</v>
      </c>
      <c r="C44" s="645" t="s">
        <v>590</v>
      </c>
      <c r="D44" s="642">
        <v>1</v>
      </c>
      <c r="E44" s="642">
        <v>3</v>
      </c>
      <c r="F44" s="642">
        <v>1</v>
      </c>
      <c r="G44" s="642">
        <v>3</v>
      </c>
      <c r="H44" s="642">
        <v>1</v>
      </c>
      <c r="I44" s="642">
        <v>2</v>
      </c>
      <c r="J44" s="642">
        <v>1</v>
      </c>
    </row>
    <row r="45" s="625" customFormat="1" spans="1:10">
      <c r="A45" s="643" t="s">
        <v>300</v>
      </c>
      <c r="B45" s="640">
        <v>41</v>
      </c>
      <c r="C45" s="645" t="s">
        <v>600</v>
      </c>
      <c r="D45" s="642">
        <v>1</v>
      </c>
      <c r="E45" s="642">
        <v>3</v>
      </c>
      <c r="F45" s="642">
        <v>1</v>
      </c>
      <c r="G45" s="642">
        <v>3</v>
      </c>
      <c r="H45" s="642">
        <v>1</v>
      </c>
      <c r="I45" s="642">
        <v>2</v>
      </c>
      <c r="J45" s="642">
        <v>1</v>
      </c>
    </row>
    <row r="46" s="625" customFormat="1" spans="1:10">
      <c r="A46" s="639" t="s">
        <v>300</v>
      </c>
      <c r="B46" s="640">
        <v>42</v>
      </c>
      <c r="C46" s="641" t="s">
        <v>603</v>
      </c>
      <c r="D46" s="643">
        <v>1</v>
      </c>
      <c r="E46" s="643">
        <v>3</v>
      </c>
      <c r="F46" s="643">
        <v>2</v>
      </c>
      <c r="G46" s="643">
        <v>3</v>
      </c>
      <c r="H46" s="643">
        <v>1</v>
      </c>
      <c r="I46" s="643">
        <v>3</v>
      </c>
      <c r="J46" s="642">
        <v>1</v>
      </c>
    </row>
    <row r="47" s="625" customFormat="1" spans="1:10">
      <c r="A47" s="643" t="s">
        <v>374</v>
      </c>
      <c r="B47" s="640">
        <v>43</v>
      </c>
      <c r="C47" s="645" t="s">
        <v>608</v>
      </c>
      <c r="D47" s="642">
        <v>1</v>
      </c>
      <c r="E47" s="642">
        <v>2</v>
      </c>
      <c r="F47" s="642">
        <v>1</v>
      </c>
      <c r="G47" s="642">
        <v>4</v>
      </c>
      <c r="H47" s="642">
        <v>1</v>
      </c>
      <c r="I47" s="642">
        <v>2</v>
      </c>
      <c r="J47" s="642">
        <v>2</v>
      </c>
    </row>
    <row r="48" s="625" customFormat="1" spans="1:10">
      <c r="A48" s="639" t="s">
        <v>300</v>
      </c>
      <c r="B48" s="640">
        <v>44</v>
      </c>
      <c r="C48" s="641" t="s">
        <v>615</v>
      </c>
      <c r="D48" s="643">
        <v>1</v>
      </c>
      <c r="E48" s="643">
        <v>1</v>
      </c>
      <c r="F48" s="643">
        <v>1</v>
      </c>
      <c r="G48" s="643">
        <v>3</v>
      </c>
      <c r="H48" s="643">
        <v>1</v>
      </c>
      <c r="I48" s="643">
        <v>2</v>
      </c>
      <c r="J48" s="642"/>
    </row>
    <row r="49" s="628" customFormat="1" spans="1:10">
      <c r="A49" s="639" t="s">
        <v>374</v>
      </c>
      <c r="B49" s="640">
        <v>45</v>
      </c>
      <c r="C49" s="645" t="s">
        <v>618</v>
      </c>
      <c r="D49" s="642">
        <v>1</v>
      </c>
      <c r="E49" s="642">
        <v>2</v>
      </c>
      <c r="F49" s="642">
        <v>1</v>
      </c>
      <c r="G49" s="642">
        <v>4</v>
      </c>
      <c r="H49" s="642">
        <v>1</v>
      </c>
      <c r="I49" s="642">
        <v>2</v>
      </c>
      <c r="J49" s="642">
        <v>1</v>
      </c>
    </row>
    <row r="50" s="625" customFormat="1" spans="1:10">
      <c r="A50" s="643" t="s">
        <v>277</v>
      </c>
      <c r="B50" s="640">
        <v>46</v>
      </c>
      <c r="C50" s="645" t="s">
        <v>627</v>
      </c>
      <c r="D50" s="649">
        <v>1</v>
      </c>
      <c r="E50" s="649">
        <v>3</v>
      </c>
      <c r="F50" s="649">
        <v>3</v>
      </c>
      <c r="G50" s="649">
        <v>4</v>
      </c>
      <c r="H50" s="642">
        <v>1</v>
      </c>
      <c r="I50" s="642">
        <v>3</v>
      </c>
      <c r="J50" s="642">
        <v>2</v>
      </c>
    </row>
    <row r="51" s="625" customFormat="1" spans="1:10">
      <c r="A51" s="643" t="s">
        <v>374</v>
      </c>
      <c r="B51" s="640">
        <v>47</v>
      </c>
      <c r="C51" s="641" t="s">
        <v>636</v>
      </c>
      <c r="D51" s="642">
        <v>1</v>
      </c>
      <c r="E51" s="642">
        <v>3</v>
      </c>
      <c r="F51" s="642">
        <v>1</v>
      </c>
      <c r="G51" s="642">
        <v>3</v>
      </c>
      <c r="H51" s="642">
        <v>1</v>
      </c>
      <c r="I51" s="642">
        <v>2</v>
      </c>
      <c r="J51" s="642">
        <v>1</v>
      </c>
    </row>
    <row r="52" s="625" customFormat="1" spans="1:10">
      <c r="A52" s="639" t="s">
        <v>277</v>
      </c>
      <c r="B52" s="640">
        <v>48</v>
      </c>
      <c r="C52" s="641" t="s">
        <v>638</v>
      </c>
      <c r="D52" s="642">
        <v>1</v>
      </c>
      <c r="E52" s="642">
        <v>3</v>
      </c>
      <c r="F52" s="642">
        <v>1</v>
      </c>
      <c r="G52" s="642">
        <v>3</v>
      </c>
      <c r="H52" s="642">
        <v>1</v>
      </c>
      <c r="I52" s="642">
        <v>2</v>
      </c>
      <c r="J52" s="642">
        <v>1</v>
      </c>
    </row>
    <row r="53" s="625" customFormat="1" spans="1:10">
      <c r="A53" s="639" t="s">
        <v>277</v>
      </c>
      <c r="B53" s="640">
        <v>49</v>
      </c>
      <c r="C53" s="641" t="s">
        <v>643</v>
      </c>
      <c r="D53" s="642">
        <v>1</v>
      </c>
      <c r="E53" s="642">
        <v>3</v>
      </c>
      <c r="F53" s="642">
        <v>1</v>
      </c>
      <c r="G53" s="642">
        <v>3</v>
      </c>
      <c r="H53" s="642">
        <v>1</v>
      </c>
      <c r="I53" s="642">
        <v>2</v>
      </c>
      <c r="J53" s="642">
        <v>1</v>
      </c>
    </row>
    <row r="54" s="625" customFormat="1" spans="1:10">
      <c r="A54" s="643" t="s">
        <v>374</v>
      </c>
      <c r="B54" s="640">
        <v>50</v>
      </c>
      <c r="C54" s="645" t="s">
        <v>651</v>
      </c>
      <c r="D54" s="642">
        <v>1</v>
      </c>
      <c r="E54" s="642">
        <v>2</v>
      </c>
      <c r="F54" s="642">
        <v>1</v>
      </c>
      <c r="G54" s="642">
        <v>3</v>
      </c>
      <c r="H54" s="642">
        <v>1</v>
      </c>
      <c r="I54" s="642">
        <v>1</v>
      </c>
      <c r="J54" s="642"/>
    </row>
    <row r="55" s="625" customFormat="1" spans="1:10">
      <c r="A55" s="639" t="s">
        <v>277</v>
      </c>
      <c r="B55" s="640">
        <v>51</v>
      </c>
      <c r="C55" s="645" t="s">
        <v>660</v>
      </c>
      <c r="D55" s="642">
        <v>1</v>
      </c>
      <c r="E55" s="642">
        <v>1</v>
      </c>
      <c r="F55" s="642">
        <v>1</v>
      </c>
      <c r="G55" s="642">
        <v>3</v>
      </c>
      <c r="H55" s="642">
        <v>1</v>
      </c>
      <c r="I55" s="642">
        <v>2</v>
      </c>
      <c r="J55" s="642">
        <v>1</v>
      </c>
    </row>
    <row r="56" s="625" customFormat="1" spans="1:10">
      <c r="A56" s="643" t="s">
        <v>374</v>
      </c>
      <c r="B56" s="640">
        <v>52</v>
      </c>
      <c r="C56" s="641" t="s">
        <v>663</v>
      </c>
      <c r="D56" s="642">
        <v>1</v>
      </c>
      <c r="E56" s="642">
        <v>2</v>
      </c>
      <c r="F56" s="642">
        <v>1</v>
      </c>
      <c r="G56" s="642">
        <v>3</v>
      </c>
      <c r="H56" s="642">
        <v>1</v>
      </c>
      <c r="I56" s="642">
        <v>2</v>
      </c>
      <c r="J56" s="642">
        <v>1</v>
      </c>
    </row>
    <row r="57" s="625" customFormat="1" spans="1:10">
      <c r="A57" s="643" t="s">
        <v>374</v>
      </c>
      <c r="B57" s="640">
        <v>53</v>
      </c>
      <c r="C57" s="645" t="s">
        <v>668</v>
      </c>
      <c r="D57" s="642">
        <v>1</v>
      </c>
      <c r="E57" s="642">
        <v>2</v>
      </c>
      <c r="F57" s="642">
        <v>1</v>
      </c>
      <c r="G57" s="642">
        <v>3</v>
      </c>
      <c r="H57" s="642">
        <v>1</v>
      </c>
      <c r="I57" s="642">
        <v>2</v>
      </c>
      <c r="J57" s="642">
        <v>2</v>
      </c>
    </row>
    <row r="58" s="625" customFormat="1" spans="1:10">
      <c r="A58" s="643" t="s">
        <v>374</v>
      </c>
      <c r="B58" s="640">
        <v>54</v>
      </c>
      <c r="C58" s="645" t="s">
        <v>675</v>
      </c>
      <c r="D58" s="642">
        <v>1</v>
      </c>
      <c r="E58" s="642">
        <v>3</v>
      </c>
      <c r="F58" s="642">
        <v>1</v>
      </c>
      <c r="G58" s="642">
        <v>3</v>
      </c>
      <c r="H58" s="642">
        <v>2</v>
      </c>
      <c r="I58" s="642">
        <v>2</v>
      </c>
      <c r="J58" s="642">
        <v>3</v>
      </c>
    </row>
    <row r="59" s="625" customFormat="1" spans="1:10">
      <c r="A59" s="643" t="s">
        <v>277</v>
      </c>
      <c r="B59" s="640">
        <v>55</v>
      </c>
      <c r="C59" s="645" t="s">
        <v>678</v>
      </c>
      <c r="D59" s="642">
        <v>1</v>
      </c>
      <c r="E59" s="642">
        <v>1</v>
      </c>
      <c r="F59" s="642">
        <v>1</v>
      </c>
      <c r="G59" s="642">
        <v>3</v>
      </c>
      <c r="H59" s="642">
        <v>1</v>
      </c>
      <c r="I59" s="642">
        <v>2</v>
      </c>
      <c r="J59" s="642">
        <v>1</v>
      </c>
    </row>
    <row r="60" s="625" customFormat="1" spans="1:10">
      <c r="A60" s="639" t="s">
        <v>374</v>
      </c>
      <c r="B60" s="640">
        <v>56</v>
      </c>
      <c r="C60" s="645" t="s">
        <v>687</v>
      </c>
      <c r="D60" s="642">
        <v>1</v>
      </c>
      <c r="E60" s="642">
        <v>1</v>
      </c>
      <c r="F60" s="642">
        <v>1</v>
      </c>
      <c r="G60" s="642">
        <v>2</v>
      </c>
      <c r="H60" s="642">
        <v>2</v>
      </c>
      <c r="I60" s="642">
        <v>1</v>
      </c>
      <c r="J60" s="642">
        <v>1</v>
      </c>
    </row>
    <row r="61" s="625" customFormat="1" spans="1:10">
      <c r="A61" s="639" t="s">
        <v>300</v>
      </c>
      <c r="B61" s="640">
        <v>57</v>
      </c>
      <c r="C61" s="645" t="s">
        <v>694</v>
      </c>
      <c r="D61" s="642">
        <v>1</v>
      </c>
      <c r="E61" s="642">
        <v>1</v>
      </c>
      <c r="F61" s="642">
        <v>1</v>
      </c>
      <c r="G61" s="642">
        <v>1</v>
      </c>
      <c r="H61" s="642">
        <v>1</v>
      </c>
      <c r="I61" s="642">
        <v>1</v>
      </c>
      <c r="J61" s="642">
        <v>1</v>
      </c>
    </row>
    <row r="62" s="625" customFormat="1" spans="1:10">
      <c r="A62" s="639" t="s">
        <v>300</v>
      </c>
      <c r="B62" s="640">
        <v>58</v>
      </c>
      <c r="C62" s="645" t="s">
        <v>699</v>
      </c>
      <c r="D62" s="642">
        <v>1</v>
      </c>
      <c r="E62" s="642">
        <v>1</v>
      </c>
      <c r="F62" s="642">
        <v>1</v>
      </c>
      <c r="G62" s="642">
        <v>1</v>
      </c>
      <c r="H62" s="642">
        <v>1</v>
      </c>
      <c r="I62" s="642">
        <v>1</v>
      </c>
      <c r="J62" s="642">
        <v>1</v>
      </c>
    </row>
    <row r="63" s="625" customFormat="1" spans="1:10">
      <c r="A63" s="639" t="s">
        <v>300</v>
      </c>
      <c r="B63" s="640">
        <v>59</v>
      </c>
      <c r="C63" s="645" t="s">
        <v>708</v>
      </c>
      <c r="D63" s="642">
        <v>1</v>
      </c>
      <c r="E63" s="642">
        <v>1</v>
      </c>
      <c r="F63" s="642">
        <v>1</v>
      </c>
      <c r="G63" s="642">
        <v>1</v>
      </c>
      <c r="H63" s="642">
        <v>1</v>
      </c>
      <c r="I63" s="642">
        <v>1</v>
      </c>
      <c r="J63" s="642">
        <v>3</v>
      </c>
    </row>
    <row r="64" s="625" customFormat="1" spans="1:10">
      <c r="A64" s="643" t="s">
        <v>277</v>
      </c>
      <c r="B64" s="640">
        <v>60</v>
      </c>
      <c r="C64" s="645" t="s">
        <v>715</v>
      </c>
      <c r="D64" s="643">
        <v>1</v>
      </c>
      <c r="E64" s="643">
        <v>1</v>
      </c>
      <c r="F64" s="643">
        <v>1</v>
      </c>
      <c r="G64" s="643">
        <v>1</v>
      </c>
      <c r="H64" s="643">
        <v>1</v>
      </c>
      <c r="I64" s="643">
        <v>1</v>
      </c>
      <c r="J64" s="642"/>
    </row>
    <row r="65" s="625" customFormat="1" spans="1:10">
      <c r="A65" s="639" t="s">
        <v>277</v>
      </c>
      <c r="B65" s="640">
        <v>61</v>
      </c>
      <c r="C65" s="645" t="s">
        <v>723</v>
      </c>
      <c r="D65" s="643">
        <v>1</v>
      </c>
      <c r="E65" s="643">
        <v>1</v>
      </c>
      <c r="F65" s="643">
        <v>1</v>
      </c>
      <c r="G65" s="643">
        <v>1</v>
      </c>
      <c r="H65" s="643">
        <v>1</v>
      </c>
      <c r="I65" s="643">
        <v>1</v>
      </c>
      <c r="J65" s="642">
        <v>1</v>
      </c>
    </row>
    <row r="66" s="625" customFormat="1" spans="1:10">
      <c r="A66" s="643" t="s">
        <v>277</v>
      </c>
      <c r="B66" s="640">
        <v>62</v>
      </c>
      <c r="C66" s="641" t="s">
        <v>727</v>
      </c>
      <c r="D66" s="642">
        <v>1</v>
      </c>
      <c r="E66" s="642">
        <v>1</v>
      </c>
      <c r="F66" s="642">
        <v>1</v>
      </c>
      <c r="G66" s="642">
        <v>1</v>
      </c>
      <c r="H66" s="642">
        <v>1</v>
      </c>
      <c r="I66" s="642">
        <v>1</v>
      </c>
      <c r="J66" s="642"/>
    </row>
    <row r="67" s="625" customFormat="1" spans="1:10">
      <c r="A67" s="643" t="s">
        <v>277</v>
      </c>
      <c r="B67" s="640">
        <v>63</v>
      </c>
      <c r="C67" s="645" t="s">
        <v>734</v>
      </c>
      <c r="D67" s="642">
        <v>1</v>
      </c>
      <c r="E67" s="642">
        <v>1</v>
      </c>
      <c r="F67" s="642">
        <v>1</v>
      </c>
      <c r="G67" s="642">
        <v>1</v>
      </c>
      <c r="H67" s="642">
        <v>1</v>
      </c>
      <c r="I67" s="642">
        <v>1</v>
      </c>
      <c r="J67" s="642"/>
    </row>
    <row r="68" s="625" customFormat="1" spans="1:10">
      <c r="A68" s="643" t="s">
        <v>374</v>
      </c>
      <c r="B68" s="640">
        <v>64</v>
      </c>
      <c r="C68" s="645" t="s">
        <v>743</v>
      </c>
      <c r="D68" s="642">
        <v>1</v>
      </c>
      <c r="E68" s="642">
        <v>1</v>
      </c>
      <c r="F68" s="642">
        <v>1</v>
      </c>
      <c r="G68" s="642">
        <v>1</v>
      </c>
      <c r="H68" s="642">
        <v>1</v>
      </c>
      <c r="I68" s="642">
        <v>1</v>
      </c>
      <c r="J68" s="642"/>
    </row>
    <row r="69" s="625" customFormat="1" spans="1:10">
      <c r="A69" s="643" t="s">
        <v>374</v>
      </c>
      <c r="B69" s="640">
        <v>65</v>
      </c>
      <c r="C69" s="641" t="s">
        <v>752</v>
      </c>
      <c r="D69" s="642">
        <v>1</v>
      </c>
      <c r="E69" s="642">
        <v>1</v>
      </c>
      <c r="F69" s="642">
        <v>1</v>
      </c>
      <c r="G69" s="642">
        <v>1</v>
      </c>
      <c r="H69" s="642">
        <v>1</v>
      </c>
      <c r="I69" s="642">
        <v>1</v>
      </c>
      <c r="J69" s="642">
        <v>1</v>
      </c>
    </row>
    <row r="70" s="625" customFormat="1" spans="1:10">
      <c r="A70" s="639" t="s">
        <v>277</v>
      </c>
      <c r="B70" s="640">
        <v>66</v>
      </c>
      <c r="C70" s="641" t="s">
        <v>760</v>
      </c>
      <c r="D70" s="642">
        <v>1</v>
      </c>
      <c r="E70" s="642">
        <v>1</v>
      </c>
      <c r="F70" s="642">
        <v>1</v>
      </c>
      <c r="G70" s="642">
        <v>1</v>
      </c>
      <c r="H70" s="642">
        <v>1</v>
      </c>
      <c r="I70" s="642">
        <v>1</v>
      </c>
      <c r="J70" s="642"/>
    </row>
    <row r="71" s="625" customFormat="1" spans="1:10">
      <c r="A71" s="643" t="s">
        <v>374</v>
      </c>
      <c r="B71" s="640">
        <v>67</v>
      </c>
      <c r="C71" s="645" t="s">
        <v>762</v>
      </c>
      <c r="D71" s="642">
        <v>1</v>
      </c>
      <c r="E71" s="642">
        <v>1</v>
      </c>
      <c r="F71" s="642">
        <v>1</v>
      </c>
      <c r="G71" s="642">
        <v>1</v>
      </c>
      <c r="H71" s="642">
        <v>1</v>
      </c>
      <c r="I71" s="642">
        <v>1</v>
      </c>
      <c r="J71" s="642"/>
    </row>
    <row r="72" s="625" customFormat="1" spans="1:10">
      <c r="A72" s="639" t="s">
        <v>277</v>
      </c>
      <c r="B72" s="640">
        <v>68</v>
      </c>
      <c r="C72" s="645" t="s">
        <v>768</v>
      </c>
      <c r="D72" s="642">
        <v>1</v>
      </c>
      <c r="E72" s="642">
        <v>1</v>
      </c>
      <c r="F72" s="642">
        <v>1</v>
      </c>
      <c r="G72" s="642">
        <v>1</v>
      </c>
      <c r="H72" s="642">
        <v>1</v>
      </c>
      <c r="I72" s="642">
        <v>1</v>
      </c>
      <c r="J72" s="642"/>
    </row>
    <row r="73" s="625" customFormat="1" spans="1:10">
      <c r="A73" s="643" t="s">
        <v>374</v>
      </c>
      <c r="B73" s="640">
        <v>69</v>
      </c>
      <c r="C73" s="645" t="s">
        <v>770</v>
      </c>
      <c r="D73" s="642">
        <v>1</v>
      </c>
      <c r="E73" s="642">
        <v>1</v>
      </c>
      <c r="F73" s="642">
        <v>1</v>
      </c>
      <c r="G73" s="642">
        <v>1</v>
      </c>
      <c r="H73" s="642">
        <v>1</v>
      </c>
      <c r="I73" s="642">
        <v>1</v>
      </c>
      <c r="J73" s="642"/>
    </row>
    <row r="74" s="625" customFormat="1" spans="1:10">
      <c r="A74" s="643" t="s">
        <v>277</v>
      </c>
      <c r="B74" s="640">
        <v>70</v>
      </c>
      <c r="C74" s="645" t="s">
        <v>778</v>
      </c>
      <c r="D74" s="642">
        <v>1</v>
      </c>
      <c r="E74" s="642">
        <v>1</v>
      </c>
      <c r="F74" s="642">
        <v>1</v>
      </c>
      <c r="G74" s="642">
        <v>1</v>
      </c>
      <c r="H74" s="642">
        <v>1</v>
      </c>
      <c r="I74" s="642">
        <v>1</v>
      </c>
      <c r="J74" s="642"/>
    </row>
    <row r="75" s="625" customFormat="1" spans="1:10">
      <c r="A75" s="643" t="s">
        <v>374</v>
      </c>
      <c r="B75" s="640">
        <v>71</v>
      </c>
      <c r="C75" s="645" t="s">
        <v>780</v>
      </c>
      <c r="D75" s="642">
        <v>1</v>
      </c>
      <c r="E75" s="642">
        <v>1</v>
      </c>
      <c r="F75" s="642">
        <v>1</v>
      </c>
      <c r="G75" s="642">
        <v>1</v>
      </c>
      <c r="H75" s="642">
        <v>1</v>
      </c>
      <c r="I75" s="642">
        <v>1</v>
      </c>
      <c r="J75" s="642">
        <v>1</v>
      </c>
    </row>
    <row r="76" s="625" customFormat="1" spans="1:10">
      <c r="A76" s="639" t="s">
        <v>277</v>
      </c>
      <c r="B76" s="640">
        <v>72</v>
      </c>
      <c r="C76" s="645" t="s">
        <v>790</v>
      </c>
      <c r="D76" s="642">
        <v>1</v>
      </c>
      <c r="E76" s="642">
        <v>1</v>
      </c>
      <c r="F76" s="642">
        <v>1</v>
      </c>
      <c r="G76" s="642">
        <v>1</v>
      </c>
      <c r="H76" s="642">
        <v>1</v>
      </c>
      <c r="I76" s="642">
        <v>1</v>
      </c>
      <c r="J76" s="642">
        <v>1</v>
      </c>
    </row>
    <row r="77" s="625" customFormat="1" ht="17.4" spans="1:10">
      <c r="A77" s="639" t="s">
        <v>345</v>
      </c>
      <c r="B77" s="640">
        <v>73</v>
      </c>
      <c r="C77" s="645" t="s">
        <v>796</v>
      </c>
      <c r="D77" s="642">
        <v>1</v>
      </c>
      <c r="E77" s="642">
        <v>2</v>
      </c>
      <c r="F77" s="642">
        <v>2</v>
      </c>
      <c r="G77" s="642">
        <v>4</v>
      </c>
      <c r="H77" s="642">
        <v>1</v>
      </c>
      <c r="I77" s="642">
        <v>1</v>
      </c>
      <c r="J77" s="651"/>
    </row>
    <row r="78" s="625" customFormat="1" spans="1:10">
      <c r="A78" s="643" t="s">
        <v>300</v>
      </c>
      <c r="B78" s="640">
        <v>74</v>
      </c>
      <c r="C78" s="645" t="s">
        <v>800</v>
      </c>
      <c r="D78" s="642">
        <v>1</v>
      </c>
      <c r="E78" s="642">
        <v>1</v>
      </c>
      <c r="F78" s="642">
        <v>1</v>
      </c>
      <c r="G78" s="642">
        <v>1</v>
      </c>
      <c r="H78" s="642">
        <v>1</v>
      </c>
      <c r="I78" s="642">
        <v>1</v>
      </c>
      <c r="J78" s="642"/>
    </row>
    <row r="79" s="625" customFormat="1" spans="1:10">
      <c r="A79" s="643" t="s">
        <v>374</v>
      </c>
      <c r="B79" s="640">
        <v>75</v>
      </c>
      <c r="C79" s="645" t="s">
        <v>810</v>
      </c>
      <c r="D79" s="642">
        <v>1</v>
      </c>
      <c r="E79" s="642">
        <v>1</v>
      </c>
      <c r="F79" s="642">
        <v>1</v>
      </c>
      <c r="G79" s="642">
        <v>1</v>
      </c>
      <c r="H79" s="642">
        <v>1</v>
      </c>
      <c r="I79" s="642">
        <v>1</v>
      </c>
      <c r="J79" s="642"/>
    </row>
    <row r="80" s="625" customFormat="1" spans="1:10">
      <c r="A80" s="643" t="s">
        <v>300</v>
      </c>
      <c r="B80" s="640">
        <v>76</v>
      </c>
      <c r="C80" s="645" t="s">
        <v>817</v>
      </c>
      <c r="D80" s="642">
        <v>1</v>
      </c>
      <c r="E80" s="642">
        <v>1</v>
      </c>
      <c r="F80" s="642">
        <v>1</v>
      </c>
      <c r="G80" s="642">
        <v>1</v>
      </c>
      <c r="H80" s="642">
        <v>1</v>
      </c>
      <c r="I80" s="642">
        <v>1</v>
      </c>
      <c r="J80" s="642"/>
    </row>
    <row r="81" s="625" customFormat="1" spans="1:10">
      <c r="A81" s="639" t="s">
        <v>277</v>
      </c>
      <c r="B81" s="640">
        <v>77</v>
      </c>
      <c r="C81" s="645" t="s">
        <v>825</v>
      </c>
      <c r="D81" s="642">
        <v>1</v>
      </c>
      <c r="E81" s="642">
        <v>1</v>
      </c>
      <c r="F81" s="642">
        <v>1</v>
      </c>
      <c r="G81" s="642">
        <v>1</v>
      </c>
      <c r="H81" s="642">
        <v>1</v>
      </c>
      <c r="I81" s="642">
        <v>1</v>
      </c>
      <c r="J81" s="642"/>
    </row>
    <row r="82" s="625" customFormat="1" spans="1:10">
      <c r="A82" s="643" t="s">
        <v>300</v>
      </c>
      <c r="B82" s="640">
        <v>78</v>
      </c>
      <c r="C82" s="645" t="s">
        <v>826</v>
      </c>
      <c r="D82" s="642">
        <v>1</v>
      </c>
      <c r="E82" s="642">
        <v>1</v>
      </c>
      <c r="F82" s="642">
        <v>1</v>
      </c>
      <c r="G82" s="642">
        <v>1</v>
      </c>
      <c r="H82" s="642">
        <v>1</v>
      </c>
      <c r="I82" s="642">
        <v>1</v>
      </c>
      <c r="J82" s="642">
        <v>1</v>
      </c>
    </row>
    <row r="83" s="625" customFormat="1" spans="1:10">
      <c r="A83" s="639" t="s">
        <v>277</v>
      </c>
      <c r="B83" s="640">
        <v>79</v>
      </c>
      <c r="C83" s="645" t="s">
        <v>834</v>
      </c>
      <c r="D83" s="642">
        <v>1</v>
      </c>
      <c r="E83" s="642">
        <v>1</v>
      </c>
      <c r="F83" s="642">
        <v>1</v>
      </c>
      <c r="G83" s="642">
        <v>1</v>
      </c>
      <c r="H83" s="642">
        <v>1</v>
      </c>
      <c r="I83" s="642">
        <v>1</v>
      </c>
      <c r="J83" s="642">
        <v>1</v>
      </c>
    </row>
    <row r="84" s="625" customFormat="1" spans="1:10">
      <c r="A84" s="639" t="s">
        <v>345</v>
      </c>
      <c r="B84" s="640">
        <v>80</v>
      </c>
      <c r="C84" s="645" t="s">
        <v>835</v>
      </c>
      <c r="D84" s="642">
        <v>1</v>
      </c>
      <c r="E84" s="642">
        <v>1</v>
      </c>
      <c r="F84" s="642">
        <v>3</v>
      </c>
      <c r="G84" s="642">
        <v>2</v>
      </c>
      <c r="H84" s="642">
        <v>1</v>
      </c>
      <c r="I84" s="642">
        <v>2</v>
      </c>
      <c r="J84" s="642">
        <v>1</v>
      </c>
    </row>
    <row r="85" s="625" customFormat="1" spans="1:10">
      <c r="A85" s="643" t="s">
        <v>374</v>
      </c>
      <c r="B85" s="640">
        <v>81</v>
      </c>
      <c r="C85" s="641" t="s">
        <v>838</v>
      </c>
      <c r="D85" s="642">
        <v>1</v>
      </c>
      <c r="E85" s="642">
        <v>1</v>
      </c>
      <c r="F85" s="642">
        <v>1</v>
      </c>
      <c r="G85" s="642">
        <v>1</v>
      </c>
      <c r="H85" s="642">
        <v>1</v>
      </c>
      <c r="I85" s="642">
        <v>1</v>
      </c>
      <c r="J85" s="642"/>
    </row>
    <row r="86" s="625" customFormat="1" spans="1:10">
      <c r="A86" s="643" t="s">
        <v>277</v>
      </c>
      <c r="B86" s="640">
        <v>82</v>
      </c>
      <c r="C86" s="641" t="s">
        <v>843</v>
      </c>
      <c r="D86" s="642">
        <v>1</v>
      </c>
      <c r="E86" s="642">
        <v>1</v>
      </c>
      <c r="F86" s="642">
        <v>1</v>
      </c>
      <c r="G86" s="642">
        <v>1</v>
      </c>
      <c r="H86" s="642">
        <v>1</v>
      </c>
      <c r="I86" s="642">
        <v>1</v>
      </c>
      <c r="J86" s="642"/>
    </row>
    <row r="87" s="625" customFormat="1" spans="1:10">
      <c r="A87" s="639" t="s">
        <v>277</v>
      </c>
      <c r="B87" s="640">
        <v>83</v>
      </c>
      <c r="C87" s="645" t="s">
        <v>844</v>
      </c>
      <c r="D87" s="642">
        <v>1</v>
      </c>
      <c r="E87" s="642">
        <v>1</v>
      </c>
      <c r="F87" s="642">
        <v>1</v>
      </c>
      <c r="G87" s="642">
        <v>1</v>
      </c>
      <c r="H87" s="642">
        <v>1</v>
      </c>
      <c r="I87" s="642">
        <v>1</v>
      </c>
      <c r="J87" s="642">
        <v>1</v>
      </c>
    </row>
    <row r="88" s="625" customFormat="1" spans="1:10">
      <c r="A88" s="643" t="s">
        <v>374</v>
      </c>
      <c r="B88" s="640">
        <v>84</v>
      </c>
      <c r="C88" s="645" t="s">
        <v>853</v>
      </c>
      <c r="D88" s="642">
        <v>1</v>
      </c>
      <c r="E88" s="642">
        <v>1</v>
      </c>
      <c r="F88" s="642">
        <v>1</v>
      </c>
      <c r="G88" s="642">
        <v>1</v>
      </c>
      <c r="H88" s="642">
        <v>1</v>
      </c>
      <c r="I88" s="642">
        <v>1</v>
      </c>
      <c r="J88" s="642"/>
    </row>
    <row r="89" s="625" customFormat="1" spans="1:10">
      <c r="A89" s="643" t="s">
        <v>345</v>
      </c>
      <c r="B89" s="640">
        <v>85</v>
      </c>
      <c r="C89" s="645" t="s">
        <v>858</v>
      </c>
      <c r="D89" s="642">
        <v>1</v>
      </c>
      <c r="E89" s="642">
        <v>1</v>
      </c>
      <c r="F89" s="642">
        <v>1</v>
      </c>
      <c r="G89" s="642">
        <v>1</v>
      </c>
      <c r="H89" s="642">
        <v>1</v>
      </c>
      <c r="I89" s="642">
        <v>1</v>
      </c>
      <c r="J89" s="642">
        <v>1</v>
      </c>
    </row>
    <row r="90" s="625" customFormat="1" spans="1:10">
      <c r="A90" s="643" t="s">
        <v>345</v>
      </c>
      <c r="B90" s="640">
        <v>86</v>
      </c>
      <c r="C90" s="645" t="s">
        <v>1518</v>
      </c>
      <c r="D90" s="642">
        <v>1</v>
      </c>
      <c r="E90" s="642">
        <v>1</v>
      </c>
      <c r="F90" s="642">
        <v>1</v>
      </c>
      <c r="G90" s="642">
        <v>1</v>
      </c>
      <c r="H90" s="642">
        <v>1</v>
      </c>
      <c r="I90" s="642">
        <v>1</v>
      </c>
      <c r="J90" s="642">
        <v>1</v>
      </c>
    </row>
    <row r="91" s="625" customFormat="1" spans="1:10">
      <c r="A91" s="639" t="s">
        <v>277</v>
      </c>
      <c r="B91" s="640">
        <v>87</v>
      </c>
      <c r="C91" s="645" t="s">
        <v>861</v>
      </c>
      <c r="D91" s="642">
        <v>1</v>
      </c>
      <c r="E91" s="642">
        <v>1</v>
      </c>
      <c r="F91" s="642">
        <v>1</v>
      </c>
      <c r="G91" s="642">
        <v>1</v>
      </c>
      <c r="H91" s="642">
        <v>1</v>
      </c>
      <c r="I91" s="642">
        <v>1</v>
      </c>
      <c r="J91" s="642">
        <v>2</v>
      </c>
    </row>
    <row r="92" s="625" customFormat="1" spans="1:10">
      <c r="A92" s="643" t="s">
        <v>300</v>
      </c>
      <c r="B92" s="640">
        <v>88</v>
      </c>
      <c r="C92" s="645" t="s">
        <v>867</v>
      </c>
      <c r="D92" s="642">
        <v>1</v>
      </c>
      <c r="E92" s="642">
        <v>1</v>
      </c>
      <c r="F92" s="642">
        <v>1</v>
      </c>
      <c r="G92" s="642">
        <v>1</v>
      </c>
      <c r="H92" s="642">
        <v>1</v>
      </c>
      <c r="I92" s="642">
        <v>1</v>
      </c>
      <c r="J92" s="642"/>
    </row>
    <row r="93" s="625" customFormat="1" spans="1:10">
      <c r="A93" s="639" t="s">
        <v>277</v>
      </c>
      <c r="B93" s="640">
        <v>89</v>
      </c>
      <c r="C93" s="645" t="s">
        <v>873</v>
      </c>
      <c r="D93" s="642">
        <v>1</v>
      </c>
      <c r="E93" s="642">
        <v>1</v>
      </c>
      <c r="F93" s="642">
        <v>1</v>
      </c>
      <c r="G93" s="642">
        <v>1</v>
      </c>
      <c r="H93" s="642">
        <v>1</v>
      </c>
      <c r="I93" s="642">
        <v>1</v>
      </c>
      <c r="J93" s="642">
        <v>1</v>
      </c>
    </row>
    <row r="94" s="625" customFormat="1" spans="1:10">
      <c r="A94" s="643" t="s">
        <v>300</v>
      </c>
      <c r="B94" s="640">
        <v>90</v>
      </c>
      <c r="C94" s="645" t="s">
        <v>877</v>
      </c>
      <c r="D94" s="644">
        <v>1</v>
      </c>
      <c r="E94" s="644">
        <v>1</v>
      </c>
      <c r="F94" s="644">
        <v>1</v>
      </c>
      <c r="G94" s="644">
        <v>1</v>
      </c>
      <c r="H94" s="644">
        <v>1</v>
      </c>
      <c r="I94" s="644">
        <v>1</v>
      </c>
      <c r="J94" s="642"/>
    </row>
    <row r="95" s="625" customFormat="1" spans="1:10">
      <c r="A95" s="639" t="s">
        <v>277</v>
      </c>
      <c r="B95" s="640">
        <v>91</v>
      </c>
      <c r="C95" s="645" t="s">
        <v>883</v>
      </c>
      <c r="D95" s="644">
        <v>1</v>
      </c>
      <c r="E95" s="644">
        <v>1</v>
      </c>
      <c r="F95" s="644">
        <v>1</v>
      </c>
      <c r="G95" s="644">
        <v>1</v>
      </c>
      <c r="H95" s="644">
        <v>1</v>
      </c>
      <c r="I95" s="644">
        <v>1</v>
      </c>
      <c r="J95" s="642">
        <v>1</v>
      </c>
    </row>
    <row r="96" s="625" customFormat="1" spans="1:10">
      <c r="A96" s="643" t="s">
        <v>300</v>
      </c>
      <c r="B96" s="640">
        <v>92</v>
      </c>
      <c r="C96" s="645" t="s">
        <v>887</v>
      </c>
      <c r="D96" s="642">
        <v>1</v>
      </c>
      <c r="E96" s="642">
        <v>1</v>
      </c>
      <c r="F96" s="642">
        <v>1</v>
      </c>
      <c r="G96" s="642">
        <v>1</v>
      </c>
      <c r="H96" s="642">
        <v>1</v>
      </c>
      <c r="I96" s="642">
        <v>1</v>
      </c>
      <c r="J96" s="642"/>
    </row>
    <row r="97" s="625" customFormat="1" spans="1:10">
      <c r="A97" s="639" t="s">
        <v>277</v>
      </c>
      <c r="B97" s="640">
        <v>93</v>
      </c>
      <c r="C97" s="645" t="s">
        <v>893</v>
      </c>
      <c r="D97" s="642">
        <v>1</v>
      </c>
      <c r="E97" s="642">
        <v>1</v>
      </c>
      <c r="F97" s="642">
        <v>1</v>
      </c>
      <c r="G97" s="642">
        <v>1</v>
      </c>
      <c r="H97" s="642">
        <v>1</v>
      </c>
      <c r="I97" s="642">
        <v>1</v>
      </c>
      <c r="J97" s="642">
        <v>1</v>
      </c>
    </row>
    <row r="98" s="625" customFormat="1" spans="1:10">
      <c r="A98" s="643" t="s">
        <v>374</v>
      </c>
      <c r="B98" s="640">
        <v>94</v>
      </c>
      <c r="C98" s="650" t="s">
        <v>898</v>
      </c>
      <c r="D98" s="642">
        <v>1</v>
      </c>
      <c r="E98" s="642">
        <v>1</v>
      </c>
      <c r="F98" s="642">
        <v>1</v>
      </c>
      <c r="G98" s="642">
        <v>1</v>
      </c>
      <c r="H98" s="642">
        <v>1</v>
      </c>
      <c r="I98" s="642">
        <v>1</v>
      </c>
      <c r="J98" s="642"/>
    </row>
    <row r="99" s="625" customFormat="1" spans="1:10">
      <c r="A99" s="639" t="s">
        <v>277</v>
      </c>
      <c r="B99" s="640">
        <v>95</v>
      </c>
      <c r="C99" s="641" t="s">
        <v>903</v>
      </c>
      <c r="D99" s="642">
        <v>1</v>
      </c>
      <c r="E99" s="642">
        <v>1</v>
      </c>
      <c r="F99" s="642">
        <v>1</v>
      </c>
      <c r="G99" s="642">
        <v>1</v>
      </c>
      <c r="H99" s="642">
        <v>1</v>
      </c>
      <c r="I99" s="642">
        <v>1</v>
      </c>
      <c r="J99" s="642">
        <v>1</v>
      </c>
    </row>
    <row r="100" s="625" customFormat="1" spans="1:10">
      <c r="A100" s="639" t="s">
        <v>374</v>
      </c>
      <c r="B100" s="640">
        <v>96</v>
      </c>
      <c r="C100" s="645" t="s">
        <v>911</v>
      </c>
      <c r="D100" s="642">
        <v>1</v>
      </c>
      <c r="E100" s="642">
        <v>3</v>
      </c>
      <c r="F100" s="642">
        <v>1</v>
      </c>
      <c r="G100" s="642">
        <v>3</v>
      </c>
      <c r="H100" s="642">
        <v>2</v>
      </c>
      <c r="I100" s="642">
        <v>2</v>
      </c>
      <c r="J100" s="642">
        <v>1</v>
      </c>
    </row>
    <row r="101" s="625" customFormat="1" spans="1:10">
      <c r="A101" s="643" t="s">
        <v>374</v>
      </c>
      <c r="B101" s="640">
        <v>97</v>
      </c>
      <c r="C101" s="645" t="s">
        <v>918</v>
      </c>
      <c r="D101" s="642">
        <v>1</v>
      </c>
      <c r="E101" s="642">
        <v>3</v>
      </c>
      <c r="F101" s="642">
        <v>1</v>
      </c>
      <c r="G101" s="642">
        <v>2</v>
      </c>
      <c r="H101" s="642">
        <v>2</v>
      </c>
      <c r="I101" s="642">
        <v>2</v>
      </c>
      <c r="J101" s="642"/>
    </row>
    <row r="102" s="625" customFormat="1" spans="1:10">
      <c r="A102" s="639" t="s">
        <v>374</v>
      </c>
      <c r="B102" s="640">
        <v>98</v>
      </c>
      <c r="C102" s="645" t="s">
        <v>925</v>
      </c>
      <c r="D102" s="642">
        <v>1</v>
      </c>
      <c r="E102" s="642">
        <v>1</v>
      </c>
      <c r="F102" s="642">
        <v>1</v>
      </c>
      <c r="G102" s="642">
        <v>2</v>
      </c>
      <c r="H102" s="642">
        <v>2</v>
      </c>
      <c r="I102" s="642">
        <v>1</v>
      </c>
      <c r="J102" s="642">
        <v>1</v>
      </c>
    </row>
    <row r="103" s="625" customFormat="1" spans="1:10">
      <c r="A103" s="639" t="s">
        <v>300</v>
      </c>
      <c r="B103" s="640">
        <v>99</v>
      </c>
      <c r="C103" s="645" t="s">
        <v>933</v>
      </c>
      <c r="D103" s="642">
        <v>1</v>
      </c>
      <c r="E103" s="642">
        <v>2</v>
      </c>
      <c r="F103" s="642">
        <v>1</v>
      </c>
      <c r="G103" s="642">
        <v>3</v>
      </c>
      <c r="H103" s="642">
        <v>1</v>
      </c>
      <c r="I103" s="642">
        <v>1</v>
      </c>
      <c r="J103" s="642">
        <v>1</v>
      </c>
    </row>
    <row r="104" s="625" customFormat="1" spans="1:10">
      <c r="A104" s="643" t="s">
        <v>374</v>
      </c>
      <c r="B104" s="640">
        <v>100</v>
      </c>
      <c r="C104" s="645" t="s">
        <v>943</v>
      </c>
      <c r="D104" s="642">
        <v>1</v>
      </c>
      <c r="E104" s="642">
        <v>1</v>
      </c>
      <c r="F104" s="642">
        <v>1</v>
      </c>
      <c r="G104" s="642">
        <v>1</v>
      </c>
      <c r="H104" s="642">
        <v>1</v>
      </c>
      <c r="I104" s="642">
        <v>1</v>
      </c>
      <c r="J104" s="642">
        <v>1</v>
      </c>
    </row>
    <row r="105" s="625" customFormat="1" spans="1:10">
      <c r="A105" s="639" t="s">
        <v>300</v>
      </c>
      <c r="B105" s="640">
        <v>101</v>
      </c>
      <c r="C105" s="645" t="s">
        <v>951</v>
      </c>
      <c r="D105" s="642">
        <v>1</v>
      </c>
      <c r="E105" s="642">
        <v>1</v>
      </c>
      <c r="F105" s="642">
        <v>1</v>
      </c>
      <c r="G105" s="642">
        <v>2</v>
      </c>
      <c r="H105" s="642">
        <v>1</v>
      </c>
      <c r="I105" s="642">
        <v>1</v>
      </c>
      <c r="J105" s="642">
        <v>1</v>
      </c>
    </row>
    <row r="106" s="625" customFormat="1" spans="1:10">
      <c r="A106" s="639" t="s">
        <v>300</v>
      </c>
      <c r="B106" s="640">
        <v>102</v>
      </c>
      <c r="C106" s="645" t="s">
        <v>957</v>
      </c>
      <c r="D106" s="643">
        <v>1</v>
      </c>
      <c r="E106" s="642">
        <v>3</v>
      </c>
      <c r="F106" s="642">
        <v>1</v>
      </c>
      <c r="G106" s="642">
        <v>3</v>
      </c>
      <c r="H106" s="642">
        <v>2</v>
      </c>
      <c r="I106" s="642">
        <v>2</v>
      </c>
      <c r="J106" s="642">
        <v>2</v>
      </c>
    </row>
    <row r="107" s="625" customFormat="1" spans="1:10">
      <c r="A107" s="639" t="s">
        <v>300</v>
      </c>
      <c r="B107" s="640">
        <v>103</v>
      </c>
      <c r="C107" s="645" t="s">
        <v>962</v>
      </c>
      <c r="D107" s="642">
        <v>1</v>
      </c>
      <c r="E107" s="642">
        <v>3</v>
      </c>
      <c r="F107" s="642">
        <v>1</v>
      </c>
      <c r="G107" s="642">
        <v>1</v>
      </c>
      <c r="H107" s="642">
        <v>1</v>
      </c>
      <c r="I107" s="642">
        <v>1</v>
      </c>
      <c r="J107" s="642">
        <v>1</v>
      </c>
    </row>
    <row r="108" s="625" customFormat="1" spans="1:10">
      <c r="A108" s="639" t="s">
        <v>277</v>
      </c>
      <c r="B108" s="640">
        <v>104</v>
      </c>
      <c r="C108" s="645" t="s">
        <v>969</v>
      </c>
      <c r="D108" s="642">
        <v>1</v>
      </c>
      <c r="E108" s="642">
        <v>1</v>
      </c>
      <c r="F108" s="642">
        <v>1</v>
      </c>
      <c r="G108" s="642">
        <v>1</v>
      </c>
      <c r="H108" s="642">
        <v>1</v>
      </c>
      <c r="I108" s="642">
        <v>1</v>
      </c>
      <c r="J108" s="642">
        <v>1</v>
      </c>
    </row>
    <row r="109" s="625" customFormat="1" spans="1:10">
      <c r="A109" s="639" t="s">
        <v>374</v>
      </c>
      <c r="B109" s="640">
        <v>105</v>
      </c>
      <c r="C109" s="641" t="s">
        <v>978</v>
      </c>
      <c r="D109" s="642">
        <v>1</v>
      </c>
      <c r="E109" s="642">
        <v>3</v>
      </c>
      <c r="F109" s="642">
        <v>1</v>
      </c>
      <c r="G109" s="642">
        <v>3</v>
      </c>
      <c r="H109" s="642">
        <v>1</v>
      </c>
      <c r="I109" s="642">
        <v>2</v>
      </c>
      <c r="J109" s="642">
        <v>2</v>
      </c>
    </row>
    <row r="110" s="625" customFormat="1" spans="1:10">
      <c r="A110" s="639" t="s">
        <v>300</v>
      </c>
      <c r="B110" s="640">
        <v>106</v>
      </c>
      <c r="C110" s="641" t="s">
        <v>984</v>
      </c>
      <c r="D110" s="642">
        <v>1</v>
      </c>
      <c r="E110" s="642">
        <v>2</v>
      </c>
      <c r="F110" s="642">
        <v>1</v>
      </c>
      <c r="G110" s="642">
        <v>4</v>
      </c>
      <c r="H110" s="642">
        <v>1</v>
      </c>
      <c r="I110" s="642">
        <v>2</v>
      </c>
      <c r="J110" s="642">
        <v>1</v>
      </c>
    </row>
    <row r="111" s="625" customFormat="1" spans="1:10">
      <c r="A111" s="643" t="s">
        <v>374</v>
      </c>
      <c r="B111" s="640">
        <v>107</v>
      </c>
      <c r="C111" s="641" t="s">
        <v>992</v>
      </c>
      <c r="D111" s="642">
        <v>1</v>
      </c>
      <c r="E111" s="642">
        <v>3</v>
      </c>
      <c r="F111" s="642">
        <v>1</v>
      </c>
      <c r="G111" s="642">
        <v>3</v>
      </c>
      <c r="H111" s="642">
        <v>1</v>
      </c>
      <c r="I111" s="642">
        <v>1</v>
      </c>
      <c r="J111" s="642"/>
    </row>
    <row r="112" s="625" customFormat="1" spans="1:10">
      <c r="A112" s="639" t="s">
        <v>277</v>
      </c>
      <c r="B112" s="640">
        <v>108</v>
      </c>
      <c r="C112" s="641" t="s">
        <v>1001</v>
      </c>
      <c r="D112" s="642">
        <v>1</v>
      </c>
      <c r="E112" s="642">
        <v>2</v>
      </c>
      <c r="F112" s="642">
        <v>1</v>
      </c>
      <c r="G112" s="642">
        <v>3</v>
      </c>
      <c r="H112" s="642">
        <v>1</v>
      </c>
      <c r="I112" s="642">
        <v>2</v>
      </c>
      <c r="J112" s="642">
        <v>1</v>
      </c>
    </row>
    <row r="113" s="628" customFormat="1" spans="1:10">
      <c r="A113" s="639" t="s">
        <v>277</v>
      </c>
      <c r="B113" s="640">
        <v>109</v>
      </c>
      <c r="C113" s="641" t="s">
        <v>1003</v>
      </c>
      <c r="D113" s="643">
        <v>1</v>
      </c>
      <c r="E113" s="643">
        <v>1</v>
      </c>
      <c r="F113" s="643">
        <v>1</v>
      </c>
      <c r="G113" s="643">
        <v>3</v>
      </c>
      <c r="H113" s="643">
        <v>1</v>
      </c>
      <c r="I113" s="643">
        <v>1</v>
      </c>
      <c r="J113" s="642"/>
    </row>
    <row r="114" s="625" customFormat="1" spans="1:10">
      <c r="A114" s="643" t="s">
        <v>374</v>
      </c>
      <c r="B114" s="640">
        <v>110</v>
      </c>
      <c r="C114" s="641" t="s">
        <v>1013</v>
      </c>
      <c r="D114" s="642">
        <v>1</v>
      </c>
      <c r="E114" s="642">
        <v>3</v>
      </c>
      <c r="F114" s="642">
        <v>1</v>
      </c>
      <c r="G114" s="642">
        <v>3</v>
      </c>
      <c r="H114" s="642">
        <v>1</v>
      </c>
      <c r="I114" s="642">
        <v>2</v>
      </c>
      <c r="J114" s="642"/>
    </row>
    <row r="115" s="625" customFormat="1" spans="1:10">
      <c r="A115" s="643" t="s">
        <v>374</v>
      </c>
      <c r="B115" s="640">
        <v>111</v>
      </c>
      <c r="C115" s="641" t="s">
        <v>1017</v>
      </c>
      <c r="D115" s="642">
        <v>1</v>
      </c>
      <c r="E115" s="642">
        <v>1</v>
      </c>
      <c r="F115" s="642">
        <v>1</v>
      </c>
      <c r="G115" s="642">
        <v>1</v>
      </c>
      <c r="H115" s="642">
        <v>1</v>
      </c>
      <c r="I115" s="642">
        <v>1</v>
      </c>
      <c r="J115" s="642"/>
    </row>
    <row r="116" s="625" customFormat="1" spans="1:10">
      <c r="A116" s="639" t="s">
        <v>277</v>
      </c>
      <c r="B116" s="640">
        <v>112</v>
      </c>
      <c r="C116" s="641" t="s">
        <v>1021</v>
      </c>
      <c r="D116" s="644">
        <v>1</v>
      </c>
      <c r="E116" s="644">
        <v>3</v>
      </c>
      <c r="F116" s="644">
        <v>1</v>
      </c>
      <c r="G116" s="644">
        <v>3</v>
      </c>
      <c r="H116" s="644">
        <v>1</v>
      </c>
      <c r="I116" s="644">
        <v>1</v>
      </c>
      <c r="J116" s="642">
        <v>1</v>
      </c>
    </row>
    <row r="117" s="625" customFormat="1" spans="1:10">
      <c r="A117" s="639" t="s">
        <v>277</v>
      </c>
      <c r="B117" s="640">
        <v>113</v>
      </c>
      <c r="C117" s="641" t="s">
        <v>1031</v>
      </c>
      <c r="D117" s="643">
        <v>1</v>
      </c>
      <c r="E117" s="643">
        <v>1</v>
      </c>
      <c r="F117" s="643">
        <v>1</v>
      </c>
      <c r="G117" s="643">
        <v>3</v>
      </c>
      <c r="H117" s="643">
        <v>1</v>
      </c>
      <c r="I117" s="643">
        <v>1</v>
      </c>
      <c r="J117" s="642">
        <v>1</v>
      </c>
    </row>
    <row r="118" s="625" customFormat="1" spans="1:10">
      <c r="A118" s="643" t="s">
        <v>374</v>
      </c>
      <c r="B118" s="640">
        <v>114</v>
      </c>
      <c r="C118" s="641" t="s">
        <v>1038</v>
      </c>
      <c r="D118" s="642">
        <v>1</v>
      </c>
      <c r="E118" s="642">
        <v>1</v>
      </c>
      <c r="F118" s="642">
        <v>1</v>
      </c>
      <c r="G118" s="642">
        <v>3</v>
      </c>
      <c r="H118" s="642">
        <v>1</v>
      </c>
      <c r="I118" s="642">
        <v>2</v>
      </c>
      <c r="J118" s="642"/>
    </row>
    <row r="119" s="625" customFormat="1" spans="1:10">
      <c r="A119" s="639" t="s">
        <v>300</v>
      </c>
      <c r="B119" s="640">
        <v>115</v>
      </c>
      <c r="C119" s="641" t="s">
        <v>1043</v>
      </c>
      <c r="D119" s="642">
        <v>1</v>
      </c>
      <c r="E119" s="642">
        <v>3</v>
      </c>
      <c r="F119" s="642">
        <v>1</v>
      </c>
      <c r="G119" s="642">
        <v>3</v>
      </c>
      <c r="H119" s="642">
        <v>1</v>
      </c>
      <c r="I119" s="642">
        <v>1</v>
      </c>
      <c r="J119" s="642">
        <v>1</v>
      </c>
    </row>
    <row r="120" s="628" customFormat="1" spans="1:10">
      <c r="A120" s="643" t="s">
        <v>300</v>
      </c>
      <c r="B120" s="640">
        <v>116</v>
      </c>
      <c r="C120" s="641" t="s">
        <v>1053</v>
      </c>
      <c r="D120" s="642">
        <v>1</v>
      </c>
      <c r="E120" s="642">
        <v>3</v>
      </c>
      <c r="F120" s="642">
        <v>1</v>
      </c>
      <c r="G120" s="642">
        <v>3</v>
      </c>
      <c r="H120" s="642">
        <v>1</v>
      </c>
      <c r="I120" s="642">
        <v>2</v>
      </c>
      <c r="J120" s="642"/>
    </row>
    <row r="121" s="625" customFormat="1" spans="1:10">
      <c r="A121" s="643" t="s">
        <v>374</v>
      </c>
      <c r="B121" s="640">
        <v>117</v>
      </c>
      <c r="C121" s="641" t="s">
        <v>1061</v>
      </c>
      <c r="D121" s="642">
        <v>1</v>
      </c>
      <c r="E121" s="642">
        <v>3</v>
      </c>
      <c r="F121" s="642">
        <v>1</v>
      </c>
      <c r="G121" s="642">
        <v>3</v>
      </c>
      <c r="H121" s="642">
        <v>1</v>
      </c>
      <c r="I121" s="642">
        <v>1</v>
      </c>
      <c r="J121" s="642"/>
    </row>
    <row r="122" s="625" customFormat="1" spans="1:10">
      <c r="A122" s="643" t="s">
        <v>374</v>
      </c>
      <c r="B122" s="640">
        <v>118</v>
      </c>
      <c r="C122" s="641" t="s">
        <v>1071</v>
      </c>
      <c r="D122" s="642">
        <v>1</v>
      </c>
      <c r="E122" s="642">
        <v>1</v>
      </c>
      <c r="F122" s="642">
        <v>1</v>
      </c>
      <c r="G122" s="642">
        <v>1</v>
      </c>
      <c r="H122" s="642">
        <v>1</v>
      </c>
      <c r="I122" s="642">
        <v>1</v>
      </c>
      <c r="J122" s="642"/>
    </row>
    <row r="123" s="625" customFormat="1" spans="1:10">
      <c r="A123" s="643" t="s">
        <v>374</v>
      </c>
      <c r="B123" s="640">
        <v>119</v>
      </c>
      <c r="C123" s="641" t="s">
        <v>1075</v>
      </c>
      <c r="D123" s="643">
        <v>1</v>
      </c>
      <c r="E123" s="643">
        <v>2</v>
      </c>
      <c r="F123" s="643">
        <v>1</v>
      </c>
      <c r="G123" s="643">
        <v>3</v>
      </c>
      <c r="H123" s="643">
        <v>1</v>
      </c>
      <c r="I123" s="643">
        <v>2</v>
      </c>
      <c r="J123" s="642"/>
    </row>
    <row r="124" s="625" customFormat="1" spans="1:10">
      <c r="A124" s="639" t="s">
        <v>277</v>
      </c>
      <c r="B124" s="640">
        <v>120</v>
      </c>
      <c r="C124" s="641" t="s">
        <v>1079</v>
      </c>
      <c r="D124" s="643">
        <v>1</v>
      </c>
      <c r="E124" s="642">
        <v>3</v>
      </c>
      <c r="F124" s="642">
        <v>1</v>
      </c>
      <c r="G124" s="642">
        <v>3</v>
      </c>
      <c r="H124" s="642">
        <v>1</v>
      </c>
      <c r="I124" s="642">
        <v>2</v>
      </c>
      <c r="J124" s="642">
        <v>1</v>
      </c>
    </row>
    <row r="125" s="625" customFormat="1" spans="1:10">
      <c r="A125" s="643" t="s">
        <v>374</v>
      </c>
      <c r="B125" s="640">
        <v>121</v>
      </c>
      <c r="C125" s="641" t="s">
        <v>1082</v>
      </c>
      <c r="D125" s="642">
        <v>1</v>
      </c>
      <c r="E125" s="642">
        <v>1</v>
      </c>
      <c r="F125" s="642">
        <v>1</v>
      </c>
      <c r="G125" s="642">
        <v>3</v>
      </c>
      <c r="H125" s="642">
        <v>1</v>
      </c>
      <c r="I125" s="642">
        <v>2</v>
      </c>
      <c r="J125" s="642"/>
    </row>
    <row r="126" s="625" customFormat="1" spans="1:10">
      <c r="A126" s="643" t="s">
        <v>374</v>
      </c>
      <c r="B126" s="640">
        <v>122</v>
      </c>
      <c r="C126" s="641" t="s">
        <v>1087</v>
      </c>
      <c r="D126" s="642">
        <v>1</v>
      </c>
      <c r="E126" s="642">
        <v>3</v>
      </c>
      <c r="F126" s="642">
        <v>1</v>
      </c>
      <c r="G126" s="642">
        <v>4</v>
      </c>
      <c r="H126" s="642">
        <v>1</v>
      </c>
      <c r="I126" s="642">
        <v>1</v>
      </c>
      <c r="J126" s="642"/>
    </row>
    <row r="127" s="628" customFormat="1" spans="1:10">
      <c r="A127" s="643" t="s">
        <v>374</v>
      </c>
      <c r="B127" s="640">
        <v>123</v>
      </c>
      <c r="C127" s="641" t="s">
        <v>1094</v>
      </c>
      <c r="D127" s="642">
        <v>1</v>
      </c>
      <c r="E127" s="642">
        <v>1</v>
      </c>
      <c r="F127" s="642">
        <v>1</v>
      </c>
      <c r="G127" s="642">
        <v>3</v>
      </c>
      <c r="H127" s="642">
        <v>1</v>
      </c>
      <c r="I127" s="642">
        <v>1</v>
      </c>
      <c r="J127" s="642"/>
    </row>
    <row r="128" s="625" customFormat="1" spans="1:10">
      <c r="A128" s="643" t="s">
        <v>374</v>
      </c>
      <c r="B128" s="640">
        <v>124</v>
      </c>
      <c r="C128" s="641" t="s">
        <v>1099</v>
      </c>
      <c r="D128" s="642">
        <v>1</v>
      </c>
      <c r="E128" s="642">
        <v>1</v>
      </c>
      <c r="F128" s="642">
        <v>1</v>
      </c>
      <c r="G128" s="642">
        <v>3</v>
      </c>
      <c r="H128" s="642">
        <v>1</v>
      </c>
      <c r="I128" s="642">
        <v>1</v>
      </c>
      <c r="J128" s="642"/>
    </row>
    <row r="129" s="625" customFormat="1" spans="1:10">
      <c r="A129" s="643" t="s">
        <v>374</v>
      </c>
      <c r="B129" s="640">
        <v>125</v>
      </c>
      <c r="C129" s="652" t="s">
        <v>1108</v>
      </c>
      <c r="D129" s="653">
        <v>1</v>
      </c>
      <c r="E129" s="653">
        <v>3</v>
      </c>
      <c r="F129" s="653">
        <v>1</v>
      </c>
      <c r="G129" s="653">
        <v>3</v>
      </c>
      <c r="H129" s="653">
        <v>1</v>
      </c>
      <c r="I129" s="653">
        <v>1</v>
      </c>
      <c r="J129" s="642"/>
    </row>
    <row r="130" s="625" customFormat="1" spans="1:10">
      <c r="A130" s="639" t="s">
        <v>277</v>
      </c>
      <c r="B130" s="640">
        <v>126</v>
      </c>
      <c r="C130" s="641" t="s">
        <v>1112</v>
      </c>
      <c r="D130" s="642">
        <v>1</v>
      </c>
      <c r="E130" s="642">
        <v>2</v>
      </c>
      <c r="F130" s="642">
        <v>1</v>
      </c>
      <c r="G130" s="642">
        <v>3</v>
      </c>
      <c r="H130" s="642">
        <v>1</v>
      </c>
      <c r="I130" s="642">
        <v>1</v>
      </c>
      <c r="J130" s="642">
        <v>1</v>
      </c>
    </row>
    <row r="131" s="625" customFormat="1" spans="1:10">
      <c r="A131" s="639" t="s">
        <v>345</v>
      </c>
      <c r="B131" s="640">
        <v>127</v>
      </c>
      <c r="C131" s="641" t="s">
        <v>1119</v>
      </c>
      <c r="D131" s="642">
        <v>1</v>
      </c>
      <c r="E131" s="642">
        <v>1</v>
      </c>
      <c r="F131" s="642">
        <v>1</v>
      </c>
      <c r="G131" s="642">
        <v>3</v>
      </c>
      <c r="H131" s="642">
        <v>1</v>
      </c>
      <c r="I131" s="642">
        <v>1</v>
      </c>
      <c r="J131" s="642">
        <v>1</v>
      </c>
    </row>
    <row r="132" s="625" customFormat="1" spans="1:10">
      <c r="A132" s="643" t="s">
        <v>374</v>
      </c>
      <c r="B132" s="640">
        <v>128</v>
      </c>
      <c r="C132" s="641" t="s">
        <v>1121</v>
      </c>
      <c r="D132" s="642">
        <v>1</v>
      </c>
      <c r="E132" s="642">
        <v>3</v>
      </c>
      <c r="F132" s="642">
        <v>1</v>
      </c>
      <c r="G132" s="642">
        <v>3</v>
      </c>
      <c r="H132" s="642">
        <v>1</v>
      </c>
      <c r="I132" s="642">
        <v>1</v>
      </c>
      <c r="J132" s="642"/>
    </row>
    <row r="133" s="625" customFormat="1" spans="1:10">
      <c r="A133" s="639" t="s">
        <v>300</v>
      </c>
      <c r="B133" s="640">
        <v>129</v>
      </c>
      <c r="C133" s="641" t="s">
        <v>1134</v>
      </c>
      <c r="D133" s="642">
        <v>1</v>
      </c>
      <c r="E133" s="642">
        <v>3</v>
      </c>
      <c r="F133" s="643">
        <v>1</v>
      </c>
      <c r="G133" s="643">
        <v>3</v>
      </c>
      <c r="H133" s="643">
        <v>1</v>
      </c>
      <c r="I133" s="643">
        <v>2</v>
      </c>
      <c r="J133" s="642">
        <v>1</v>
      </c>
    </row>
    <row r="134" s="625" customFormat="1" spans="1:10">
      <c r="A134" s="639" t="s">
        <v>277</v>
      </c>
      <c r="B134" s="640">
        <v>130</v>
      </c>
      <c r="C134" s="641" t="s">
        <v>1145</v>
      </c>
      <c r="D134" s="642">
        <v>1</v>
      </c>
      <c r="E134" s="642">
        <v>3</v>
      </c>
      <c r="F134" s="642">
        <v>1</v>
      </c>
      <c r="G134" s="642">
        <v>3</v>
      </c>
      <c r="H134" s="642">
        <v>1</v>
      </c>
      <c r="I134" s="642">
        <v>1</v>
      </c>
      <c r="J134" s="642">
        <v>1</v>
      </c>
    </row>
    <row r="135" s="625" customFormat="1" spans="1:10">
      <c r="A135" s="643" t="s">
        <v>374</v>
      </c>
      <c r="B135" s="640">
        <v>131</v>
      </c>
      <c r="C135" s="641" t="s">
        <v>1157</v>
      </c>
      <c r="D135" s="642">
        <v>1</v>
      </c>
      <c r="E135" s="642">
        <v>2</v>
      </c>
      <c r="F135" s="642">
        <v>1</v>
      </c>
      <c r="G135" s="642">
        <v>3</v>
      </c>
      <c r="H135" s="642">
        <v>1</v>
      </c>
      <c r="I135" s="642">
        <v>1</v>
      </c>
      <c r="J135" s="642"/>
    </row>
    <row r="136" s="625" customFormat="1" spans="1:10">
      <c r="A136" s="639" t="s">
        <v>277</v>
      </c>
      <c r="B136" s="640">
        <v>132</v>
      </c>
      <c r="C136" s="641" t="s">
        <v>1166</v>
      </c>
      <c r="D136" s="642">
        <v>1</v>
      </c>
      <c r="E136" s="642">
        <v>1</v>
      </c>
      <c r="F136" s="642">
        <v>1</v>
      </c>
      <c r="G136" s="642">
        <v>3</v>
      </c>
      <c r="H136" s="642">
        <v>1</v>
      </c>
      <c r="I136" s="642">
        <v>1</v>
      </c>
      <c r="J136" s="642"/>
    </row>
    <row r="137" s="625" customFormat="1" spans="1:10">
      <c r="A137" s="639" t="s">
        <v>277</v>
      </c>
      <c r="B137" s="640">
        <v>133</v>
      </c>
      <c r="C137" s="641" t="s">
        <v>1170</v>
      </c>
      <c r="D137" s="642">
        <v>1</v>
      </c>
      <c r="E137" s="642">
        <v>1</v>
      </c>
      <c r="F137" s="642">
        <v>1</v>
      </c>
      <c r="G137" s="642">
        <v>3</v>
      </c>
      <c r="H137" s="642">
        <v>1</v>
      </c>
      <c r="I137" s="642">
        <v>1</v>
      </c>
      <c r="J137" s="642"/>
    </row>
    <row r="138" s="625" customFormat="1" spans="1:10">
      <c r="A138" s="639" t="s">
        <v>277</v>
      </c>
      <c r="B138" s="640">
        <v>134</v>
      </c>
      <c r="C138" s="641" t="s">
        <v>1181</v>
      </c>
      <c r="D138" s="642">
        <v>1</v>
      </c>
      <c r="E138" s="642">
        <v>1</v>
      </c>
      <c r="F138" s="642">
        <v>1</v>
      </c>
      <c r="G138" s="642">
        <v>2</v>
      </c>
      <c r="H138" s="642">
        <v>1</v>
      </c>
      <c r="I138" s="642">
        <v>1</v>
      </c>
      <c r="J138" s="642">
        <v>1</v>
      </c>
    </row>
    <row r="139" s="625" customFormat="1" spans="1:10">
      <c r="A139" s="643" t="s">
        <v>374</v>
      </c>
      <c r="B139" s="640">
        <v>135</v>
      </c>
      <c r="C139" s="641" t="s">
        <v>1186</v>
      </c>
      <c r="D139" s="644">
        <v>1</v>
      </c>
      <c r="E139" s="644">
        <v>1</v>
      </c>
      <c r="F139" s="644">
        <v>1</v>
      </c>
      <c r="G139" s="644">
        <v>1</v>
      </c>
      <c r="H139" s="644">
        <v>1</v>
      </c>
      <c r="I139" s="644">
        <v>1</v>
      </c>
      <c r="J139" s="642"/>
    </row>
    <row r="140" s="625" customFormat="1" spans="1:10">
      <c r="A140" s="643" t="s">
        <v>374</v>
      </c>
      <c r="B140" s="640">
        <v>136</v>
      </c>
      <c r="C140" s="641" t="s">
        <v>1191</v>
      </c>
      <c r="D140" s="644">
        <v>1</v>
      </c>
      <c r="E140" s="644">
        <v>3</v>
      </c>
      <c r="F140" s="644">
        <v>1</v>
      </c>
      <c r="G140" s="644">
        <v>3</v>
      </c>
      <c r="H140" s="644">
        <v>1</v>
      </c>
      <c r="I140" s="644">
        <v>1</v>
      </c>
      <c r="J140" s="642"/>
    </row>
    <row r="141" s="625" customFormat="1" spans="1:10">
      <c r="A141" s="643" t="s">
        <v>374</v>
      </c>
      <c r="B141" s="640">
        <v>137</v>
      </c>
      <c r="C141" s="641" t="s">
        <v>1198</v>
      </c>
      <c r="D141" s="642">
        <v>1</v>
      </c>
      <c r="E141" s="642">
        <v>1</v>
      </c>
      <c r="F141" s="642">
        <v>1</v>
      </c>
      <c r="G141" s="642">
        <v>1</v>
      </c>
      <c r="H141" s="642">
        <v>1</v>
      </c>
      <c r="I141" s="642">
        <v>2</v>
      </c>
      <c r="J141" s="642"/>
    </row>
    <row r="142" s="625" customFormat="1" spans="1:10">
      <c r="A142" s="639" t="s">
        <v>277</v>
      </c>
      <c r="B142" s="640">
        <v>138</v>
      </c>
      <c r="C142" s="641" t="s">
        <v>1203</v>
      </c>
      <c r="D142" s="642">
        <v>1</v>
      </c>
      <c r="E142" s="642">
        <v>1</v>
      </c>
      <c r="F142" s="642">
        <v>1</v>
      </c>
      <c r="G142" s="642">
        <v>1</v>
      </c>
      <c r="H142" s="642">
        <v>1</v>
      </c>
      <c r="I142" s="642">
        <v>1</v>
      </c>
      <c r="J142" s="642">
        <v>1</v>
      </c>
    </row>
    <row r="143" s="625" customFormat="1" spans="1:10">
      <c r="A143" s="639" t="s">
        <v>277</v>
      </c>
      <c r="B143" s="640">
        <v>139</v>
      </c>
      <c r="C143" s="641" t="s">
        <v>1212</v>
      </c>
      <c r="D143" s="642">
        <v>1</v>
      </c>
      <c r="E143" s="642">
        <v>1</v>
      </c>
      <c r="F143" s="642">
        <v>1</v>
      </c>
      <c r="G143" s="642">
        <v>2</v>
      </c>
      <c r="H143" s="642">
        <v>1</v>
      </c>
      <c r="I143" s="642">
        <v>1</v>
      </c>
      <c r="J143" s="642">
        <v>1</v>
      </c>
    </row>
    <row r="144" s="625" customFormat="1" spans="1:10">
      <c r="A144" s="643" t="s">
        <v>374</v>
      </c>
      <c r="B144" s="640">
        <v>140</v>
      </c>
      <c r="C144" s="641" t="s">
        <v>1216</v>
      </c>
      <c r="D144" s="642">
        <v>1</v>
      </c>
      <c r="E144" s="642">
        <v>1</v>
      </c>
      <c r="F144" s="642">
        <v>1</v>
      </c>
      <c r="G144" s="642">
        <v>3</v>
      </c>
      <c r="H144" s="642">
        <v>1</v>
      </c>
      <c r="I144" s="642">
        <v>2</v>
      </c>
      <c r="J144" s="642"/>
    </row>
    <row r="145" s="625" customFormat="1" spans="1:10">
      <c r="A145" s="639" t="s">
        <v>277</v>
      </c>
      <c r="B145" s="640">
        <v>141</v>
      </c>
      <c r="C145" s="641" t="s">
        <v>1219</v>
      </c>
      <c r="D145" s="642">
        <v>1</v>
      </c>
      <c r="E145" s="642">
        <v>1</v>
      </c>
      <c r="F145" s="642">
        <v>1</v>
      </c>
      <c r="G145" s="642">
        <v>2</v>
      </c>
      <c r="H145" s="642">
        <v>1</v>
      </c>
      <c r="I145" s="642">
        <v>1</v>
      </c>
      <c r="J145" s="642">
        <v>1</v>
      </c>
    </row>
    <row r="146" s="625" customFormat="1" spans="1:10">
      <c r="A146" s="643" t="s">
        <v>374</v>
      </c>
      <c r="B146" s="640">
        <v>142</v>
      </c>
      <c r="C146" s="641" t="s">
        <v>1226</v>
      </c>
      <c r="D146" s="642">
        <v>1</v>
      </c>
      <c r="E146" s="642">
        <v>2</v>
      </c>
      <c r="F146" s="642">
        <v>1</v>
      </c>
      <c r="G146" s="642">
        <v>2</v>
      </c>
      <c r="H146" s="642">
        <v>1</v>
      </c>
      <c r="I146" s="642">
        <v>1</v>
      </c>
      <c r="J146" s="642"/>
    </row>
    <row r="147" s="625" customFormat="1" spans="1:10">
      <c r="A147" s="639" t="s">
        <v>277</v>
      </c>
      <c r="B147" s="640">
        <v>143</v>
      </c>
      <c r="C147" s="641" t="s">
        <v>1236</v>
      </c>
      <c r="D147" s="642">
        <v>1</v>
      </c>
      <c r="E147" s="642">
        <v>1</v>
      </c>
      <c r="F147" s="642">
        <v>1</v>
      </c>
      <c r="G147" s="642">
        <v>2</v>
      </c>
      <c r="H147" s="642">
        <v>1</v>
      </c>
      <c r="I147" s="642">
        <v>1</v>
      </c>
      <c r="J147" s="642">
        <v>1</v>
      </c>
    </row>
    <row r="148" s="625" customFormat="1" spans="1:10">
      <c r="A148" s="643" t="s">
        <v>374</v>
      </c>
      <c r="B148" s="640">
        <v>144</v>
      </c>
      <c r="C148" s="641" t="s">
        <v>1244</v>
      </c>
      <c r="D148" s="643">
        <v>1</v>
      </c>
      <c r="E148" s="643">
        <v>1</v>
      </c>
      <c r="F148" s="643">
        <v>1</v>
      </c>
      <c r="G148" s="643">
        <v>2</v>
      </c>
      <c r="H148" s="643">
        <v>1</v>
      </c>
      <c r="I148" s="643">
        <v>1</v>
      </c>
      <c r="J148" s="642"/>
    </row>
    <row r="149" s="625" customFormat="1" spans="1:10">
      <c r="A149" s="643" t="s">
        <v>374</v>
      </c>
      <c r="B149" s="640">
        <v>145</v>
      </c>
      <c r="C149" s="641" t="s">
        <v>1248</v>
      </c>
      <c r="D149" s="642">
        <v>1</v>
      </c>
      <c r="E149" s="642">
        <v>2</v>
      </c>
      <c r="F149" s="642">
        <v>1</v>
      </c>
      <c r="G149" s="642">
        <v>2</v>
      </c>
      <c r="H149" s="642">
        <v>1</v>
      </c>
      <c r="I149" s="642">
        <v>1</v>
      </c>
      <c r="J149" s="642">
        <v>1</v>
      </c>
    </row>
    <row r="150" s="625" customFormat="1" spans="1:10">
      <c r="A150" s="639" t="s">
        <v>277</v>
      </c>
      <c r="B150" s="640">
        <v>146</v>
      </c>
      <c r="C150" s="641" t="s">
        <v>1256</v>
      </c>
      <c r="D150" s="642">
        <v>1</v>
      </c>
      <c r="E150" s="642">
        <v>2</v>
      </c>
      <c r="F150" s="642">
        <v>1</v>
      </c>
      <c r="G150" s="642">
        <v>2</v>
      </c>
      <c r="H150" s="642">
        <v>1</v>
      </c>
      <c r="I150" s="642">
        <v>1</v>
      </c>
      <c r="J150" s="642">
        <v>1</v>
      </c>
    </row>
    <row r="151" s="625" customFormat="1" spans="1:10">
      <c r="A151" s="639" t="s">
        <v>277</v>
      </c>
      <c r="B151" s="640">
        <v>147</v>
      </c>
      <c r="C151" s="641" t="s">
        <v>1259</v>
      </c>
      <c r="D151" s="642">
        <v>1</v>
      </c>
      <c r="E151" s="642">
        <v>1</v>
      </c>
      <c r="F151" s="642">
        <v>1</v>
      </c>
      <c r="G151" s="642">
        <v>2</v>
      </c>
      <c r="H151" s="642">
        <v>1</v>
      </c>
      <c r="I151" s="642">
        <v>1</v>
      </c>
      <c r="J151" s="642">
        <v>1</v>
      </c>
    </row>
    <row r="152" s="625" customFormat="1" spans="1:10">
      <c r="A152" s="643" t="s">
        <v>277</v>
      </c>
      <c r="B152" s="640">
        <v>148</v>
      </c>
      <c r="C152" s="641" t="s">
        <v>1265</v>
      </c>
      <c r="D152" s="644">
        <v>1</v>
      </c>
      <c r="E152" s="644">
        <v>1</v>
      </c>
      <c r="F152" s="644">
        <v>1</v>
      </c>
      <c r="G152" s="644">
        <v>1</v>
      </c>
      <c r="H152" s="644">
        <v>1</v>
      </c>
      <c r="I152" s="644">
        <v>1</v>
      </c>
      <c r="J152" s="642">
        <v>1</v>
      </c>
    </row>
    <row r="153" s="625" customFormat="1" spans="1:10">
      <c r="A153" s="639" t="s">
        <v>277</v>
      </c>
      <c r="B153" s="640">
        <v>149</v>
      </c>
      <c r="C153" s="641" t="s">
        <v>1275</v>
      </c>
      <c r="D153" s="644">
        <v>1</v>
      </c>
      <c r="E153" s="644">
        <v>1</v>
      </c>
      <c r="F153" s="644">
        <v>1</v>
      </c>
      <c r="G153" s="644">
        <v>1</v>
      </c>
      <c r="H153" s="644">
        <v>1</v>
      </c>
      <c r="I153" s="644">
        <v>1</v>
      </c>
      <c r="J153" s="642">
        <v>1</v>
      </c>
    </row>
    <row r="154" s="625" customFormat="1" spans="1:10">
      <c r="A154" s="643" t="s">
        <v>374</v>
      </c>
      <c r="B154" s="640">
        <v>150</v>
      </c>
      <c r="C154" s="641" t="s">
        <v>1280</v>
      </c>
      <c r="D154" s="644">
        <v>1</v>
      </c>
      <c r="E154" s="644">
        <v>1</v>
      </c>
      <c r="F154" s="644">
        <v>1</v>
      </c>
      <c r="G154" s="644">
        <v>1</v>
      </c>
      <c r="H154" s="644">
        <v>1</v>
      </c>
      <c r="I154" s="644">
        <v>1</v>
      </c>
      <c r="J154" s="642"/>
    </row>
    <row r="155" s="625" customFormat="1" spans="1:10">
      <c r="A155" s="639" t="s">
        <v>277</v>
      </c>
      <c r="B155" s="640">
        <v>151</v>
      </c>
      <c r="C155" s="641" t="s">
        <v>1285</v>
      </c>
      <c r="D155" s="642">
        <v>1</v>
      </c>
      <c r="E155" s="642">
        <v>1</v>
      </c>
      <c r="F155" s="642">
        <v>1</v>
      </c>
      <c r="G155" s="642">
        <v>2</v>
      </c>
      <c r="H155" s="642">
        <v>1</v>
      </c>
      <c r="I155" s="642">
        <v>1</v>
      </c>
      <c r="J155" s="642">
        <v>1</v>
      </c>
    </row>
    <row r="156" s="625" customFormat="1" spans="1:10">
      <c r="A156" s="639" t="s">
        <v>277</v>
      </c>
      <c r="B156" s="640">
        <v>152</v>
      </c>
      <c r="C156" s="641" t="s">
        <v>1291</v>
      </c>
      <c r="D156" s="644">
        <v>1</v>
      </c>
      <c r="E156" s="644">
        <v>1</v>
      </c>
      <c r="F156" s="644">
        <v>1</v>
      </c>
      <c r="G156" s="644">
        <v>1</v>
      </c>
      <c r="H156" s="644">
        <v>1</v>
      </c>
      <c r="I156" s="644">
        <v>1</v>
      </c>
      <c r="J156" s="642">
        <v>1</v>
      </c>
    </row>
    <row r="157" s="625" customFormat="1" spans="1:10">
      <c r="A157" s="643" t="s">
        <v>374</v>
      </c>
      <c r="B157" s="640">
        <v>153</v>
      </c>
      <c r="C157" s="641" t="s">
        <v>1298</v>
      </c>
      <c r="D157" s="644">
        <v>1</v>
      </c>
      <c r="E157" s="644">
        <v>1</v>
      </c>
      <c r="F157" s="644">
        <v>1</v>
      </c>
      <c r="G157" s="644">
        <v>2</v>
      </c>
      <c r="H157" s="644">
        <v>1</v>
      </c>
      <c r="I157" s="644">
        <v>1</v>
      </c>
      <c r="J157" s="642"/>
    </row>
    <row r="158" s="625" customFormat="1" spans="1:10">
      <c r="A158" s="639" t="s">
        <v>374</v>
      </c>
      <c r="B158" s="640">
        <v>154</v>
      </c>
      <c r="C158" s="641" t="s">
        <v>1304</v>
      </c>
      <c r="D158" s="644">
        <v>1</v>
      </c>
      <c r="E158" s="644">
        <v>1</v>
      </c>
      <c r="F158" s="644">
        <v>1</v>
      </c>
      <c r="G158" s="644">
        <v>1</v>
      </c>
      <c r="H158" s="644">
        <v>1</v>
      </c>
      <c r="I158" s="644">
        <v>1</v>
      </c>
      <c r="J158" s="642"/>
    </row>
    <row r="159" s="625" customFormat="1" spans="1:10">
      <c r="A159" s="643" t="s">
        <v>374</v>
      </c>
      <c r="B159" s="640">
        <v>155</v>
      </c>
      <c r="C159" s="641" t="s">
        <v>1309</v>
      </c>
      <c r="D159" s="642">
        <v>1</v>
      </c>
      <c r="E159" s="642">
        <v>1</v>
      </c>
      <c r="F159" s="642">
        <v>1</v>
      </c>
      <c r="G159" s="642">
        <v>1</v>
      </c>
      <c r="H159" s="642">
        <v>1</v>
      </c>
      <c r="I159" s="642">
        <v>1</v>
      </c>
      <c r="J159" s="642">
        <v>1</v>
      </c>
    </row>
    <row r="160" s="625" customFormat="1" spans="1:10">
      <c r="A160" s="639" t="s">
        <v>277</v>
      </c>
      <c r="B160" s="640">
        <v>156</v>
      </c>
      <c r="C160" s="641" t="s">
        <v>1316</v>
      </c>
      <c r="D160" s="642">
        <v>1</v>
      </c>
      <c r="E160" s="642">
        <v>1</v>
      </c>
      <c r="F160" s="642">
        <v>1</v>
      </c>
      <c r="G160" s="642">
        <v>1</v>
      </c>
      <c r="H160" s="642">
        <v>1</v>
      </c>
      <c r="I160" s="642">
        <v>1</v>
      </c>
      <c r="J160" s="642">
        <v>1</v>
      </c>
    </row>
    <row r="161" s="625" customFormat="1" spans="1:10">
      <c r="A161" s="639" t="s">
        <v>277</v>
      </c>
      <c r="B161" s="640">
        <v>157</v>
      </c>
      <c r="C161" s="641" t="s">
        <v>1320</v>
      </c>
      <c r="D161" s="642">
        <v>1</v>
      </c>
      <c r="E161" s="642">
        <v>1</v>
      </c>
      <c r="F161" s="642">
        <v>1</v>
      </c>
      <c r="G161" s="642">
        <v>1</v>
      </c>
      <c r="H161" s="642">
        <v>1</v>
      </c>
      <c r="I161" s="642">
        <v>1</v>
      </c>
      <c r="J161" s="642">
        <v>1</v>
      </c>
    </row>
    <row r="162" s="628" customFormat="1" spans="1:10">
      <c r="A162" s="639" t="s">
        <v>277</v>
      </c>
      <c r="B162" s="640">
        <v>158</v>
      </c>
      <c r="C162" s="641" t="s">
        <v>1329</v>
      </c>
      <c r="D162" s="640">
        <v>1</v>
      </c>
      <c r="E162" s="640">
        <v>1</v>
      </c>
      <c r="F162" s="640">
        <v>1</v>
      </c>
      <c r="G162" s="640">
        <v>1</v>
      </c>
      <c r="H162" s="640">
        <v>1</v>
      </c>
      <c r="I162" s="640">
        <v>1</v>
      </c>
      <c r="J162" s="642">
        <v>1</v>
      </c>
    </row>
    <row r="163" s="625" customFormat="1" spans="1:10">
      <c r="A163" s="643" t="s">
        <v>374</v>
      </c>
      <c r="B163" s="640">
        <v>159</v>
      </c>
      <c r="C163" s="641" t="s">
        <v>1334</v>
      </c>
      <c r="D163" s="643">
        <v>1</v>
      </c>
      <c r="E163" s="643">
        <v>1</v>
      </c>
      <c r="F163" s="643">
        <v>1</v>
      </c>
      <c r="G163" s="643">
        <v>1</v>
      </c>
      <c r="H163" s="643">
        <v>1</v>
      </c>
      <c r="I163" s="643">
        <v>2</v>
      </c>
      <c r="J163" s="642"/>
    </row>
    <row r="164" s="625" customFormat="1" spans="1:10">
      <c r="A164" s="643" t="s">
        <v>374</v>
      </c>
      <c r="B164" s="640">
        <v>160</v>
      </c>
      <c r="C164" s="641" t="s">
        <v>1336</v>
      </c>
      <c r="D164" s="642">
        <v>1</v>
      </c>
      <c r="E164" s="642">
        <v>1</v>
      </c>
      <c r="F164" s="642">
        <v>1</v>
      </c>
      <c r="G164" s="642">
        <v>1</v>
      </c>
      <c r="H164" s="642">
        <v>1</v>
      </c>
      <c r="I164" s="642">
        <v>2</v>
      </c>
      <c r="J164" s="642"/>
    </row>
    <row r="165" s="628" customFormat="1" spans="1:10">
      <c r="A165" s="643" t="s">
        <v>277</v>
      </c>
      <c r="B165" s="640">
        <v>161</v>
      </c>
      <c r="C165" s="641" t="s">
        <v>1343</v>
      </c>
      <c r="D165" s="640">
        <v>1</v>
      </c>
      <c r="E165" s="640">
        <v>1</v>
      </c>
      <c r="F165" s="640">
        <v>1</v>
      </c>
      <c r="G165" s="640">
        <v>1</v>
      </c>
      <c r="H165" s="640">
        <v>1</v>
      </c>
      <c r="I165" s="640">
        <v>1</v>
      </c>
      <c r="J165" s="642">
        <v>1</v>
      </c>
    </row>
    <row r="166" s="625" customFormat="1" ht="13.8" spans="1:10">
      <c r="A166" s="639" t="s">
        <v>277</v>
      </c>
      <c r="B166" s="640">
        <v>162</v>
      </c>
      <c r="C166" s="654" t="s">
        <v>1348</v>
      </c>
      <c r="D166" s="642">
        <v>1</v>
      </c>
      <c r="E166" s="642">
        <v>2</v>
      </c>
      <c r="F166" s="642">
        <v>1</v>
      </c>
      <c r="G166" s="642">
        <v>3</v>
      </c>
      <c r="H166" s="642">
        <v>2</v>
      </c>
      <c r="I166" s="642">
        <v>2</v>
      </c>
      <c r="J166" s="642">
        <v>1</v>
      </c>
    </row>
    <row r="167" s="625" customFormat="1" spans="1:10">
      <c r="A167" s="643" t="s">
        <v>374</v>
      </c>
      <c r="B167" s="640">
        <v>163</v>
      </c>
      <c r="C167" s="655" t="s">
        <v>1352</v>
      </c>
      <c r="D167" s="642">
        <v>1</v>
      </c>
      <c r="E167" s="642">
        <v>2</v>
      </c>
      <c r="F167" s="642">
        <v>2</v>
      </c>
      <c r="G167" s="642">
        <v>3</v>
      </c>
      <c r="H167" s="642">
        <v>4</v>
      </c>
      <c r="I167" s="642">
        <v>2</v>
      </c>
      <c r="J167" s="642"/>
    </row>
    <row r="168" s="628" customFormat="1" ht="13.8" spans="1:10">
      <c r="A168" s="643" t="s">
        <v>374</v>
      </c>
      <c r="B168" s="640">
        <v>164</v>
      </c>
      <c r="C168" s="654" t="s">
        <v>1353</v>
      </c>
      <c r="D168" s="642">
        <v>1</v>
      </c>
      <c r="E168" s="642">
        <v>3</v>
      </c>
      <c r="F168" s="642">
        <v>2</v>
      </c>
      <c r="G168" s="642">
        <v>3</v>
      </c>
      <c r="H168" s="642">
        <v>4</v>
      </c>
      <c r="I168" s="642">
        <v>3</v>
      </c>
      <c r="J168" s="642"/>
    </row>
    <row r="169" s="625" customFormat="1" ht="13.8" spans="1:10">
      <c r="A169" s="643" t="s">
        <v>277</v>
      </c>
      <c r="B169" s="640">
        <v>165</v>
      </c>
      <c r="C169" s="654" t="s">
        <v>1356</v>
      </c>
      <c r="D169" s="642">
        <v>1</v>
      </c>
      <c r="E169" s="642">
        <v>1</v>
      </c>
      <c r="F169" s="642">
        <v>1</v>
      </c>
      <c r="G169" s="642">
        <v>1</v>
      </c>
      <c r="H169" s="642">
        <v>2</v>
      </c>
      <c r="I169" s="642">
        <v>1</v>
      </c>
      <c r="J169" s="642"/>
    </row>
    <row r="170" s="625" customFormat="1" ht="13.8" spans="1:10">
      <c r="A170" s="643" t="s">
        <v>277</v>
      </c>
      <c r="B170" s="640">
        <v>166</v>
      </c>
      <c r="C170" s="654" t="s">
        <v>1362</v>
      </c>
      <c r="D170" s="644">
        <v>1</v>
      </c>
      <c r="E170" s="644">
        <v>1</v>
      </c>
      <c r="F170" s="644">
        <v>1</v>
      </c>
      <c r="G170" s="644">
        <v>4</v>
      </c>
      <c r="H170" s="644">
        <v>1</v>
      </c>
      <c r="I170" s="644">
        <v>2</v>
      </c>
      <c r="J170" s="642"/>
    </row>
    <row r="171" s="625" customFormat="1" ht="13.8" spans="1:10">
      <c r="A171" s="643" t="s">
        <v>277</v>
      </c>
      <c r="B171" s="640">
        <v>167</v>
      </c>
      <c r="C171" s="654" t="s">
        <v>1367</v>
      </c>
      <c r="D171" s="644">
        <v>1</v>
      </c>
      <c r="E171" s="644">
        <v>2</v>
      </c>
      <c r="F171" s="644">
        <v>1</v>
      </c>
      <c r="G171" s="644">
        <v>4</v>
      </c>
      <c r="H171" s="644">
        <v>1</v>
      </c>
      <c r="I171" s="644">
        <v>2</v>
      </c>
      <c r="J171" s="642"/>
    </row>
    <row r="172" s="625" customFormat="1" ht="13.8" spans="1:10">
      <c r="A172" s="643" t="s">
        <v>374</v>
      </c>
      <c r="B172" s="640">
        <v>168</v>
      </c>
      <c r="C172" s="654" t="s">
        <v>1373</v>
      </c>
      <c r="D172" s="644">
        <v>1</v>
      </c>
      <c r="E172" s="644">
        <v>1</v>
      </c>
      <c r="F172" s="644">
        <v>1</v>
      </c>
      <c r="G172" s="644">
        <v>1</v>
      </c>
      <c r="H172" s="644">
        <v>3</v>
      </c>
      <c r="I172" s="644">
        <v>2</v>
      </c>
      <c r="J172" s="642"/>
    </row>
    <row r="173" s="625" customFormat="1" ht="13.8" spans="1:10">
      <c r="A173" s="639" t="s">
        <v>277</v>
      </c>
      <c r="B173" s="640">
        <v>169</v>
      </c>
      <c r="C173" s="654" t="s">
        <v>1379</v>
      </c>
      <c r="D173" s="642">
        <v>1</v>
      </c>
      <c r="E173" s="642">
        <v>3</v>
      </c>
      <c r="F173" s="642">
        <v>1</v>
      </c>
      <c r="G173" s="642">
        <v>3</v>
      </c>
      <c r="H173" s="642">
        <v>2</v>
      </c>
      <c r="I173" s="642">
        <v>2</v>
      </c>
      <c r="J173" s="642">
        <v>1</v>
      </c>
    </row>
    <row r="174" s="625" customFormat="1" ht="13.8" spans="1:10">
      <c r="A174" s="639" t="s">
        <v>277</v>
      </c>
      <c r="B174" s="640">
        <v>170</v>
      </c>
      <c r="C174" s="654" t="s">
        <v>1390</v>
      </c>
      <c r="D174" s="642">
        <v>1</v>
      </c>
      <c r="E174" s="642">
        <v>3</v>
      </c>
      <c r="F174" s="642">
        <v>2</v>
      </c>
      <c r="G174" s="642">
        <v>3</v>
      </c>
      <c r="H174" s="642">
        <v>2</v>
      </c>
      <c r="I174" s="642">
        <v>2</v>
      </c>
      <c r="J174" s="642" t="s">
        <v>516</v>
      </c>
    </row>
    <row r="175" s="628" customFormat="1" ht="13.8" spans="1:10">
      <c r="A175" s="643" t="s">
        <v>374</v>
      </c>
      <c r="B175" s="640">
        <v>171</v>
      </c>
      <c r="C175" s="654" t="s">
        <v>1399</v>
      </c>
      <c r="D175" s="643">
        <v>2</v>
      </c>
      <c r="E175" s="643">
        <v>2</v>
      </c>
      <c r="F175" s="643">
        <v>2</v>
      </c>
      <c r="G175" s="643">
        <v>3</v>
      </c>
      <c r="H175" s="643">
        <v>2</v>
      </c>
      <c r="I175" s="643">
        <v>2</v>
      </c>
      <c r="J175" s="642"/>
    </row>
    <row r="176" s="625" customFormat="1" ht="13.8" spans="1:10">
      <c r="A176" s="643" t="s">
        <v>277</v>
      </c>
      <c r="B176" s="640">
        <v>172</v>
      </c>
      <c r="C176" s="654" t="s">
        <v>1406</v>
      </c>
      <c r="D176" s="642">
        <v>1</v>
      </c>
      <c r="E176" s="642">
        <v>3</v>
      </c>
      <c r="F176" s="642">
        <v>2</v>
      </c>
      <c r="G176" s="642">
        <v>3</v>
      </c>
      <c r="H176" s="642">
        <v>2</v>
      </c>
      <c r="I176" s="642">
        <v>2</v>
      </c>
      <c r="J176" s="642"/>
    </row>
    <row r="177" s="625" customFormat="1" ht="13.8" spans="1:10">
      <c r="A177" s="639" t="s">
        <v>277</v>
      </c>
      <c r="B177" s="640">
        <v>173</v>
      </c>
      <c r="C177" s="654" t="s">
        <v>1414</v>
      </c>
      <c r="D177" s="642">
        <v>1</v>
      </c>
      <c r="E177" s="642">
        <v>3</v>
      </c>
      <c r="F177" s="642">
        <v>1</v>
      </c>
      <c r="G177" s="642">
        <v>3</v>
      </c>
      <c r="H177" s="642">
        <v>1</v>
      </c>
      <c r="I177" s="642">
        <v>2</v>
      </c>
      <c r="J177" s="642">
        <v>1</v>
      </c>
    </row>
    <row r="178" s="625" customFormat="1" ht="13.8" spans="1:10">
      <c r="A178" s="643" t="s">
        <v>374</v>
      </c>
      <c r="B178" s="640">
        <v>174</v>
      </c>
      <c r="C178" s="654" t="s">
        <v>1519</v>
      </c>
      <c r="D178" s="642">
        <v>1</v>
      </c>
      <c r="E178" s="642">
        <v>1</v>
      </c>
      <c r="F178" s="642">
        <v>1</v>
      </c>
      <c r="G178" s="642">
        <v>1</v>
      </c>
      <c r="H178" s="642">
        <v>1</v>
      </c>
      <c r="I178" s="642">
        <v>2</v>
      </c>
      <c r="J178" s="642"/>
    </row>
    <row r="179" s="625" customFormat="1" ht="13.8" spans="1:10">
      <c r="A179" s="639" t="s">
        <v>277</v>
      </c>
      <c r="B179" s="640">
        <v>175</v>
      </c>
      <c r="C179" s="654" t="s">
        <v>1423</v>
      </c>
      <c r="D179" s="642">
        <v>1</v>
      </c>
      <c r="E179" s="642">
        <v>1</v>
      </c>
      <c r="F179" s="642">
        <v>1</v>
      </c>
      <c r="G179" s="642">
        <v>1</v>
      </c>
      <c r="H179" s="642">
        <v>1</v>
      </c>
      <c r="I179" s="642">
        <v>1</v>
      </c>
      <c r="J179" s="642">
        <v>1</v>
      </c>
    </row>
    <row r="180" s="628" customFormat="1" ht="13.8" spans="1:10">
      <c r="A180" s="643" t="s">
        <v>374</v>
      </c>
      <c r="B180" s="640">
        <v>176</v>
      </c>
      <c r="C180" s="654" t="s">
        <v>1520</v>
      </c>
      <c r="D180" s="642">
        <v>1</v>
      </c>
      <c r="E180" s="642">
        <v>1</v>
      </c>
      <c r="F180" s="642">
        <v>1</v>
      </c>
      <c r="G180" s="642">
        <v>1</v>
      </c>
      <c r="H180" s="642">
        <v>1</v>
      </c>
      <c r="I180" s="642">
        <v>2</v>
      </c>
      <c r="J180" s="642"/>
    </row>
    <row r="181" s="625" customFormat="1" ht="13.8" spans="1:10">
      <c r="A181" s="643" t="s">
        <v>277</v>
      </c>
      <c r="B181" s="640">
        <v>177</v>
      </c>
      <c r="C181" s="654" t="s">
        <v>1432</v>
      </c>
      <c r="D181" s="642">
        <v>1</v>
      </c>
      <c r="E181" s="642">
        <v>3</v>
      </c>
      <c r="F181" s="642">
        <v>1</v>
      </c>
      <c r="G181" s="642">
        <v>3</v>
      </c>
      <c r="H181" s="642">
        <v>1</v>
      </c>
      <c r="I181" s="642">
        <v>2</v>
      </c>
      <c r="J181" s="642"/>
    </row>
    <row r="182" s="628" customFormat="1" ht="13.8" spans="1:10">
      <c r="A182" s="643" t="s">
        <v>277</v>
      </c>
      <c r="B182" s="640">
        <v>178</v>
      </c>
      <c r="C182" s="654" t="s">
        <v>1441</v>
      </c>
      <c r="D182" s="644">
        <v>1</v>
      </c>
      <c r="E182" s="644">
        <v>3</v>
      </c>
      <c r="F182" s="644">
        <v>1</v>
      </c>
      <c r="G182" s="644">
        <v>3</v>
      </c>
      <c r="H182" s="644">
        <v>1</v>
      </c>
      <c r="I182" s="644">
        <v>2</v>
      </c>
      <c r="J182" s="642"/>
    </row>
    <row r="183" s="628" customFormat="1" ht="13.8" spans="1:10">
      <c r="A183" s="643" t="s">
        <v>374</v>
      </c>
      <c r="B183" s="640">
        <v>179</v>
      </c>
      <c r="C183" s="654" t="s">
        <v>1447</v>
      </c>
      <c r="D183" s="644">
        <v>1</v>
      </c>
      <c r="E183" s="644">
        <v>2</v>
      </c>
      <c r="F183" s="644">
        <v>1</v>
      </c>
      <c r="G183" s="644">
        <v>3</v>
      </c>
      <c r="H183" s="644">
        <v>1</v>
      </c>
      <c r="I183" s="644">
        <v>2</v>
      </c>
      <c r="J183" s="642"/>
    </row>
    <row r="184" s="625" customFormat="1" ht="13.8" spans="1:10">
      <c r="A184" s="643" t="s">
        <v>374</v>
      </c>
      <c r="B184" s="640">
        <v>180</v>
      </c>
      <c r="C184" s="654" t="s">
        <v>1453</v>
      </c>
      <c r="D184" s="642">
        <v>1</v>
      </c>
      <c r="E184" s="642">
        <v>3</v>
      </c>
      <c r="F184" s="642">
        <v>1</v>
      </c>
      <c r="G184" s="642">
        <v>2</v>
      </c>
      <c r="H184" s="642">
        <v>1</v>
      </c>
      <c r="I184" s="642">
        <v>2</v>
      </c>
      <c r="J184" s="642"/>
    </row>
    <row r="185" s="625" customFormat="1" ht="13.8" spans="1:10">
      <c r="A185" s="643" t="s">
        <v>277</v>
      </c>
      <c r="B185" s="640">
        <v>181</v>
      </c>
      <c r="C185" s="654" t="s">
        <v>1460</v>
      </c>
      <c r="D185" s="642">
        <v>1</v>
      </c>
      <c r="E185" s="642">
        <v>3</v>
      </c>
      <c r="F185" s="642">
        <v>1</v>
      </c>
      <c r="G185" s="642">
        <v>3</v>
      </c>
      <c r="H185" s="642">
        <v>1</v>
      </c>
      <c r="I185" s="642">
        <v>1</v>
      </c>
      <c r="J185" s="642"/>
    </row>
    <row r="186" s="628" customFormat="1" spans="1:10">
      <c r="A186" s="643" t="s">
        <v>374</v>
      </c>
      <c r="B186" s="640">
        <v>182</v>
      </c>
      <c r="C186" s="655" t="s">
        <v>1466</v>
      </c>
      <c r="D186" s="642">
        <v>1</v>
      </c>
      <c r="E186" s="642">
        <v>3</v>
      </c>
      <c r="F186" s="642">
        <v>1</v>
      </c>
      <c r="G186" s="642">
        <v>3</v>
      </c>
      <c r="H186" s="642">
        <v>1</v>
      </c>
      <c r="I186" s="642">
        <v>1</v>
      </c>
      <c r="J186" s="642"/>
    </row>
    <row r="187" s="625" customFormat="1" ht="13.8" spans="1:10">
      <c r="A187" s="639" t="s">
        <v>277</v>
      </c>
      <c r="B187" s="640">
        <v>183</v>
      </c>
      <c r="C187" s="654" t="s">
        <v>1472</v>
      </c>
      <c r="D187" s="642">
        <v>1</v>
      </c>
      <c r="E187" s="642">
        <v>3</v>
      </c>
      <c r="F187" s="642">
        <v>1</v>
      </c>
      <c r="G187" s="642">
        <v>3</v>
      </c>
      <c r="H187" s="642">
        <v>1</v>
      </c>
      <c r="I187" s="642">
        <v>3</v>
      </c>
      <c r="J187" s="642">
        <v>1</v>
      </c>
    </row>
    <row r="188" s="625" customFormat="1" ht="13.8" spans="1:10">
      <c r="A188" s="639" t="s">
        <v>277</v>
      </c>
      <c r="B188" s="640">
        <v>184</v>
      </c>
      <c r="C188" s="654" t="s">
        <v>1479</v>
      </c>
      <c r="D188" s="642">
        <v>1</v>
      </c>
      <c r="E188" s="642">
        <v>3</v>
      </c>
      <c r="F188" s="642">
        <v>1</v>
      </c>
      <c r="G188" s="642">
        <v>3</v>
      </c>
      <c r="H188" s="642">
        <v>1</v>
      </c>
      <c r="I188" s="642">
        <v>2</v>
      </c>
      <c r="J188" s="642">
        <v>1</v>
      </c>
    </row>
    <row r="189" s="625" customFormat="1" ht="13.8" spans="1:10">
      <c r="A189" s="639" t="s">
        <v>277</v>
      </c>
      <c r="B189" s="640">
        <v>185</v>
      </c>
      <c r="C189" s="654" t="s">
        <v>1489</v>
      </c>
      <c r="D189" s="642">
        <v>1</v>
      </c>
      <c r="E189" s="642">
        <v>3</v>
      </c>
      <c r="F189" s="642">
        <v>1</v>
      </c>
      <c r="G189" s="642">
        <v>3</v>
      </c>
      <c r="H189" s="642">
        <v>1</v>
      </c>
      <c r="I189" s="642">
        <v>2</v>
      </c>
      <c r="J189" s="642">
        <v>1</v>
      </c>
    </row>
    <row r="190" s="625" customFormat="1" ht="13.8" spans="1:10">
      <c r="A190" s="643" t="s">
        <v>374</v>
      </c>
      <c r="B190" s="640">
        <v>186</v>
      </c>
      <c r="C190" s="654" t="s">
        <v>1499</v>
      </c>
      <c r="D190" s="643">
        <v>1</v>
      </c>
      <c r="E190" s="643">
        <v>3</v>
      </c>
      <c r="F190" s="643">
        <v>1</v>
      </c>
      <c r="G190" s="643">
        <v>3</v>
      </c>
      <c r="H190" s="643">
        <v>1</v>
      </c>
      <c r="I190" s="643">
        <v>2</v>
      </c>
      <c r="J190" s="642"/>
    </row>
    <row r="191" s="625" customFormat="1" ht="13.8" spans="1:10">
      <c r="A191" s="643" t="s">
        <v>374</v>
      </c>
      <c r="B191" s="640">
        <v>187</v>
      </c>
      <c r="C191" s="654" t="s">
        <v>1503</v>
      </c>
      <c r="D191" s="642">
        <v>1</v>
      </c>
      <c r="E191" s="642">
        <v>3</v>
      </c>
      <c r="F191" s="642">
        <v>1</v>
      </c>
      <c r="G191" s="642">
        <v>4</v>
      </c>
      <c r="H191" s="642">
        <v>1</v>
      </c>
      <c r="I191" s="642">
        <v>2</v>
      </c>
      <c r="J191" s="642"/>
    </row>
    <row r="192" s="625" customFormat="1" ht="13.8" spans="1:10">
      <c r="A192" s="639" t="s">
        <v>277</v>
      </c>
      <c r="B192" s="640">
        <v>188</v>
      </c>
      <c r="C192" s="654" t="s">
        <v>1507</v>
      </c>
      <c r="D192" s="642">
        <v>1</v>
      </c>
      <c r="E192" s="642">
        <v>1</v>
      </c>
      <c r="F192" s="642">
        <v>1</v>
      </c>
      <c r="G192" s="642">
        <v>3</v>
      </c>
      <c r="H192" s="642">
        <v>1</v>
      </c>
      <c r="I192" s="642">
        <v>1</v>
      </c>
      <c r="J192" s="642">
        <v>1</v>
      </c>
    </row>
    <row r="193" s="625" customFormat="1" ht="13.8" spans="1:10">
      <c r="A193" s="656"/>
      <c r="B193" s="640">
        <v>189</v>
      </c>
      <c r="C193" s="657" t="s">
        <v>1514</v>
      </c>
      <c r="D193" s="658">
        <v>1</v>
      </c>
      <c r="E193" s="658">
        <v>3</v>
      </c>
      <c r="F193" s="658">
        <v>1</v>
      </c>
      <c r="G193" s="658">
        <v>1</v>
      </c>
      <c r="H193" s="658">
        <v>1</v>
      </c>
      <c r="I193" s="658">
        <v>1</v>
      </c>
      <c r="J193" s="658"/>
    </row>
    <row r="194" s="628" customFormat="1" spans="2:10">
      <c r="B194" s="659"/>
      <c r="C194" s="660"/>
      <c r="D194" s="661"/>
      <c r="E194" s="661"/>
      <c r="F194" s="661"/>
      <c r="G194" s="661"/>
      <c r="H194" s="661"/>
      <c r="I194" s="661"/>
      <c r="J194" s="661"/>
    </row>
    <row r="195" s="628" customFormat="1" spans="2:3">
      <c r="B195" s="659"/>
      <c r="C195" s="660"/>
    </row>
    <row r="196" s="628" customFormat="1" spans="2:3">
      <c r="B196" s="659"/>
      <c r="C196" s="662"/>
    </row>
    <row r="197" s="628" customFormat="1" spans="2:3">
      <c r="B197" s="659"/>
      <c r="C197" s="662"/>
    </row>
    <row r="198" s="628" customFormat="1" spans="2:3">
      <c r="B198" s="659"/>
      <c r="C198" s="662"/>
    </row>
    <row r="199" s="628" customFormat="1" spans="2:3">
      <c r="B199" s="659"/>
      <c r="C199" s="662"/>
    </row>
    <row r="200" s="628" customFormat="1" spans="2:3">
      <c r="B200" s="659"/>
      <c r="C200" s="662"/>
    </row>
    <row r="201" s="628" customFormat="1" spans="2:3">
      <c r="B201" s="659"/>
      <c r="C201" s="662"/>
    </row>
    <row r="202" s="628" customFormat="1" spans="2:3">
      <c r="B202" s="659"/>
      <c r="C202" s="662"/>
    </row>
    <row r="203" s="628" customFormat="1" spans="2:3">
      <c r="B203" s="659"/>
      <c r="C203" s="662"/>
    </row>
    <row r="204" s="628" customFormat="1" spans="2:3">
      <c r="B204" s="659"/>
      <c r="C204" s="662"/>
    </row>
    <row r="205" s="628" customFormat="1" spans="2:3">
      <c r="B205" s="659"/>
      <c r="C205" s="662"/>
    </row>
    <row r="206" s="628" customFormat="1" spans="2:3">
      <c r="B206" s="659"/>
      <c r="C206" s="662"/>
    </row>
    <row r="207" s="628" customFormat="1" spans="2:3">
      <c r="B207" s="659"/>
      <c r="C207" s="662"/>
    </row>
    <row r="208" s="628" customFormat="1" spans="2:3">
      <c r="B208" s="659"/>
      <c r="C208" s="662"/>
    </row>
    <row r="209" s="628" customFormat="1" spans="2:3">
      <c r="B209" s="659"/>
      <c r="C209" s="662"/>
    </row>
    <row r="210" s="628" customFormat="1" spans="2:3">
      <c r="B210" s="659"/>
      <c r="C210" s="662"/>
    </row>
    <row r="211" s="628" customFormat="1" spans="2:3">
      <c r="B211" s="659"/>
      <c r="C211" s="662"/>
    </row>
    <row r="212" s="628" customFormat="1" spans="2:3">
      <c r="B212" s="659"/>
      <c r="C212" s="662"/>
    </row>
    <row r="213" s="628" customFormat="1" spans="2:3">
      <c r="B213" s="659"/>
      <c r="C213" s="662"/>
    </row>
    <row r="214" s="628" customFormat="1" spans="2:3">
      <c r="B214" s="659"/>
      <c r="C214" s="662"/>
    </row>
    <row r="215" s="628" customFormat="1" spans="2:3">
      <c r="B215" s="659"/>
      <c r="C215" s="662"/>
    </row>
    <row r="216" s="628" customFormat="1" spans="2:3">
      <c r="B216" s="659"/>
      <c r="C216" s="662"/>
    </row>
    <row r="217" s="628" customFormat="1" spans="2:3">
      <c r="B217" s="659"/>
      <c r="C217" s="662"/>
    </row>
    <row r="218" s="628" customFormat="1" spans="2:3">
      <c r="B218" s="659"/>
      <c r="C218" s="662"/>
    </row>
    <row r="219" s="628" customFormat="1" spans="2:3">
      <c r="B219" s="659"/>
      <c r="C219" s="662"/>
    </row>
    <row r="220" s="628" customFormat="1" spans="2:3">
      <c r="B220" s="659"/>
      <c r="C220" s="662"/>
    </row>
    <row r="221" s="628" customFormat="1" spans="2:3">
      <c r="B221" s="659"/>
      <c r="C221" s="662"/>
    </row>
    <row r="222" s="628" customFormat="1" spans="2:3">
      <c r="B222" s="659"/>
      <c r="C222" s="662"/>
    </row>
    <row r="223" s="628" customFormat="1" spans="2:3">
      <c r="B223" s="659"/>
      <c r="C223" s="662"/>
    </row>
    <row r="224" s="628" customFormat="1" spans="2:3">
      <c r="B224" s="659"/>
      <c r="C224" s="662"/>
    </row>
    <row r="225" s="628" customFormat="1" spans="2:3">
      <c r="B225" s="659"/>
      <c r="C225" s="662"/>
    </row>
    <row r="226" s="628" customFormat="1" spans="2:3">
      <c r="B226" s="659"/>
      <c r="C226" s="662"/>
    </row>
    <row r="227" s="628" customFormat="1" spans="2:3">
      <c r="B227" s="659"/>
      <c r="C227" s="662"/>
    </row>
    <row r="228" s="628" customFormat="1" spans="2:3">
      <c r="B228" s="659"/>
      <c r="C228" s="662"/>
    </row>
    <row r="229" s="628" customFormat="1" spans="2:3">
      <c r="B229" s="659"/>
      <c r="C229" s="662"/>
    </row>
    <row r="230" s="628" customFormat="1" spans="2:3">
      <c r="B230" s="659"/>
      <c r="C230" s="662"/>
    </row>
    <row r="231" s="628" customFormat="1" spans="2:3">
      <c r="B231" s="659"/>
      <c r="C231" s="662"/>
    </row>
    <row r="232" s="628" customFormat="1" spans="2:3">
      <c r="B232" s="659"/>
      <c r="C232" s="662"/>
    </row>
    <row r="233" s="628" customFormat="1" spans="2:3">
      <c r="B233" s="659"/>
      <c r="C233" s="662"/>
    </row>
    <row r="234" s="628" customFormat="1" spans="2:3">
      <c r="B234" s="659"/>
      <c r="C234" s="662"/>
    </row>
    <row r="235" s="628" customFormat="1" spans="2:3">
      <c r="B235" s="659"/>
      <c r="C235" s="662"/>
    </row>
    <row r="236" s="628" customFormat="1" spans="2:3">
      <c r="B236" s="659"/>
      <c r="C236" s="662"/>
    </row>
    <row r="237" s="628" customFormat="1" spans="2:3">
      <c r="B237" s="659"/>
      <c r="C237" s="662"/>
    </row>
    <row r="238" s="628" customFormat="1" spans="2:3">
      <c r="B238" s="659"/>
      <c r="C238" s="662"/>
    </row>
    <row r="239" s="628" customFormat="1" spans="2:3">
      <c r="B239" s="659"/>
      <c r="C239" s="662"/>
    </row>
    <row r="240" s="628" customFormat="1" spans="2:3">
      <c r="B240" s="659"/>
      <c r="C240" s="662"/>
    </row>
    <row r="241" s="628" customFormat="1" spans="2:3">
      <c r="B241" s="659"/>
      <c r="C241" s="662"/>
    </row>
    <row r="242" s="628" customFormat="1" spans="2:3">
      <c r="B242" s="659"/>
      <c r="C242" s="662"/>
    </row>
    <row r="243" s="628" customFormat="1" spans="2:3">
      <c r="B243" s="659"/>
      <c r="C243" s="662"/>
    </row>
    <row r="244" s="628" customFormat="1" spans="2:3">
      <c r="B244" s="659"/>
      <c r="C244" s="662"/>
    </row>
    <row r="245" s="628" customFormat="1" spans="2:3">
      <c r="B245" s="659"/>
      <c r="C245" s="662"/>
    </row>
    <row r="246" s="628" customFormat="1" spans="2:3">
      <c r="B246" s="659"/>
      <c r="C246" s="662"/>
    </row>
    <row r="247" s="628" customFormat="1" spans="2:3">
      <c r="B247" s="659"/>
      <c r="C247" s="662"/>
    </row>
    <row r="248" s="628" customFormat="1" spans="2:3">
      <c r="B248" s="659"/>
      <c r="C248" s="662"/>
    </row>
    <row r="249" s="628" customFormat="1" spans="2:3">
      <c r="B249" s="659"/>
      <c r="C249" s="662"/>
    </row>
    <row r="250" s="628" customFormat="1" spans="2:3">
      <c r="B250" s="659"/>
      <c r="C250" s="662"/>
    </row>
    <row r="251" s="628" customFormat="1" spans="2:3">
      <c r="B251" s="659"/>
      <c r="C251" s="662"/>
    </row>
    <row r="252" s="628" customFormat="1" spans="2:3">
      <c r="B252" s="659"/>
      <c r="C252" s="662"/>
    </row>
    <row r="253" s="628" customFormat="1" spans="2:3">
      <c r="B253" s="659"/>
      <c r="C253" s="662"/>
    </row>
    <row r="254" s="628" customFormat="1" spans="2:3">
      <c r="B254" s="659"/>
      <c r="C254" s="662"/>
    </row>
    <row r="255" s="628" customFormat="1" spans="2:3">
      <c r="B255" s="659"/>
      <c r="C255" s="662"/>
    </row>
    <row r="256" s="628" customFormat="1" spans="2:3">
      <c r="B256" s="659"/>
      <c r="C256" s="662"/>
    </row>
    <row r="257" s="628" customFormat="1" spans="2:3">
      <c r="B257" s="659"/>
      <c r="C257" s="662"/>
    </row>
    <row r="258" s="628" customFormat="1" spans="2:3">
      <c r="B258" s="659"/>
      <c r="C258" s="662"/>
    </row>
    <row r="259" s="628" customFormat="1" spans="2:3">
      <c r="B259" s="659"/>
      <c r="C259" s="662"/>
    </row>
    <row r="260" s="628" customFormat="1" spans="2:3">
      <c r="B260" s="659"/>
      <c r="C260" s="662"/>
    </row>
    <row r="261" s="628" customFormat="1" spans="2:3">
      <c r="B261" s="659"/>
      <c r="C261" s="662"/>
    </row>
    <row r="262" s="628" customFormat="1" spans="2:3">
      <c r="B262" s="659"/>
      <c r="C262" s="662"/>
    </row>
    <row r="263" s="628" customFormat="1" spans="2:3">
      <c r="B263" s="659"/>
      <c r="C263" s="662"/>
    </row>
    <row r="264" s="628" customFormat="1" spans="2:3">
      <c r="B264" s="659"/>
      <c r="C264" s="662"/>
    </row>
    <row r="265" s="628" customFormat="1" spans="2:3">
      <c r="B265" s="659"/>
      <c r="C265" s="662"/>
    </row>
    <row r="266" s="628" customFormat="1" spans="2:3">
      <c r="B266" s="659"/>
      <c r="C266" s="662"/>
    </row>
    <row r="267" s="628" customFormat="1" spans="2:3">
      <c r="B267" s="659"/>
      <c r="C267" s="662"/>
    </row>
    <row r="268" s="628" customFormat="1" spans="2:3">
      <c r="B268" s="659"/>
      <c r="C268" s="662"/>
    </row>
    <row r="269" s="628" customFormat="1" spans="2:3">
      <c r="B269" s="659"/>
      <c r="C269" s="662"/>
    </row>
    <row r="270" s="628" customFormat="1" spans="2:3">
      <c r="B270" s="659"/>
      <c r="C270" s="662"/>
    </row>
    <row r="271" s="628" customFormat="1" spans="2:3">
      <c r="B271" s="659"/>
      <c r="C271" s="662"/>
    </row>
    <row r="272" s="628" customFormat="1" spans="2:3">
      <c r="B272" s="659"/>
      <c r="C272" s="662"/>
    </row>
    <row r="273" s="628" customFormat="1" spans="2:3">
      <c r="B273" s="659"/>
      <c r="C273" s="662"/>
    </row>
    <row r="274" s="628" customFormat="1" spans="2:3">
      <c r="B274" s="659"/>
      <c r="C274" s="662"/>
    </row>
    <row r="275" s="628" customFormat="1" spans="2:3">
      <c r="B275" s="659"/>
      <c r="C275" s="662"/>
    </row>
    <row r="276" s="628" customFormat="1" spans="2:3">
      <c r="B276" s="659"/>
      <c r="C276" s="662"/>
    </row>
    <row r="277" s="628" customFormat="1" spans="2:3">
      <c r="B277" s="659"/>
      <c r="C277" s="662"/>
    </row>
    <row r="278" s="628" customFormat="1" spans="2:3">
      <c r="B278" s="659"/>
      <c r="C278" s="662"/>
    </row>
    <row r="279" s="628" customFormat="1" spans="2:3">
      <c r="B279" s="659"/>
      <c r="C279" s="662"/>
    </row>
    <row r="280" s="628" customFormat="1" spans="2:3">
      <c r="B280" s="659"/>
      <c r="C280" s="662"/>
    </row>
    <row r="281" s="628" customFormat="1" spans="2:3">
      <c r="B281" s="659"/>
      <c r="C281" s="662"/>
    </row>
    <row r="282" s="628" customFormat="1" spans="2:3">
      <c r="B282" s="659"/>
      <c r="C282" s="662"/>
    </row>
    <row r="283" s="628" customFormat="1" spans="2:3">
      <c r="B283" s="659"/>
      <c r="C283" s="662"/>
    </row>
    <row r="284" s="628" customFormat="1" spans="2:3">
      <c r="B284" s="659"/>
      <c r="C284" s="662"/>
    </row>
    <row r="285" s="628" customFormat="1" spans="2:3">
      <c r="B285" s="659"/>
      <c r="C285" s="662"/>
    </row>
    <row r="286" s="628" customFormat="1" spans="2:3">
      <c r="B286" s="659"/>
      <c r="C286" s="662"/>
    </row>
    <row r="287" s="628" customFormat="1" spans="2:3">
      <c r="B287" s="659"/>
      <c r="C287" s="662"/>
    </row>
    <row r="288" s="628" customFormat="1" spans="2:3">
      <c r="B288" s="659"/>
      <c r="C288" s="662"/>
    </row>
    <row r="289" s="628" customFormat="1" spans="2:3">
      <c r="B289" s="659"/>
      <c r="C289" s="662"/>
    </row>
    <row r="290" s="628" customFormat="1" spans="2:3">
      <c r="B290" s="659"/>
      <c r="C290" s="662"/>
    </row>
    <row r="291" s="628" customFormat="1" spans="2:3">
      <c r="B291" s="659"/>
      <c r="C291" s="662"/>
    </row>
    <row r="292" s="628" customFormat="1" spans="2:3">
      <c r="B292" s="659"/>
      <c r="C292" s="662"/>
    </row>
    <row r="293" s="628" customFormat="1" spans="2:3">
      <c r="B293" s="659"/>
      <c r="C293" s="662"/>
    </row>
    <row r="294" s="628" customFormat="1" spans="2:3">
      <c r="B294" s="659"/>
      <c r="C294" s="662"/>
    </row>
    <row r="295" s="628" customFormat="1" spans="2:3">
      <c r="B295" s="659"/>
      <c r="C295" s="662"/>
    </row>
    <row r="296" s="628" customFormat="1" spans="2:3">
      <c r="B296" s="659"/>
      <c r="C296" s="662"/>
    </row>
    <row r="297" s="628" customFormat="1" spans="2:3">
      <c r="B297" s="659"/>
      <c r="C297" s="662"/>
    </row>
    <row r="298" s="628" customFormat="1" spans="2:3">
      <c r="B298" s="659"/>
      <c r="C298" s="662"/>
    </row>
    <row r="299" s="628" customFormat="1" spans="2:3">
      <c r="B299" s="659"/>
      <c r="C299" s="662"/>
    </row>
    <row r="300" s="628" customFormat="1" spans="2:3">
      <c r="B300" s="659"/>
      <c r="C300" s="662"/>
    </row>
    <row r="301" s="628" customFormat="1" spans="2:3">
      <c r="B301" s="659"/>
      <c r="C301" s="662"/>
    </row>
    <row r="302" s="625" customFormat="1" spans="2:3">
      <c r="B302" s="629"/>
      <c r="C302" s="630"/>
    </row>
  </sheetData>
  <mergeCells count="4">
    <mergeCell ref="D2:J2"/>
    <mergeCell ref="A2:A3"/>
    <mergeCell ref="B2:B3"/>
    <mergeCell ref="C2:C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0"/>
  <sheetViews>
    <sheetView zoomScale="90" zoomScaleNormal="90" workbookViewId="0">
      <selection activeCell="W19" sqref="W19"/>
    </sheetView>
  </sheetViews>
  <sheetFormatPr defaultColWidth="6.5" defaultRowHeight="13.8"/>
  <cols>
    <col min="1" max="1" width="12.4722222222222" style="487" customWidth="1"/>
    <col min="2" max="2" width="5.87962962962963" style="487" customWidth="1"/>
    <col min="3" max="3" width="0.87962962962963" style="487" customWidth="1"/>
    <col min="4" max="4" width="5.5" style="487" customWidth="1"/>
    <col min="5" max="5" width="5.69444444444444" style="488" customWidth="1"/>
    <col min="6" max="6" width="6" style="487" customWidth="1"/>
    <col min="7" max="7" width="0.87962962962963" style="487" customWidth="1"/>
    <col min="8" max="8" width="6.5462962962963" style="487" customWidth="1"/>
    <col min="9" max="9" width="6.5" style="487" customWidth="1"/>
    <col min="10" max="10" width="7.12962962962963" style="487" customWidth="1"/>
    <col min="11" max="11" width="0.87962962962963" style="487" customWidth="1"/>
    <col min="12" max="12" width="5.62962962962963" style="488" customWidth="1"/>
    <col min="13" max="13" width="6.12962962962963" style="488" customWidth="1"/>
    <col min="14" max="14" width="6.5" style="487" customWidth="1"/>
    <col min="15" max="15" width="0.87962962962963" style="487" customWidth="1"/>
    <col min="16" max="16" width="10.8796296296296" style="487" customWidth="1"/>
    <col min="17" max="18" width="5.25" style="487" customWidth="1"/>
    <col min="19" max="19" width="10.5" style="487" customWidth="1"/>
    <col min="20" max="209" width="9" style="487" customWidth="1"/>
    <col min="210" max="210" width="8.25" style="487" customWidth="1"/>
    <col min="211" max="211" width="7.62962962962963" style="487" customWidth="1"/>
    <col min="212" max="212" width="7" style="487" customWidth="1"/>
    <col min="213" max="213" width="6.87962962962963" style="487" customWidth="1"/>
    <col min="214" max="214" width="1" style="487" customWidth="1"/>
    <col min="215" max="215" width="6.12962962962963" style="487" customWidth="1"/>
    <col min="216" max="216" width="8.12962962962963" style="487" customWidth="1"/>
    <col min="217" max="217" width="6.37962962962963" style="487" customWidth="1"/>
    <col min="218" max="218" width="7.87962962962963" style="487" customWidth="1"/>
    <col min="219" max="219" width="1" style="487" customWidth="1"/>
    <col min="220" max="220" width="8.5" style="487" customWidth="1"/>
    <col min="221" max="16384" width="6.5" style="487"/>
  </cols>
  <sheetData>
    <row r="1" ht="30" customHeight="1" spans="1:12">
      <c r="A1" s="489" t="s">
        <v>1521</v>
      </c>
      <c r="B1" s="489"/>
      <c r="C1" s="489"/>
      <c r="D1" s="489"/>
      <c r="J1" s="558"/>
      <c r="K1" s="558"/>
      <c r="L1" s="558"/>
    </row>
    <row r="2" ht="21.6" spans="1:19">
      <c r="A2" s="490" t="s">
        <v>835</v>
      </c>
      <c r="B2" s="491"/>
      <c r="C2" s="491"/>
      <c r="D2" s="492"/>
      <c r="E2" s="493">
        <f>IF(VLOOKUP($A$2,'NHG''s optical glass 202608'!$C$5:$KJ$276,2,FALSE)="","",VLOOKUP($A$2,'NHG''s optical glass 202608'!$C$5:$KJ$276,2,FALSE))</f>
        <v>664274</v>
      </c>
      <c r="F2" s="494"/>
      <c r="G2" s="495"/>
      <c r="H2" s="496" t="s">
        <v>1522</v>
      </c>
      <c r="I2" s="559">
        <f>IF(VLOOKUP($A$2,'NHG''s optical glass 202608'!$C$5:$KJ$276,20,FALSE)="","",VLOOKUP($A$2,'NHG''s optical glass 202608'!$C$5:$KJ$276,20,FALSE))</f>
        <v>1.66382</v>
      </c>
      <c r="J2" s="560"/>
      <c r="K2" s="496" t="s">
        <v>1523</v>
      </c>
      <c r="L2" s="561"/>
      <c r="M2" s="562">
        <f>IF(VLOOKUP($A$2,'NHG''s optical glass 202608'!$C$5:$KJ$276,3,FALSE)="","",VLOOKUP($A$2,'NHG''s optical glass 202608'!$C$5:$KJ$276,3,FALSE))</f>
        <v>27.35</v>
      </c>
      <c r="N2" s="562"/>
      <c r="O2" s="563"/>
      <c r="P2" s="564" t="s">
        <v>1524</v>
      </c>
      <c r="Q2" s="610"/>
      <c r="R2" s="611">
        <f>IF(VLOOKUP($A$2,'NHG''s optical glass 202608'!$C$5:$KJ$276,5,FALSE)="","",VLOOKUP($A$2,'NHG''s optical glass 202608'!$C$5:$KJ$276,5,FALSE))</f>
        <v>0.024274</v>
      </c>
      <c r="S2" s="612"/>
    </row>
    <row r="3" ht="21.6" spans="1:19">
      <c r="A3" s="497"/>
      <c r="B3" s="498"/>
      <c r="C3" s="498"/>
      <c r="D3" s="499"/>
      <c r="E3" s="500"/>
      <c r="F3" s="501"/>
      <c r="G3" s="495"/>
      <c r="H3" s="496" t="s">
        <v>1525</v>
      </c>
      <c r="I3" s="559">
        <f>IF(VLOOKUP($A$2,'NHG''s optical glass 202608'!$C$5:$KJ$276,21,FALSE)="","",VLOOKUP($A$2,'NHG''s optical glass 202608'!$C$5:$KJ$276,21,FALSE))</f>
        <v>1.66953</v>
      </c>
      <c r="J3" s="560"/>
      <c r="K3" s="496" t="s">
        <v>1526</v>
      </c>
      <c r="L3" s="561"/>
      <c r="M3" s="562">
        <f>IF(VLOOKUP($A$2,'NHG''s optical glass 202608'!$C$5:$KJ$276,4,FALSE)="","",VLOOKUP($A$2,'NHG''s optical glass 202608'!$C$5:$KJ$276,4,FALSE))</f>
        <v>27.09</v>
      </c>
      <c r="N3" s="562"/>
      <c r="O3" s="563"/>
      <c r="P3" s="564" t="s">
        <v>1527</v>
      </c>
      <c r="Q3" s="610"/>
      <c r="R3" s="611">
        <f>IF(VLOOKUP($A$2,'NHG''s optical glass 202608'!$C$5:$KJ$276,6,FALSE)="","",VLOOKUP($A$2,'NHG''s optical glass 202608'!$C$5:$KJ$276,6,FALSE))</f>
        <v>0.024713</v>
      </c>
      <c r="S3" s="612"/>
    </row>
    <row r="4" ht="9" customHeight="1" spans="10:11">
      <c r="J4" s="565"/>
      <c r="K4" s="565"/>
    </row>
    <row r="5" ht="16.5" customHeight="1" spans="1:19">
      <c r="A5" s="502" t="s">
        <v>7</v>
      </c>
      <c r="B5" s="503"/>
      <c r="C5" s="503"/>
      <c r="D5" s="503"/>
      <c r="E5" s="503"/>
      <c r="F5" s="503"/>
      <c r="G5" s="504"/>
      <c r="H5" s="505" t="s">
        <v>9</v>
      </c>
      <c r="I5" s="505"/>
      <c r="J5" s="505"/>
      <c r="K5" s="566"/>
      <c r="L5" s="520" t="s">
        <v>1528</v>
      </c>
      <c r="M5" s="567"/>
      <c r="N5" s="568"/>
      <c r="O5" s="519"/>
      <c r="P5" s="502" t="s">
        <v>1529</v>
      </c>
      <c r="Q5" s="502"/>
      <c r="R5" s="502"/>
      <c r="S5" s="502"/>
    </row>
    <row r="6" ht="16.5" customHeight="1" spans="1:19">
      <c r="A6" s="506"/>
      <c r="B6" s="507" t="s">
        <v>1530</v>
      </c>
      <c r="C6" s="508"/>
      <c r="D6" s="509"/>
      <c r="E6" s="506" t="s">
        <v>1531</v>
      </c>
      <c r="F6" s="506"/>
      <c r="G6" s="510"/>
      <c r="H6" s="505"/>
      <c r="I6" s="505"/>
      <c r="J6" s="505"/>
      <c r="K6" s="569"/>
      <c r="L6" s="521"/>
      <c r="M6" s="570"/>
      <c r="N6" s="571"/>
      <c r="O6" s="519"/>
      <c r="P6" s="506" t="s">
        <v>1530</v>
      </c>
      <c r="Q6" s="507" t="s">
        <v>1532</v>
      </c>
      <c r="R6" s="509"/>
      <c r="S6" s="596" t="s">
        <v>1533</v>
      </c>
    </row>
    <row r="7" ht="16.5" customHeight="1" spans="1:20">
      <c r="A7" s="506" t="s">
        <v>1534</v>
      </c>
      <c r="B7" s="507">
        <v>2325.42</v>
      </c>
      <c r="C7" s="508"/>
      <c r="D7" s="509"/>
      <c r="E7" s="511" t="str">
        <f>IF(VLOOKUP($A$2,'NHG''s optical glass 202608'!$C$5:$KJ$276,7,FALSE)="","",VLOOKUP($A$2,'NHG''s optical glass 202608'!$C$5:$KJ$276,7,FALSE))</f>
        <v/>
      </c>
      <c r="F7" s="511"/>
      <c r="G7" s="512"/>
      <c r="H7" s="513" t="s">
        <v>1535</v>
      </c>
      <c r="I7" s="572">
        <f>IF(VLOOKUP($A$2,'NHG''s optical glass 202608'!$C$5:$KE$276,33,FALSE)="","",VLOOKUP($A$2,'NHG''s optical glass 202608'!$C$5:$KE$276,33,FALSE))</f>
        <v>0.2856</v>
      </c>
      <c r="J7" s="572"/>
      <c r="K7" s="569"/>
      <c r="L7" s="507" t="s">
        <v>1536</v>
      </c>
      <c r="M7" s="509"/>
      <c r="N7" s="573">
        <f>IF(VLOOKUP($A$2,'NHG''s optical glass 202608'!$C$5:$KJ$276,170,FALSE)="","",VLOOKUP($A$2,'NHG''s optical glass 202608'!$C$5:$KJ$276,170,FALSE))</f>
        <v>1</v>
      </c>
      <c r="O7" s="519"/>
      <c r="P7" s="513">
        <v>2400</v>
      </c>
      <c r="Q7" s="613">
        <f>IF(VLOOKUP($A$2,'NHG''s optical glass 202608'!$C$5:$KJ$276,223,FALSE)="","",VLOOKUP($A$2,'NHG''s optical glass 202608'!$C$5:$KJ$276,223,FALSE))</f>
        <v>0.928</v>
      </c>
      <c r="R7" s="614"/>
      <c r="S7" s="614">
        <f>IF(VLOOKUP($A$2,'NHG''s optical glass 202608'!$C$5:$KJ$276,259,FALSE)="","",VLOOKUP($A$2,'NHG''s optical glass 202608'!$C$5:$KJ$276,259,FALSE))</f>
        <v>0.861</v>
      </c>
      <c r="T7" s="615"/>
    </row>
    <row r="8" ht="16.5" customHeight="1" spans="1:20">
      <c r="A8" s="506" t="s">
        <v>1537</v>
      </c>
      <c r="B8" s="507">
        <v>1970.09</v>
      </c>
      <c r="C8" s="508"/>
      <c r="D8" s="509"/>
      <c r="E8" s="511" t="str">
        <f>IF(VLOOKUP($A$2,'NHG''s optical glass 202608'!$C$5:$KJ$276,8,FALSE)="","",VLOOKUP($A$2,'NHG''s optical glass 202608'!$C$5:$KJ$276,8,FALSE))</f>
        <v/>
      </c>
      <c r="F8" s="511"/>
      <c r="G8" s="512"/>
      <c r="H8" s="513" t="s">
        <v>1538</v>
      </c>
      <c r="I8" s="572">
        <f>IF(VLOOKUP($A$2,'NHG''s optical glass 202608'!$C$5:$KE$276,34,FALSE)="","",VLOOKUP($A$2,'NHG''s optical glass 202608'!$C$5:$KE$276,34,FALSE))</f>
        <v>0.2353</v>
      </c>
      <c r="J8" s="572"/>
      <c r="K8" s="569"/>
      <c r="L8" s="507" t="s">
        <v>1539</v>
      </c>
      <c r="M8" s="509"/>
      <c r="N8" s="573">
        <f>IF(VLOOKUP($A$2,'NHG''s optical glass 202608'!$C$5:$KJ$276,171,FALSE)="","",VLOOKUP($A$2,'NHG''s optical glass 202608'!$C$5:$KJ$276,171,FALSE))</f>
        <v>1</v>
      </c>
      <c r="O8" s="519"/>
      <c r="P8" s="513">
        <v>2200</v>
      </c>
      <c r="Q8" s="613">
        <f>IF(VLOOKUP($A$2,'NHG''s optical glass 202608'!$C$5:$KJ$276,224,FALSE)="","",VLOOKUP($A$2,'NHG''s optical glass 202608'!$C$5:$KJ$276,224,FALSE))</f>
        <v>0.944</v>
      </c>
      <c r="R8" s="614"/>
      <c r="S8" s="614">
        <f>IF(VLOOKUP($A$2,'NHG''s optical glass 202608'!$C$5:$KJ$276,260,FALSE)="","",VLOOKUP($A$2,'NHG''s optical glass 202608'!$C$5:$KJ$276,260,FALSE))</f>
        <v>0.892</v>
      </c>
      <c r="T8" s="615"/>
    </row>
    <row r="9" ht="16.5" customHeight="1" spans="1:20">
      <c r="A9" s="506" t="s">
        <v>1540</v>
      </c>
      <c r="B9" s="507">
        <v>1529.58</v>
      </c>
      <c r="C9" s="508"/>
      <c r="D9" s="509"/>
      <c r="E9" s="511" t="str">
        <f>IF(VLOOKUP($A$2,'NHG''s optical glass 202608'!$C$5:$KJ$276,9,FALSE)="","",VLOOKUP($A$2,'NHG''s optical glass 202608'!$C$5:$KJ$276,9,FALSE))</f>
        <v/>
      </c>
      <c r="F9" s="511"/>
      <c r="G9" s="512"/>
      <c r="H9" s="513" t="s">
        <v>1541</v>
      </c>
      <c r="I9" s="572">
        <f>IF(VLOOKUP($A$2,'NHG''s optical glass 202608'!$C$5:$KE$276,35,FALSE)="","",VLOOKUP($A$2,'NHG''s optical glass 202608'!$C$5:$KE$276,35,FALSE))</f>
        <v>0.624</v>
      </c>
      <c r="J9" s="572"/>
      <c r="K9" s="569"/>
      <c r="L9" s="507" t="s">
        <v>1542</v>
      </c>
      <c r="M9" s="509"/>
      <c r="N9" s="573">
        <f>IF(VLOOKUP($A$2,'NHG''s optical glass 202608'!$C$5:$KJ$276,172,FALSE)="","",VLOOKUP($A$2,'NHG''s optical glass 202608'!$C$5:$KJ$276,172,FALSE))</f>
        <v>3</v>
      </c>
      <c r="O9" s="519"/>
      <c r="P9" s="513">
        <v>2000</v>
      </c>
      <c r="Q9" s="613">
        <f>IF(VLOOKUP($A$2,'NHG''s optical glass 202608'!$C$5:$KJ$276,225,FALSE)="","",VLOOKUP($A$2,'NHG''s optical glass 202608'!$C$5:$KJ$276,225,FALSE))</f>
        <v>0.967</v>
      </c>
      <c r="R9" s="614"/>
      <c r="S9" s="596">
        <f>IF(VLOOKUP($A$2,'NHG''s optical glass 202608'!$C$5:$KJ$276,261,FALSE)="","",VLOOKUP($A$2,'NHG''s optical glass 202608'!$C$5:$KJ$276,261,FALSE))</f>
        <v>0.935</v>
      </c>
      <c r="T9" s="615"/>
    </row>
    <row r="10" ht="16.5" customHeight="1" spans="1:20">
      <c r="A10" s="506" t="s">
        <v>1543</v>
      </c>
      <c r="B10" s="507">
        <v>1128.64</v>
      </c>
      <c r="C10" s="508"/>
      <c r="D10" s="509"/>
      <c r="E10" s="511">
        <f>IF(VLOOKUP($A$2,'NHG''s optical glass 202608'!$C$5:$KJ$276,10,FALSE)="","",VLOOKUP($A$2,'NHG''s optical glass 202608'!$C$5:$KJ$276,10,FALSE))</f>
        <v>1.63798</v>
      </c>
      <c r="F10" s="511"/>
      <c r="G10" s="512"/>
      <c r="H10" s="513" t="s">
        <v>1544</v>
      </c>
      <c r="I10" s="572">
        <f>IF(VLOOKUP($A$2,'NHG''s optical glass 202608'!$C$5:$KE$276,36,FALSE)="","",VLOOKUP($A$2,'NHG''s optical glass 202608'!$C$5:$KE$276,36,FALSE))</f>
        <v>0.237</v>
      </c>
      <c r="J10" s="572"/>
      <c r="K10" s="569"/>
      <c r="L10" s="507" t="s">
        <v>1545</v>
      </c>
      <c r="M10" s="509"/>
      <c r="N10" s="573">
        <f>IF(VLOOKUP($A$2,'NHG''s optical glass 202608'!$C$5:$KJ$276,173,FALSE)="","",VLOOKUP($A$2,'NHG''s optical glass 202608'!$C$5:$KJ$276,173,FALSE))</f>
        <v>2</v>
      </c>
      <c r="O10" s="519"/>
      <c r="P10" s="513">
        <v>1800</v>
      </c>
      <c r="Q10" s="613">
        <f>IF(VLOOKUP($A$2,'NHG''s optical glass 202608'!$C$5:$KJ$276,226,FALSE)="","",VLOOKUP($A$2,'NHG''s optical glass 202608'!$C$5:$KJ$276,226,FALSE))</f>
        <v>0.985</v>
      </c>
      <c r="R10" s="614"/>
      <c r="S10" s="596">
        <f>IF(VLOOKUP($A$2,'NHG''s optical glass 202608'!$C$5:$KJ$276,262,FALSE)="","",VLOOKUP($A$2,'NHG''s optical glass 202608'!$C$5:$KJ$276,262,FALSE))</f>
        <v>0.97</v>
      </c>
      <c r="T10" s="615"/>
    </row>
    <row r="11" ht="16.5" customHeight="1" spans="1:20">
      <c r="A11" s="506" t="s">
        <v>1546</v>
      </c>
      <c r="B11" s="514">
        <v>1064</v>
      </c>
      <c r="C11" s="515"/>
      <c r="D11" s="516"/>
      <c r="E11" s="511">
        <f>IF(VLOOKUP($A$2,'NHG''s optical glass 202608'!$C$5:$KJ$276,11,FALSE)="","",VLOOKUP($A$2,'NHG''s optical glass 202608'!$C$5:$KJ$276,11,FALSE))</f>
        <v>1.63943</v>
      </c>
      <c r="F11" s="511"/>
      <c r="G11" s="512"/>
      <c r="H11" s="513" t="s">
        <v>1547</v>
      </c>
      <c r="I11" s="572">
        <f>IF(VLOOKUP($A$2,'NHG''s optical glass 202608'!$C$5:$KE$276,37,FALSE)="","",VLOOKUP($A$2,'NHG''s optical glass 202608'!$C$5:$KE$276,37,FALSE))</f>
        <v>0.2311</v>
      </c>
      <c r="J11" s="572"/>
      <c r="K11" s="569"/>
      <c r="L11" s="507" t="s">
        <v>1548</v>
      </c>
      <c r="M11" s="509"/>
      <c r="N11" s="573">
        <f>IF(VLOOKUP($A$2,'NHG''s optical glass 202608'!$C$5:$KJ$276,174,FALSE)="","",VLOOKUP($A$2,'NHG''s optical glass 202608'!$C$5:$KJ$276,174,FALSE))</f>
        <v>1</v>
      </c>
      <c r="O11" s="519"/>
      <c r="P11" s="513">
        <v>1600</v>
      </c>
      <c r="Q11" s="613">
        <f>IF(VLOOKUP($A$2,'NHG''s optical glass 202608'!$C$5:$KJ$276,227,FALSE)="","",VLOOKUP($A$2,'NHG''s optical glass 202608'!$C$5:$KJ$276,227,FALSE))</f>
        <v>0.995</v>
      </c>
      <c r="R11" s="614"/>
      <c r="S11" s="596">
        <f>IF(VLOOKUP($A$2,'NHG''s optical glass 202608'!$C$5:$KJ$276,263,FALSE)="","",VLOOKUP($A$2,'NHG''s optical glass 202608'!$C$5:$KJ$276,263,FALSE))</f>
        <v>0.991</v>
      </c>
      <c r="T11" s="615"/>
    </row>
    <row r="12" ht="16.5" customHeight="1" spans="1:20">
      <c r="A12" s="506" t="s">
        <v>1549</v>
      </c>
      <c r="B12" s="507">
        <v>1013.98</v>
      </c>
      <c r="C12" s="508"/>
      <c r="D12" s="509"/>
      <c r="E12" s="517">
        <f>IF(VLOOKUP($A$2,'NHG''s optical glass 202608'!$C$5:$KJ$276,12,FALSE)="","",VLOOKUP($A$2,'NHG''s optical glass 202608'!$C$5:$KJ$276,12,FALSE))</f>
        <v>1.64066</v>
      </c>
      <c r="F12" s="518"/>
      <c r="G12" s="512"/>
      <c r="H12" s="513" t="s">
        <v>1550</v>
      </c>
      <c r="I12" s="572">
        <f>IF(VLOOKUP($A$2,'NHG''s optical glass 202608'!$C$5:$KE$276,38,FALSE)="","",VLOOKUP($A$2,'NHG''s optical glass 202608'!$C$5:$KE$276,38,FALSE))</f>
        <v>0.5516</v>
      </c>
      <c r="J12" s="572"/>
      <c r="K12" s="574"/>
      <c r="L12" s="507" t="s">
        <v>1551</v>
      </c>
      <c r="M12" s="509"/>
      <c r="N12" s="573">
        <f>IF(VLOOKUP($A$2,'NHG''s optical glass 202608'!$C$5:$KJ$276,175,FALSE)="","",VLOOKUP($A$2,'NHG''s optical glass 202608'!$C$5:$KJ$276,175,FALSE))</f>
        <v>2</v>
      </c>
      <c r="O12" s="519"/>
      <c r="P12" s="507">
        <v>1400</v>
      </c>
      <c r="Q12" s="613">
        <f>IF(VLOOKUP($A$2,'NHG''s optical glass 202608'!$C$5:$KJ$276,228,FALSE)="","",VLOOKUP($A$2,'NHG''s optical glass 202608'!$C$5:$KJ$276,228,FALSE))</f>
        <v>0.997</v>
      </c>
      <c r="R12" s="614"/>
      <c r="S12" s="596">
        <f>IF(VLOOKUP($A$2,'NHG''s optical glass 202608'!$C$5:$KJ$276,264,FALSE)="","",VLOOKUP($A$2,'NHG''s optical glass 202608'!$C$5:$KJ$276,264,FALSE))</f>
        <v>0.994</v>
      </c>
      <c r="T12" s="615"/>
    </row>
    <row r="13" ht="16.5" customHeight="1" spans="1:20">
      <c r="A13" s="506" t="s">
        <v>1552</v>
      </c>
      <c r="B13" s="507">
        <v>852.11</v>
      </c>
      <c r="C13" s="508"/>
      <c r="D13" s="509"/>
      <c r="E13" s="517">
        <f>IF(VLOOKUP($A$2,'NHG''s optical glass 202608'!$C$5:$KJ$276,13,FALSE)="","",VLOOKUP($A$2,'NHG''s optical glass 202608'!$C$5:$KJ$276,13,FALSE))</f>
        <v>1.64575</v>
      </c>
      <c r="F13" s="518"/>
      <c r="G13" s="512"/>
      <c r="H13" s="513"/>
      <c r="I13" s="572"/>
      <c r="J13" s="572"/>
      <c r="K13" s="574"/>
      <c r="L13" s="507" t="s">
        <v>194</v>
      </c>
      <c r="M13" s="509"/>
      <c r="N13" s="573">
        <f>IF(VLOOKUP($A$2,'NHG''s optical glass 202608'!$C$5:$KJ$276,176,FALSE)="","",VLOOKUP($A$2,'NHG''s optical glass 202608'!$C$5:$KJ$276,176,FALSE))</f>
        <v>1</v>
      </c>
      <c r="O13" s="519"/>
      <c r="P13" s="507">
        <v>1200</v>
      </c>
      <c r="Q13" s="613">
        <f>IF(VLOOKUP($A$2,'NHG''s optical glass 202608'!$C$5:$KJ$276,229,FALSE)="","",VLOOKUP($A$2,'NHG''s optical glass 202608'!$C$5:$KJ$276,229,FALSE))</f>
        <v>0.998</v>
      </c>
      <c r="R13" s="614"/>
      <c r="S13" s="596">
        <f>IF(VLOOKUP($A$2,'NHG''s optical glass 202608'!$C$5:$KJ$276,265,FALSE)="","",VLOOKUP($A$2,'NHG''s optical glass 202608'!$C$5:$KJ$276,265,FALSE))</f>
        <v>0.997</v>
      </c>
      <c r="T13" s="615"/>
    </row>
    <row r="14" ht="16.5" customHeight="1" spans="1:20">
      <c r="A14" s="506" t="s">
        <v>1553</v>
      </c>
      <c r="B14" s="507">
        <v>768.19</v>
      </c>
      <c r="C14" s="508"/>
      <c r="D14" s="509"/>
      <c r="E14" s="517">
        <f>IF(VLOOKUP($A$2,'NHG''s optical glass 202608'!$C$5:$KJ$276,14,FALSE)="","",VLOOKUP($A$2,'NHG''s optical glass 202608'!$C$5:$KJ$276,14,FALSE))</f>
        <v>1.64951</v>
      </c>
      <c r="F14" s="518"/>
      <c r="G14" s="512"/>
      <c r="H14" s="519"/>
      <c r="I14" s="575"/>
      <c r="J14" s="576"/>
      <c r="K14" s="510"/>
      <c r="L14" s="526"/>
      <c r="M14" s="575"/>
      <c r="N14" s="576"/>
      <c r="O14" s="519"/>
      <c r="P14" s="507">
        <v>1060</v>
      </c>
      <c r="Q14" s="613">
        <f>IF(VLOOKUP($A$2,'NHG''s optical glass 202608'!$C$5:$KJ$276,230,FALSE)="","",VLOOKUP($A$2,'NHG''s optical glass 202608'!$C$5:$KJ$276,230,FALSE))</f>
        <v>0.999</v>
      </c>
      <c r="R14" s="614"/>
      <c r="S14" s="596">
        <f>IF(VLOOKUP($A$2,'NHG''s optical glass 202608'!$C$5:$KJ$276,266,FALSE)="","",VLOOKUP($A$2,'NHG''s optical glass 202608'!$C$5:$KJ$276,266,FALSE))</f>
        <v>0.998</v>
      </c>
      <c r="T14" s="615"/>
    </row>
    <row r="15" ht="16.5" customHeight="1" spans="1:20">
      <c r="A15" s="513" t="s">
        <v>1554</v>
      </c>
      <c r="B15" s="507">
        <v>706.52</v>
      </c>
      <c r="C15" s="508"/>
      <c r="D15" s="509"/>
      <c r="E15" s="517">
        <f>IF(VLOOKUP($A$2,'NHG''s optical glass 202608'!$C$5:$KJ$276,15,FALSE)="","",VLOOKUP($A$2,'NHG''s optical glass 202608'!$C$5:$KJ$276,15,FALSE))</f>
        <v>1.65313</v>
      </c>
      <c r="F15" s="518"/>
      <c r="G15" s="512"/>
      <c r="H15" s="520" t="s">
        <v>1555</v>
      </c>
      <c r="I15" s="567"/>
      <c r="J15" s="568"/>
      <c r="K15" s="525"/>
      <c r="L15" s="577" t="s">
        <v>1556</v>
      </c>
      <c r="M15" s="505"/>
      <c r="N15" s="505"/>
      <c r="O15" s="519"/>
      <c r="P15" s="507">
        <v>1000</v>
      </c>
      <c r="Q15" s="613">
        <f>IF(VLOOKUP($A$2,'NHG''s optical glass 202608'!$C$5:$KJ$276,231,FALSE)="","",VLOOKUP($A$2,'NHG''s optical glass 202608'!$C$5:$KJ$276,231,FALSE))</f>
        <v>0.999</v>
      </c>
      <c r="R15" s="614"/>
      <c r="S15" s="596">
        <f>IF(VLOOKUP($A$2,'NHG''s optical glass 202608'!$C$5:$KJ$276,267,FALSE)="","",VLOOKUP($A$2,'NHG''s optical glass 202608'!$C$5:$KJ$276,267,FALSE))</f>
        <v>0.998</v>
      </c>
      <c r="T15" s="615"/>
    </row>
    <row r="16" ht="16.5" customHeight="1" spans="1:20">
      <c r="A16" s="513" t="s">
        <v>1557</v>
      </c>
      <c r="B16" s="507">
        <v>656.27</v>
      </c>
      <c r="C16" s="508"/>
      <c r="D16" s="509"/>
      <c r="E16" s="517">
        <f>IF(VLOOKUP($A$2,'NHG''s optical glass 202608'!$C$5:$KJ$276,16,FALSE)="","",VLOOKUP($A$2,'NHG''s optical glass 202608'!$C$5:$KJ$276,16,FALSE))</f>
        <v>1.65688</v>
      </c>
      <c r="F16" s="518"/>
      <c r="G16" s="512"/>
      <c r="H16" s="521"/>
      <c r="I16" s="570"/>
      <c r="J16" s="571"/>
      <c r="K16" s="510"/>
      <c r="L16" s="505"/>
      <c r="M16" s="505"/>
      <c r="N16" s="505"/>
      <c r="O16" s="519"/>
      <c r="P16" s="507">
        <v>950</v>
      </c>
      <c r="Q16" s="613">
        <f>IF(VLOOKUP($A$2,'NHG''s optical glass 202608'!$C$5:$KJ$276,232,FALSE)="","",VLOOKUP($A$2,'NHG''s optical glass 202608'!$C$5:$KJ$276,232,FALSE))</f>
        <v>0.999</v>
      </c>
      <c r="R16" s="614"/>
      <c r="S16" s="596">
        <f>IF(VLOOKUP($A$2,'NHG''s optical glass 202608'!$C$5:$KJ$276,268,FALSE)="","",VLOOKUP($A$2,'NHG''s optical glass 202608'!$C$5:$KJ$276,268,FALSE))</f>
        <v>0.998</v>
      </c>
      <c r="T16" s="615"/>
    </row>
    <row r="17" ht="16.5" customHeight="1" spans="1:20">
      <c r="A17" s="513" t="s">
        <v>1558</v>
      </c>
      <c r="B17" s="507">
        <v>643.85</v>
      </c>
      <c r="C17" s="508"/>
      <c r="D17" s="509"/>
      <c r="E17" s="517">
        <f>IF(VLOOKUP($A$2,'NHG''s optical glass 202608'!$C$5:$KJ$276,17,FALSE)="","",VLOOKUP($A$2,'NHG''s optical glass 202608'!$C$5:$KJ$276,17,FALSE))</f>
        <v>1.65796</v>
      </c>
      <c r="F17" s="518"/>
      <c r="G17" s="512"/>
      <c r="H17" s="513" t="s">
        <v>1559</v>
      </c>
      <c r="I17" s="578">
        <f>IF(VLOOKUP($A$2,'NHG''s optical glass 202608'!$C$5:$KJ$276,39,FALSE)="","",VLOOKUP($A$2,'NHG''s optical glass 202608'!$C$5:$KJ$276,39,FALSE))</f>
        <v>0.004</v>
      </c>
      <c r="J17" s="579"/>
      <c r="K17" s="510"/>
      <c r="L17" s="580"/>
      <c r="M17" s="580"/>
      <c r="N17" s="580"/>
      <c r="O17" s="519"/>
      <c r="P17" s="507">
        <v>900</v>
      </c>
      <c r="Q17" s="613">
        <f>IF(VLOOKUP($A$2,'NHG''s optical glass 202608'!$C$5:$KJ$276,233,FALSE)="","",VLOOKUP($A$2,'NHG''s optical glass 202608'!$C$5:$KJ$276,233,FALSE))</f>
        <v>0.999</v>
      </c>
      <c r="R17" s="614"/>
      <c r="S17" s="596">
        <f>IF(VLOOKUP($A$2,'NHG''s optical glass 202608'!$C$5:$KJ$276,269,FALSE)="","",VLOOKUP($A$2,'NHG''s optical glass 202608'!$C$5:$KJ$276,269,FALSE))</f>
        <v>0.998</v>
      </c>
      <c r="T17" s="615"/>
    </row>
    <row r="18" ht="16.5" customHeight="1" spans="1:20">
      <c r="A18" s="513" t="s">
        <v>1560</v>
      </c>
      <c r="B18" s="514">
        <v>632.8</v>
      </c>
      <c r="C18" s="515"/>
      <c r="D18" s="516"/>
      <c r="E18" s="517">
        <f>IF(VLOOKUP($A$2,'NHG''s optical glass 202608'!$C$5:$KJ$276,18,FALSE)="","",VLOOKUP($A$2,'NHG''s optical glass 202608'!$C$5:$KJ$276,18,FALSE))</f>
        <v>1.65897</v>
      </c>
      <c r="F18" s="518"/>
      <c r="G18" s="512"/>
      <c r="H18" s="513" t="s">
        <v>1561</v>
      </c>
      <c r="I18" s="578">
        <f>IF(VLOOKUP($A$2,'NHG''s optical glass 202608'!$C$5:$KJ$276,40,FALSE)="","",VLOOKUP($A$2,'NHG''s optical glass 202608'!$C$5:$KJ$276,40,FALSE))</f>
        <v>0.0258</v>
      </c>
      <c r="J18" s="579"/>
      <c r="K18" s="510"/>
      <c r="L18" s="506" t="s">
        <v>1562</v>
      </c>
      <c r="M18" s="506"/>
      <c r="N18" s="506" t="s">
        <v>1563</v>
      </c>
      <c r="O18" s="519"/>
      <c r="P18" s="507">
        <v>850</v>
      </c>
      <c r="Q18" s="613">
        <f>IF(VLOOKUP($A$2,'NHG''s optical glass 202608'!$C$5:$KJ$276,234,FALSE)="","",VLOOKUP($A$2,'NHG''s optical glass 202608'!$C$5:$KJ$276,234,FALSE))</f>
        <v>0.999</v>
      </c>
      <c r="R18" s="614"/>
      <c r="S18" s="596">
        <f>IF(VLOOKUP($A$2,'NHG''s optical glass 202608'!$C$5:$KJ$276,270,FALSE)="","",VLOOKUP($A$2,'NHG''s optical glass 202608'!$C$5:$KJ$276,270,FALSE))</f>
        <v>0.998</v>
      </c>
      <c r="T18" s="615"/>
    </row>
    <row r="19" ht="16.5" customHeight="1" spans="1:20">
      <c r="A19" s="513" t="s">
        <v>1564</v>
      </c>
      <c r="B19" s="507">
        <v>589.29</v>
      </c>
      <c r="C19" s="508"/>
      <c r="D19" s="509"/>
      <c r="E19" s="517">
        <f>IF(VLOOKUP($A$2,'NHG''s optical glass 202608'!$C$5:$KJ$276,19,FALSE)="","",VLOOKUP($A$2,'NHG''s optical glass 202608'!$C$5:$KJ$276,19,FALSE))</f>
        <v>1.66361</v>
      </c>
      <c r="F19" s="518"/>
      <c r="G19" s="512"/>
      <c r="H19" s="513" t="s">
        <v>1565</v>
      </c>
      <c r="I19" s="578">
        <f>IF(VLOOKUP($A$2,'NHG''s optical glass 202608'!$C$5:$KJ$276,41,FALSE)="","",VLOOKUP($A$2,'NHG''s optical glass 202608'!$C$5:$KJ$276,41,FALSE))</f>
        <v>-0.0044</v>
      </c>
      <c r="J19" s="579"/>
      <c r="K19" s="510"/>
      <c r="L19" s="581" t="s">
        <v>1566</v>
      </c>
      <c r="M19" s="582"/>
      <c r="N19" s="583">
        <f>IF(VLOOKUP($A$2,'NHG''s optical glass 202608'!$C$5:$KJ$276,188,FALSE)="","",VLOOKUP($A$2,'NHG''s optical glass 202608'!$C$5:$KJ$276,188,FALSE))</f>
        <v>120</v>
      </c>
      <c r="O19" s="519"/>
      <c r="P19" s="507">
        <v>800</v>
      </c>
      <c r="Q19" s="613">
        <f>IF(VLOOKUP($A$2,'NHG''s optical glass 202608'!$C$5:$KJ$276,235,FALSE)="","",VLOOKUP($A$2,'NHG''s optical glass 202608'!$C$5:$KJ$276,235,FALSE))</f>
        <v>0.999</v>
      </c>
      <c r="R19" s="614"/>
      <c r="S19" s="596">
        <f>IF(VLOOKUP($A$2,'NHG''s optical glass 202608'!$C$5:$KJ$276,271,FALSE)="","",VLOOKUP($A$2,'NHG''s optical glass 202608'!$C$5:$KJ$276,271,FALSE))</f>
        <v>0.998</v>
      </c>
      <c r="T19" s="615"/>
    </row>
    <row r="20" ht="16.5" customHeight="1" spans="1:20">
      <c r="A20" s="513" t="s">
        <v>1567</v>
      </c>
      <c r="B20" s="507">
        <v>587.56</v>
      </c>
      <c r="C20" s="508"/>
      <c r="D20" s="509"/>
      <c r="E20" s="517">
        <f>IF(VLOOKUP($A$2,'NHG''s optical glass 202608'!$C$5:$KJ$276,20,FALSE)="","",VLOOKUP($A$2,'NHG''s optical glass 202608'!$C$5:$KJ$276,20,FALSE))</f>
        <v>1.66382</v>
      </c>
      <c r="F20" s="518"/>
      <c r="G20" s="512"/>
      <c r="H20" s="513" t="s">
        <v>1568</v>
      </c>
      <c r="I20" s="578">
        <f>IF(VLOOKUP($A$2,'NHG''s optical glass 202608'!$C$5:$KJ$276,42,FALSE)="","",VLOOKUP($A$2,'NHG''s optical glass 202608'!$C$5:$KJ$276,42,FALSE))</f>
        <v>-0.0074</v>
      </c>
      <c r="J20" s="579"/>
      <c r="K20" s="584"/>
      <c r="L20" s="554" t="s">
        <v>1569</v>
      </c>
      <c r="M20" s="585"/>
      <c r="N20" s="586">
        <f>IF(VLOOKUP($A$2,'NHG''s optical glass 202608'!$C$5:$KJ$276,189,FALSE)="","",VLOOKUP($A$2,'NHG''s optical glass 202608'!$C$5:$KJ$276,189,FALSE))</f>
        <v>122</v>
      </c>
      <c r="O20" s="519"/>
      <c r="P20" s="507">
        <v>750</v>
      </c>
      <c r="Q20" s="613">
        <f>IF(VLOOKUP($A$2,'NHG''s optical glass 202608'!$C$5:$KJ$276,236,FALSE)="","",VLOOKUP($A$2,'NHG''s optical glass 202608'!$C$5:$KJ$276,236,FALSE))</f>
        <v>0.999</v>
      </c>
      <c r="R20" s="614"/>
      <c r="S20" s="596">
        <f>IF(VLOOKUP($A$2,'NHG''s optical glass 202608'!$C$5:$KJ$276,272,FALSE)="","",VLOOKUP($A$2,'NHG''s optical glass 202608'!$C$5:$KJ$276,272,FALSE))</f>
        <v>0.998</v>
      </c>
      <c r="T20" s="615"/>
    </row>
    <row r="21" ht="16.5" customHeight="1" spans="1:20">
      <c r="A21" s="513" t="s">
        <v>1570</v>
      </c>
      <c r="B21" s="507">
        <v>546.07</v>
      </c>
      <c r="C21" s="508"/>
      <c r="D21" s="509"/>
      <c r="E21" s="517">
        <f>IF(VLOOKUP($A$2,'NHG''s optical glass 202608'!$C$5:$KJ$276,21,FALSE)="","",VLOOKUP($A$2,'NHG''s optical glass 202608'!$C$5:$KJ$276,21,FALSE))</f>
        <v>1.66953</v>
      </c>
      <c r="F21" s="518"/>
      <c r="G21" s="512"/>
      <c r="H21" s="519"/>
      <c r="I21" s="519"/>
      <c r="J21" s="519"/>
      <c r="K21" s="584"/>
      <c r="L21" s="554" t="s">
        <v>1571</v>
      </c>
      <c r="M21" s="585"/>
      <c r="N21" s="586">
        <f>IF(VLOOKUP($A$2,'NHG''s optical glass 202608'!$C$5:$KJ$276,190,FALSE)="","",VLOOKUP($A$2,'NHG''s optical glass 202608'!$C$5:$KJ$276,190,FALSE))</f>
        <v>122</v>
      </c>
      <c r="O21" s="519"/>
      <c r="P21" s="507">
        <v>700</v>
      </c>
      <c r="Q21" s="613">
        <f>IF(VLOOKUP($A$2,'NHG''s optical glass 202608'!$C$5:$KJ$276,237,FALSE)="","",VLOOKUP($A$2,'NHG''s optical glass 202608'!$C$5:$KJ$276,237,FALSE))</f>
        <v>0.998</v>
      </c>
      <c r="R21" s="614"/>
      <c r="S21" s="596">
        <f>IF(VLOOKUP($A$2,'NHG''s optical glass 202608'!$C$5:$KJ$276,273,FALSE)="","",VLOOKUP($A$2,'NHG''s optical glass 202608'!$C$5:$KJ$276,273,FALSE))</f>
        <v>0.997</v>
      </c>
      <c r="T21" s="615"/>
    </row>
    <row r="22" ht="16.5" customHeight="1" spans="1:20">
      <c r="A22" s="513" t="s">
        <v>1572</v>
      </c>
      <c r="B22" s="507">
        <v>486.13</v>
      </c>
      <c r="C22" s="508"/>
      <c r="D22" s="509"/>
      <c r="E22" s="517">
        <f>IF(VLOOKUP($A$2,'NHG''s optical glass 202608'!$C$5:$KJ$276,22,FALSE)="","",VLOOKUP($A$2,'NHG''s optical glass 202608'!$C$5:$KJ$276,22,FALSE))</f>
        <v>1.68116</v>
      </c>
      <c r="F22" s="518"/>
      <c r="G22" s="512"/>
      <c r="H22" s="522" t="s">
        <v>15</v>
      </c>
      <c r="I22" s="528"/>
      <c r="J22" s="529"/>
      <c r="K22" s="587"/>
      <c r="L22" s="554" t="s">
        <v>1573</v>
      </c>
      <c r="M22" s="585"/>
      <c r="N22" s="586">
        <f>IF(VLOOKUP($A$2,'NHG''s optical glass 202608'!$C$5:$KJ$276,191,FALSE)="","",VLOOKUP($A$2,'NHG''s optical glass 202608'!$C$5:$KJ$276,191,FALSE))</f>
        <v>124</v>
      </c>
      <c r="O22" s="519"/>
      <c r="P22" s="507">
        <v>650</v>
      </c>
      <c r="Q22" s="613">
        <f>IF(VLOOKUP($A$2,'NHG''s optical glass 202608'!$C$5:$KJ$276,238,FALSE)="","",VLOOKUP($A$2,'NHG''s optical glass 202608'!$C$5:$KJ$276,238,FALSE))</f>
        <v>0.998</v>
      </c>
      <c r="R22" s="614"/>
      <c r="S22" s="596">
        <f>IF(VLOOKUP($A$2,'NHG''s optical glass 202608'!$C$5:$KJ$276,274,FALSE)="","",VLOOKUP($A$2,'NHG''s optical glass 202608'!$C$5:$KJ$276,274,FALSE))</f>
        <v>0.997</v>
      </c>
      <c r="T22" s="615" t="s">
        <v>1574</v>
      </c>
    </row>
    <row r="23" ht="16.5" customHeight="1" spans="1:20">
      <c r="A23" s="513" t="s">
        <v>1575</v>
      </c>
      <c r="B23" s="507">
        <v>479.99</v>
      </c>
      <c r="C23" s="508"/>
      <c r="D23" s="509"/>
      <c r="E23" s="517">
        <f>IF(VLOOKUP($A$2,'NHG''s optical glass 202608'!$C$5:$KJ$276,23,FALSE)="","",VLOOKUP($A$2,'NHG''s optical glass 202608'!$C$5:$KJ$276,23,FALSE))</f>
        <v>1.68267</v>
      </c>
      <c r="F23" s="518"/>
      <c r="G23" s="512"/>
      <c r="H23" s="523" t="s">
        <v>1576</v>
      </c>
      <c r="I23" s="542"/>
      <c r="J23" s="573">
        <f>IF(VLOOKUP($A$2,'NHG''s optical glass 202608'!$C$5:$KJ$276,180,FALSE)="","",VLOOKUP($A$2,'NHG''s optical glass 202608'!$C$5:$KJ$276,180,FALSE))</f>
        <v>501</v>
      </c>
      <c r="K23" s="519"/>
      <c r="L23" s="554" t="s">
        <v>1577</v>
      </c>
      <c r="M23" s="585"/>
      <c r="N23" s="586">
        <f>IF(VLOOKUP($A$2,'NHG''s optical glass 202608'!$C$5:$KJ$276,192,FALSE)="","",VLOOKUP($A$2,'NHG''s optical glass 202608'!$C$5:$KJ$276,192,FALSE))</f>
        <v>125</v>
      </c>
      <c r="O23" s="519"/>
      <c r="P23" s="507">
        <v>600</v>
      </c>
      <c r="Q23" s="613">
        <f>IF(VLOOKUP($A$2,'NHG''s optical glass 202608'!$C$5:$KJ$276,239,FALSE)="","",VLOOKUP($A$2,'NHG''s optical glass 202608'!$C$5:$KJ$276,239,FALSE))</f>
        <v>0.997</v>
      </c>
      <c r="R23" s="614"/>
      <c r="S23" s="596">
        <f>IF(VLOOKUP($A$2,'NHG''s optical glass 202608'!$C$5:$KJ$276,275,FALSE)="","",VLOOKUP($A$2,'NHG''s optical glass 202608'!$C$5:$KJ$276,275,FALSE))</f>
        <v>0.994</v>
      </c>
      <c r="T23" s="615"/>
    </row>
    <row r="24" ht="16.5" customHeight="1" spans="1:20">
      <c r="A24" s="513" t="s">
        <v>1578</v>
      </c>
      <c r="B24" s="507">
        <v>435.84</v>
      </c>
      <c r="C24" s="508"/>
      <c r="D24" s="509"/>
      <c r="E24" s="517">
        <f>IF(VLOOKUP($A$2,'NHG''s optical glass 202608'!$C$5:$KJ$276,24,FALSE)="","",VLOOKUP($A$2,'NHG''s optical glass 202608'!$C$5:$KJ$276,24,FALSE))</f>
        <v>1.6963</v>
      </c>
      <c r="F24" s="518"/>
      <c r="G24" s="512"/>
      <c r="H24" s="523" t="s">
        <v>1579</v>
      </c>
      <c r="I24" s="542"/>
      <c r="J24" s="573">
        <f>IF(VLOOKUP($A$2,'NHG''s optical glass 202608'!$C$5:$KJ$276,181,FALSE)="","",VLOOKUP($A$2,'NHG''s optical glass 202608'!$C$5:$KJ$276,181,FALSE))</f>
        <v>540</v>
      </c>
      <c r="K24" s="525"/>
      <c r="L24" s="554" t="s">
        <v>1580</v>
      </c>
      <c r="M24" s="585"/>
      <c r="N24" s="586">
        <f>IF(VLOOKUP($A$2,'NHG''s optical glass 202608'!$C$5:$KJ$276,193,FALSE)="","",VLOOKUP($A$2,'NHG''s optical glass 202608'!$C$5:$KJ$276,193,FALSE))</f>
        <v>129</v>
      </c>
      <c r="O24" s="519"/>
      <c r="P24" s="513">
        <v>550</v>
      </c>
      <c r="Q24" s="613">
        <f>IF(VLOOKUP($A$2,'NHG''s optical glass 202608'!$C$5:$KJ$276,240,FALSE)="","",VLOOKUP($A$2,'NHG''s optical glass 202608'!$C$5:$KJ$276,240,FALSE))</f>
        <v>0.993</v>
      </c>
      <c r="R24" s="614"/>
      <c r="S24" s="596">
        <f>IF(VLOOKUP($A$2,'NHG''s optical glass 202608'!$C$5:$KJ$276,276,FALSE)="","",VLOOKUP($A$2,'NHG''s optical glass 202608'!$C$5:$KJ$276,276,FALSE))</f>
        <v>0.987</v>
      </c>
      <c r="T24" s="615"/>
    </row>
    <row r="25" ht="16.5" customHeight="1" spans="1:20">
      <c r="A25" s="513" t="s">
        <v>1581</v>
      </c>
      <c r="B25" s="507">
        <v>404.66</v>
      </c>
      <c r="C25" s="508"/>
      <c r="D25" s="509"/>
      <c r="E25" s="511">
        <f>IF(VLOOKUP($A$2,'NHG''s optical glass 202608'!$C$5:$KJ$276,25,FALSE)="","",VLOOKUP($A$2,'NHG''s optical glass 202608'!$C$5:$KJ$276,25,FALSE))</f>
        <v>1.71027</v>
      </c>
      <c r="F25" s="511"/>
      <c r="G25" s="512"/>
      <c r="H25" s="524" t="s">
        <v>1582</v>
      </c>
      <c r="I25" s="588"/>
      <c r="J25" s="573">
        <f>IF(VLOOKUP($A$2,'NHG''s optical glass 202608'!$C$5:$KJ$276,182,FALSE)="","",VLOOKUP($A$2,'NHG''s optical glass 202608'!$C$5:$KJ$276,182,FALSE))</f>
        <v>464</v>
      </c>
      <c r="K25" s="589"/>
      <c r="L25" s="554" t="s">
        <v>1583</v>
      </c>
      <c r="M25" s="585"/>
      <c r="N25" s="586">
        <f>IF(VLOOKUP($A$2,'NHG''s optical glass 202608'!$C$5:$KJ$276,194,FALSE)="","",VLOOKUP($A$2,'NHG''s optical glass 202608'!$C$5:$KJ$276,194,FALSE))</f>
        <v>129</v>
      </c>
      <c r="O25" s="519"/>
      <c r="P25" s="513">
        <v>500</v>
      </c>
      <c r="Q25" s="613">
        <f>IF(VLOOKUP($A$2,'NHG''s optical glass 202608'!$C$5:$KJ$276,241,FALSE)="","",VLOOKUP($A$2,'NHG''s optical glass 202608'!$C$5:$KJ$276,241,FALSE))</f>
        <v>0.986</v>
      </c>
      <c r="R25" s="614"/>
      <c r="S25" s="596">
        <f>IF(VLOOKUP($A$2,'NHG''s optical glass 202608'!$C$5:$KJ$276,277,FALSE)="","",VLOOKUP($A$2,'NHG''s optical glass 202608'!$C$5:$KJ$276,277,FALSE))</f>
        <v>0.972</v>
      </c>
      <c r="T25" s="615"/>
    </row>
    <row r="26" ht="16.5" customHeight="1" spans="1:20">
      <c r="A26" s="513" t="s">
        <v>1584</v>
      </c>
      <c r="B26" s="507">
        <v>365.01</v>
      </c>
      <c r="C26" s="508"/>
      <c r="D26" s="509"/>
      <c r="E26" s="511">
        <f>IF(VLOOKUP($A$2,'NHG''s optical glass 202608'!$C$5:$KJ$276,26,FALSE)="","",VLOOKUP($A$2,'NHG''s optical glass 202608'!$C$5:$KJ$276,26,FALSE))</f>
        <v>1.73801</v>
      </c>
      <c r="F26" s="511"/>
      <c r="G26" s="512"/>
      <c r="H26" s="524" t="s">
        <v>1585</v>
      </c>
      <c r="I26" s="588"/>
      <c r="J26" s="573">
        <f>IF(VLOOKUP($A$2,'NHG''s optical glass 202608'!$C$5:$KJ$276,183,FALSE)="","",VLOOKUP($A$2,'NHG''s optical glass 202608'!$C$5:$KJ$276,183,FALSE))</f>
        <v>495</v>
      </c>
      <c r="K26" s="589"/>
      <c r="L26" s="554" t="s">
        <v>1586</v>
      </c>
      <c r="M26" s="585"/>
      <c r="N26" s="586">
        <f>IF(VLOOKUP($A$2,'NHG''s optical glass 202608'!$C$5:$KJ$276,195,FALSE)="","",VLOOKUP($A$2,'NHG''s optical glass 202608'!$C$5:$KJ$276,195,FALSE))</f>
        <v>130</v>
      </c>
      <c r="O26" s="519"/>
      <c r="P26" s="513">
        <v>480</v>
      </c>
      <c r="Q26" s="613">
        <f>IF(VLOOKUP($A$2,'NHG''s optical glass 202608'!$C$5:$KJ$276,242,FALSE)="","",VLOOKUP($A$2,'NHG''s optical glass 202608'!$C$5:$KJ$276,242,FALSE))</f>
        <v>0.982</v>
      </c>
      <c r="R26" s="614"/>
      <c r="S26" s="596">
        <f>IF(VLOOKUP($A$2,'NHG''s optical glass 202608'!$C$5:$KJ$276,278,FALSE)="","",VLOOKUP($A$2,'NHG''s optical glass 202608'!$C$5:$KJ$276,278,FALSE))</f>
        <v>0.965</v>
      </c>
      <c r="T26" s="615"/>
    </row>
    <row r="27" ht="16.5" customHeight="1" spans="1:20">
      <c r="A27" s="513"/>
      <c r="B27" s="507"/>
      <c r="C27" s="508"/>
      <c r="D27" s="509"/>
      <c r="E27" s="511"/>
      <c r="F27" s="511"/>
      <c r="G27" s="519"/>
      <c r="H27" s="523" t="s">
        <v>1587</v>
      </c>
      <c r="I27" s="542"/>
      <c r="J27" s="573">
        <f>IF(VLOOKUP($A$2,'NHG''s optical glass 202608'!$C$5:$KJ$276,186,FALSE)="","",VLOOKUP($A$2,'NHG''s optical glass 202608'!$C$5:$KJ$276,186,FALSE))</f>
        <v>129</v>
      </c>
      <c r="K27" s="589"/>
      <c r="L27" s="554" t="s">
        <v>1588</v>
      </c>
      <c r="M27" s="585"/>
      <c r="N27" s="586">
        <f>IF(VLOOKUP($A$2,'NHG''s optical glass 202608'!$C$5:$KJ$276,196,FALSE)="","",VLOOKUP($A$2,'NHG''s optical glass 202608'!$C$5:$KJ$276,196,FALSE))</f>
        <v>133</v>
      </c>
      <c r="O27" s="519"/>
      <c r="P27" s="513">
        <v>460</v>
      </c>
      <c r="Q27" s="613">
        <f>IF(VLOOKUP($A$2,'NHG''s optical glass 202608'!$C$5:$KJ$276,243,FALSE)="","",VLOOKUP($A$2,'NHG''s optical glass 202608'!$C$5:$KJ$276,243,FALSE))</f>
        <v>0.978</v>
      </c>
      <c r="R27" s="614"/>
      <c r="S27" s="596">
        <f>IF(VLOOKUP($A$2,'NHG''s optical glass 202608'!$C$5:$KJ$276,279,FALSE)="","",VLOOKUP($A$2,'NHG''s optical glass 202608'!$C$5:$KJ$276,279,FALSE))</f>
        <v>0.956</v>
      </c>
      <c r="T27" s="615"/>
    </row>
    <row r="28" ht="16.5" customHeight="1" spans="1:20">
      <c r="A28" s="513"/>
      <c r="B28" s="507"/>
      <c r="C28" s="508"/>
      <c r="D28" s="509"/>
      <c r="E28" s="511"/>
      <c r="F28" s="511"/>
      <c r="G28" s="525"/>
      <c r="H28" s="523" t="s">
        <v>1589</v>
      </c>
      <c r="I28" s="542"/>
      <c r="J28" s="573">
        <f>IF(VLOOKUP($A$2,'NHG''s optical glass 202608'!$C$5:$KJ$276,187,FALSE)="","",VLOOKUP($A$2,'NHG''s optical glass 202608'!$C$5:$KJ$276,187,FALSE))</f>
        <v>158</v>
      </c>
      <c r="K28" s="589"/>
      <c r="L28" s="554" t="s">
        <v>1590</v>
      </c>
      <c r="M28" s="585"/>
      <c r="N28" s="586">
        <f>IF(VLOOKUP($A$2,'NHG''s optical glass 202608'!$C$5:$KJ$276,197,FALSE)="","",VLOOKUP($A$2,'NHG''s optical glass 202608'!$C$5:$KJ$276,197,FALSE))</f>
        <v>134</v>
      </c>
      <c r="O28" s="519"/>
      <c r="P28" s="513">
        <v>440</v>
      </c>
      <c r="Q28" s="613">
        <f>IF(VLOOKUP($A$2,'NHG''s optical glass 202608'!$C$5:$KJ$276,244,FALSE)="","",VLOOKUP($A$2,'NHG''s optical glass 202608'!$C$5:$KJ$276,244,FALSE))</f>
        <v>0.971</v>
      </c>
      <c r="R28" s="614"/>
      <c r="S28" s="596">
        <f>IF(VLOOKUP($A$2,'NHG''s optical glass 202608'!$C$5:$KJ$276,280,FALSE)="","",VLOOKUP($A$2,'NHG''s optical glass 202608'!$C$5:$KJ$276,280,FALSE))</f>
        <v>0.942</v>
      </c>
      <c r="T28" s="615"/>
    </row>
    <row r="29" ht="16.5" customHeight="1" spans="1:20">
      <c r="A29" s="519"/>
      <c r="B29" s="519"/>
      <c r="C29" s="519"/>
      <c r="D29" s="519"/>
      <c r="E29" s="526"/>
      <c r="F29" s="519"/>
      <c r="G29" s="527"/>
      <c r="H29" s="507" t="s">
        <v>1591</v>
      </c>
      <c r="I29" s="509"/>
      <c r="J29" s="590">
        <f>IF(VLOOKUP($A$2,'NHG''s optical glass 202608'!$C$5:$KJ$276,184,FALSE)="","",VLOOKUP($A$2,'NHG''s optical glass 202608'!$C$5:$KJ$276,184,FALSE))</f>
        <v>0.8</v>
      </c>
      <c r="K29" s="591"/>
      <c r="L29" s="554" t="s">
        <v>1592</v>
      </c>
      <c r="M29" s="585"/>
      <c r="N29" s="586">
        <f>IF(VLOOKUP($A$2,'NHG''s optical glass 202608'!$C$5:$KJ$276,198,FALSE)="","",VLOOKUP($A$2,'NHG''s optical glass 202608'!$C$5:$KJ$276,198,FALSE))</f>
        <v>134</v>
      </c>
      <c r="O29" s="519"/>
      <c r="P29" s="513">
        <v>420</v>
      </c>
      <c r="Q29" s="613">
        <f>IF(VLOOKUP($A$2,'NHG''s optical glass 202608'!$C$5:$KJ$276,245,FALSE)="","",VLOOKUP($A$2,'NHG''s optical glass 202608'!$C$5:$KJ$276,245,FALSE))</f>
        <v>0.951</v>
      </c>
      <c r="R29" s="614"/>
      <c r="S29" s="596">
        <f>IF(VLOOKUP($A$2,'NHG''s optical glass 202608'!$C$5:$KJ$276,281,FALSE)="","",VLOOKUP($A$2,'NHG''s optical glass 202608'!$C$5:$KJ$276,281,FALSE))</f>
        <v>0.905</v>
      </c>
      <c r="T29" s="615"/>
    </row>
    <row r="30" ht="16.5" customHeight="1" spans="1:20">
      <c r="A30" s="522" t="s">
        <v>8</v>
      </c>
      <c r="B30" s="528"/>
      <c r="C30" s="528"/>
      <c r="D30" s="528"/>
      <c r="E30" s="528"/>
      <c r="F30" s="529"/>
      <c r="G30" s="527"/>
      <c r="H30" s="530" t="s">
        <v>1593</v>
      </c>
      <c r="I30" s="530"/>
      <c r="J30" s="592">
        <f>IF(VLOOKUP($A$2,'NHG''s optical glass 202608'!$C$5:$KJ$276,210,FALSE)="","",VLOOKUP($A$2,'NHG''s optical glass 202608'!$C$5:$KJ$276,210,FALSE))</f>
        <v>203</v>
      </c>
      <c r="K30" s="591"/>
      <c r="L30" s="554" t="s">
        <v>1594</v>
      </c>
      <c r="M30" s="585"/>
      <c r="N30" s="586">
        <f>IF(VLOOKUP($A$2,'NHG''s optical glass 202608'!$C$5:$KJ$276,199,FALSE)="","",VLOOKUP($A$2,'NHG''s optical glass 202608'!$C$5:$KJ$276,199,FALSE))</f>
        <v>137</v>
      </c>
      <c r="O30" s="519"/>
      <c r="P30" s="513">
        <v>400</v>
      </c>
      <c r="Q30" s="613">
        <f>IF(VLOOKUP($A$2,'NHG''s optical glass 202608'!$C$5:$KJ$276,246,FALSE)="","",VLOOKUP($A$2,'NHG''s optical glass 202608'!$C$5:$KJ$276,246,FALSE))</f>
        <v>0.894</v>
      </c>
      <c r="R30" s="614"/>
      <c r="S30" s="596">
        <f>IF(VLOOKUP($A$2,'NHG''s optical glass 202608'!$C$5:$KJ$276,282,FALSE)="","",VLOOKUP($A$2,'NHG''s optical glass 202608'!$C$5:$KJ$276,282,FALSE))</f>
        <v>0.8</v>
      </c>
      <c r="T30" s="615"/>
    </row>
    <row r="31" ht="16.5" customHeight="1" spans="1:20">
      <c r="A31" s="513" t="s">
        <v>1595</v>
      </c>
      <c r="B31" s="531">
        <f>IF(VLOOKUP($A$2,'NHG''s optical glass 202608'!$C$5:$KJ$276,27,FALSE)="","",VLOOKUP($A$2,'NHG''s optical glass 202608'!$C$5:$KJ$276,27,FALSE))</f>
        <v>2.67714843</v>
      </c>
      <c r="C31" s="532"/>
      <c r="D31" s="532"/>
      <c r="E31" s="532"/>
      <c r="F31" s="533"/>
      <c r="G31" s="527"/>
      <c r="H31" s="519"/>
      <c r="I31" s="519"/>
      <c r="J31" s="519"/>
      <c r="K31" s="526"/>
      <c r="L31" s="554" t="s">
        <v>1596</v>
      </c>
      <c r="M31" s="585"/>
      <c r="N31" s="586">
        <f>IF(VLOOKUP($A$2,'NHG''s optical glass 202608'!$C$5:$KJ$276,200,FALSE)="","",VLOOKUP($A$2,'NHG''s optical glass 202608'!$C$5:$KJ$276,200,FALSE))</f>
        <v>138</v>
      </c>
      <c r="O31" s="519"/>
      <c r="P31" s="513">
        <v>390</v>
      </c>
      <c r="Q31" s="613">
        <f>IF(VLOOKUP($A$2,'NHG''s optical glass 202608'!$C$5:$KJ$276,247,FALSE)="","",VLOOKUP($A$2,'NHG''s optical glass 202608'!$C$5:$KJ$276,247,FALSE))</f>
        <v>0.787</v>
      </c>
      <c r="R31" s="614"/>
      <c r="S31" s="596">
        <f>IF(VLOOKUP($A$2,'NHG''s optical glass 202608'!$C$5:$KJ$276,283,FALSE)="","",VLOOKUP($A$2,'NHG''s optical glass 202608'!$C$5:$KJ$276,283,FALSE))</f>
        <v>0.62</v>
      </c>
      <c r="T31" s="615" t="s">
        <v>1574</v>
      </c>
    </row>
    <row r="32" ht="16.5" customHeight="1" spans="1:20">
      <c r="A32" s="513" t="s">
        <v>1597</v>
      </c>
      <c r="B32" s="531">
        <f>IF(VLOOKUP($A$2,'NHG''s optical glass 202608'!$C$5:$KJ$276,28,FALSE)="","",VLOOKUP($A$2,'NHG''s optical glass 202608'!$C$5:$KJ$276,28,FALSE))</f>
        <v>-0.0125476109</v>
      </c>
      <c r="C32" s="532"/>
      <c r="D32" s="532"/>
      <c r="E32" s="532"/>
      <c r="F32" s="533"/>
      <c r="G32" s="527"/>
      <c r="H32" s="534" t="s">
        <v>16</v>
      </c>
      <c r="I32" s="534"/>
      <c r="J32" s="534"/>
      <c r="K32" s="593"/>
      <c r="L32" s="554" t="s">
        <v>1598</v>
      </c>
      <c r="M32" s="585"/>
      <c r="N32" s="586">
        <f>IF(VLOOKUP($A$2,'NHG''s optical glass 202608'!$C$5:$KJ$276,201,FALSE)="","",VLOOKUP($A$2,'NHG''s optical glass 202608'!$C$5:$KJ$276,201,FALSE))</f>
        <v>140</v>
      </c>
      <c r="O32" s="519"/>
      <c r="P32" s="513">
        <v>380</v>
      </c>
      <c r="Q32" s="613">
        <f>IF(VLOOKUP($A$2,'NHG''s optical glass 202608'!$C$5:$KJ$276,248,FALSE)="","",VLOOKUP($A$2,'NHG''s optical glass 202608'!$C$5:$KJ$276,248,FALSE))</f>
        <v>0.475</v>
      </c>
      <c r="R32" s="614"/>
      <c r="S32" s="596">
        <f>IF(VLOOKUP($A$2,'NHG''s optical glass 202608'!$C$5:$KJ$276,284,FALSE)="","",VLOOKUP($A$2,'NHG''s optical glass 202608'!$C$5:$KJ$276,284,FALSE))</f>
        <v>0.226</v>
      </c>
      <c r="T32" s="615"/>
    </row>
    <row r="33" ht="16.5" customHeight="1" spans="1:20">
      <c r="A33" s="513" t="s">
        <v>1599</v>
      </c>
      <c r="B33" s="531">
        <f>IF(VLOOKUP($A$2,'NHG''s optical glass 202608'!$C$5:$KJ$276,29,FALSE)="","",VLOOKUP($A$2,'NHG''s optical glass 202608'!$C$5:$KJ$276,29,FALSE))</f>
        <v>0.0253428256</v>
      </c>
      <c r="C33" s="532"/>
      <c r="D33" s="532"/>
      <c r="E33" s="532"/>
      <c r="F33" s="533"/>
      <c r="G33" s="527"/>
      <c r="H33" s="523" t="s">
        <v>1600</v>
      </c>
      <c r="I33" s="542"/>
      <c r="J33" s="586">
        <f>IF(VLOOKUP($A$2,'NHG''s optical glass 202608'!$C$5:$KJ$276,212,FALSE)="","",VLOOKUP($A$2,'NHG''s optical glass 202608'!$C$5:$KJ$276,212,FALSE))</f>
        <v>336</v>
      </c>
      <c r="K33" s="594"/>
      <c r="L33" s="554" t="s">
        <v>1601</v>
      </c>
      <c r="M33" s="585"/>
      <c r="N33" s="586">
        <f>IF(VLOOKUP($A$2,'NHG''s optical glass 202608'!$C$5:$KJ$276,202,FALSE)="","",VLOOKUP($A$2,'NHG''s optical glass 202608'!$C$5:$KJ$276,202,FALSE))</f>
        <v>142</v>
      </c>
      <c r="O33" s="519"/>
      <c r="P33" s="513">
        <v>370</v>
      </c>
      <c r="Q33" s="613">
        <f>IF(VLOOKUP($A$2,'NHG''s optical glass 202608'!$C$5:$KJ$276,249,FALSE)="","",VLOOKUP($A$2,'NHG''s optical glass 202608'!$C$5:$KJ$276,249,FALSE))</f>
        <v>0.167</v>
      </c>
      <c r="R33" s="614"/>
      <c r="S33" s="596">
        <f>IF(VLOOKUP($A$2,'NHG''s optical glass 202608'!$C$5:$KJ$276,285,FALSE)="","",VLOOKUP($A$2,'NHG''s optical glass 202608'!$C$5:$KJ$276,285,FALSE))</f>
        <v>0.028</v>
      </c>
      <c r="T33" s="615"/>
    </row>
    <row r="34" ht="16.5" customHeight="1" spans="1:20">
      <c r="A34" s="513" t="s">
        <v>1602</v>
      </c>
      <c r="B34" s="531">
        <f>IF(VLOOKUP($A$2,'NHG''s optical glass 202608'!$C$5:$KJ$276,30,FALSE)="","",VLOOKUP($A$2,'NHG''s optical glass 202608'!$C$5:$KJ$276,30,FALSE))</f>
        <v>0.00334008152</v>
      </c>
      <c r="C34" s="532"/>
      <c r="D34" s="532"/>
      <c r="E34" s="532"/>
      <c r="F34" s="533"/>
      <c r="G34" s="527"/>
      <c r="H34" s="506" t="s">
        <v>1603</v>
      </c>
      <c r="I34" s="506"/>
      <c r="J34" s="586">
        <f>IF(VLOOKUP($A$2,'NHG''s optical glass 202608'!$C$5:$KJ$276,213,FALSE)="","",VLOOKUP($A$2,'NHG''s optical glass 202608'!$C$5:$KJ$276,213,FALSE))</f>
        <v>136</v>
      </c>
      <c r="K34" s="519"/>
      <c r="L34" s="554" t="s">
        <v>1604</v>
      </c>
      <c r="M34" s="585"/>
      <c r="N34" s="586">
        <f>IF(VLOOKUP($A$2,'NHG''s optical glass 202608'!$C$5:$KJ$276,203,FALSE)="","",VLOOKUP($A$2,'NHG''s optical glass 202608'!$C$5:$KJ$276,203,FALSE))</f>
        <v>143</v>
      </c>
      <c r="O34" s="519"/>
      <c r="P34" s="513">
        <v>360</v>
      </c>
      <c r="Q34" s="613" t="str">
        <f>IF(VLOOKUP($A$2,'NHG''s optical glass 202608'!$C$5:$KJ$276,250,FALSE)="","",VLOOKUP($A$2,'NHG''s optical glass 202608'!$C$5:$KJ$276,250,FALSE))</f>
        <v/>
      </c>
      <c r="R34" s="614"/>
      <c r="S34" s="596" t="str">
        <f>IF(VLOOKUP($A$2,'NHG''s optical glass 202608'!$C$5:$KJ$276,286,FALSE)="","",VLOOKUP($A$2,'NHG''s optical glass 202608'!$C$5:$KJ$276,286,FALSE))</f>
        <v/>
      </c>
      <c r="T34" s="615" t="s">
        <v>1574</v>
      </c>
    </row>
    <row r="35" ht="16.5" customHeight="1" spans="1:20">
      <c r="A35" s="513" t="s">
        <v>1605</v>
      </c>
      <c r="B35" s="531">
        <f>IF(VLOOKUP($A$2,'NHG''s optical glass 202608'!$C$5:$KJ$276,31,FALSE)="","",VLOOKUP($A$2,'NHG''s optical glass 202608'!$C$5:$KJ$276,31,FALSE))</f>
        <v>-0.000350698887</v>
      </c>
      <c r="C35" s="532"/>
      <c r="D35" s="532"/>
      <c r="E35" s="532"/>
      <c r="F35" s="533"/>
      <c r="G35" s="535"/>
      <c r="H35" s="506" t="s">
        <v>1606</v>
      </c>
      <c r="I35" s="506"/>
      <c r="J35" s="543">
        <f>IF(VLOOKUP($A$2,'NHG''s optical glass 202608'!$C$5:$KJ$276,214,FALSE)="","",VLOOKUP($A$2,'NHG''s optical glass 202608'!$C$5:$KJ$276,214,FALSE))</f>
        <v>63.8</v>
      </c>
      <c r="K35" s="593"/>
      <c r="L35" s="554" t="s">
        <v>1607</v>
      </c>
      <c r="M35" s="585"/>
      <c r="N35" s="586">
        <f>IF(VLOOKUP($A$2,'NHG''s optical glass 202608'!$C$5:$KJ$276,204,FALSE)="","",VLOOKUP($A$2,'NHG''s optical glass 202608'!$C$5:$KJ$276,204,FALSE))</f>
        <v>146</v>
      </c>
      <c r="O35" s="519"/>
      <c r="P35" s="513">
        <v>350</v>
      </c>
      <c r="Q35" s="613" t="str">
        <f>IF(VLOOKUP($A$2,'NHG''s optical glass 202608'!$C$5:$KJ$276,251,FALSE)="","",VLOOKUP($A$2,'NHG''s optical glass 202608'!$C$5:$KJ$276,251,FALSE))</f>
        <v/>
      </c>
      <c r="R35" s="614"/>
      <c r="S35" s="596" t="str">
        <f>IF(VLOOKUP($A$2,'NHG''s optical glass 202608'!$C$5:$KJ$276,287,FALSE)="","",VLOOKUP($A$2,'NHG''s optical glass 202608'!$C$5:$KJ$276,287,FALSE))</f>
        <v/>
      </c>
      <c r="T35" s="615"/>
    </row>
    <row r="36" ht="16.5" customHeight="1" spans="1:20">
      <c r="A36" s="513" t="s">
        <v>1608</v>
      </c>
      <c r="B36" s="531">
        <f>IF(VLOOKUP($A$2,'NHG''s optical glass 202608'!$C$5:$KJ$276,32,FALSE)="","",VLOOKUP($A$2,'NHG''s optical glass 202608'!$C$5:$KJ$276,32,FALSE))</f>
        <v>3.6274412e-5</v>
      </c>
      <c r="C36" s="532"/>
      <c r="D36" s="532"/>
      <c r="E36" s="532"/>
      <c r="F36" s="533"/>
      <c r="G36" s="525"/>
      <c r="H36" s="506" t="s">
        <v>1609</v>
      </c>
      <c r="I36" s="506"/>
      <c r="J36" s="543">
        <f>IF(VLOOKUP($A$2,'NHG''s optical glass 202608'!$C$5:$KJ$276,215,FALSE)="","",VLOOKUP($A$2,'NHG''s optical glass 202608'!$C$5:$KJ$276,215,FALSE))</f>
        <v>25</v>
      </c>
      <c r="K36" s="595"/>
      <c r="L36" s="554" t="s">
        <v>1610</v>
      </c>
      <c r="M36" s="585"/>
      <c r="N36" s="586">
        <f>IF(VLOOKUP($A$2,'NHG''s optical glass 202608'!$C$5:$KJ$276,205,FALSE)="","",VLOOKUP($A$2,'NHG''s optical glass 202608'!$C$5:$KJ$276,205,FALSE))</f>
        <v>149</v>
      </c>
      <c r="O36" s="519"/>
      <c r="P36" s="513">
        <v>340</v>
      </c>
      <c r="Q36" s="613" t="str">
        <f>IF(VLOOKUP($A$2,'NHG''s optical glass 202608'!$C$5:$KJ$276,252,FALSE)="","",VLOOKUP($A$2,'NHG''s optical glass 202608'!$C$5:$KJ$276,252,FALSE))</f>
        <v/>
      </c>
      <c r="R36" s="614"/>
      <c r="S36" s="596" t="str">
        <f>IF(VLOOKUP($A$2,'NHG''s optical glass 202608'!$C$5:$KJ$276,288,FALSE)="","",VLOOKUP($A$2,'NHG''s optical glass 202608'!$C$5:$KJ$276,288,FALSE))</f>
        <v/>
      </c>
      <c r="T36" s="615"/>
    </row>
    <row r="37" ht="16.5" customHeight="1" spans="1:20">
      <c r="A37" s="536"/>
      <c r="B37" s="536"/>
      <c r="C37" s="536"/>
      <c r="D37" s="536"/>
      <c r="E37" s="537"/>
      <c r="F37" s="536"/>
      <c r="G37" s="519"/>
      <c r="H37" s="506" t="s">
        <v>231</v>
      </c>
      <c r="I37" s="506"/>
      <c r="J37" s="596">
        <f>IF(VLOOKUP($A$2,'NHG''s optical glass 202608'!$C$5:$KJ$276,216,FALSE)="","",VLOOKUP($A$2,'NHG''s optical glass 202608'!$C$5:$KJ$276,216,FALSE))</f>
        <v>0.278</v>
      </c>
      <c r="K37" s="595"/>
      <c r="L37" s="554" t="s">
        <v>1611</v>
      </c>
      <c r="M37" s="585"/>
      <c r="N37" s="586">
        <f>IF(VLOOKUP($A$2,'NHG''s optical glass 202608'!$C$5:$KJ$276,206,FALSE)="","",VLOOKUP($A$2,'NHG''s optical glass 202608'!$C$5:$KJ$276,206,FALSE))</f>
        <v>150</v>
      </c>
      <c r="O37" s="519"/>
      <c r="P37" s="513">
        <v>330</v>
      </c>
      <c r="Q37" s="613" t="str">
        <f>IF(VLOOKUP($A$2,'NHG''s optical glass 202608'!$C$5:$KJ$276,253,FALSE)="","",VLOOKUP($A$2,'NHG''s optical glass 202608'!$C$5:$KJ$276,253,FALSE))</f>
        <v/>
      </c>
      <c r="R37" s="614"/>
      <c r="S37" s="596" t="str">
        <f>IF(VLOOKUP($A$2,'NHG''s optical glass 202608'!$C$5:$KJ$276,289,FALSE)="","",VLOOKUP($A$2,'NHG''s optical glass 202608'!$C$5:$KJ$276,289,FALSE))</f>
        <v/>
      </c>
      <c r="T37" s="615"/>
    </row>
    <row r="38" ht="16.5" customHeight="1" spans="1:20">
      <c r="A38" s="502" t="s">
        <v>18</v>
      </c>
      <c r="B38" s="502"/>
      <c r="C38" s="538"/>
      <c r="D38" s="522" t="s">
        <v>21</v>
      </c>
      <c r="E38" s="528"/>
      <c r="F38" s="529"/>
      <c r="G38" s="539"/>
      <c r="H38" s="523" t="s">
        <v>1612</v>
      </c>
      <c r="I38" s="542"/>
      <c r="J38" s="586">
        <f>IF(VLOOKUP($A$2,'NHG''s optical glass 202608'!$C$5:$KJ$276,217,FALSE)="","",VLOOKUP($A$2,'NHG''s optical glass 202608'!$C$5:$KJ$276,217,FALSE))</f>
        <v>43</v>
      </c>
      <c r="K38" s="597"/>
      <c r="L38" s="554" t="s">
        <v>1613</v>
      </c>
      <c r="M38" s="585"/>
      <c r="N38" s="586">
        <f>IF(VLOOKUP($A$2,'NHG''s optical glass 202608'!$C$5:$KJ$276,207,FALSE)="","",VLOOKUP($A$2,'NHG''s optical glass 202608'!$C$5:$KJ$276,207,FALSE))</f>
        <v>148</v>
      </c>
      <c r="O38" s="519"/>
      <c r="P38" s="513">
        <v>320</v>
      </c>
      <c r="Q38" s="613" t="str">
        <f>IF(VLOOKUP($A$2,'NHG''s optical glass 202608'!$C$5:$KJ$276,254,FALSE)="","",VLOOKUP($A$2,'NHG''s optical glass 202608'!$C$5:$KJ$276,254,FALSE))</f>
        <v/>
      </c>
      <c r="R38" s="614"/>
      <c r="S38" s="596" t="str">
        <f>IF(VLOOKUP($A$2,'NHG''s optical glass 202608'!$C$5:$KJ$276,290,FALSE)="","",VLOOKUP($A$2,'NHG''s optical glass 202608'!$C$5:$KJ$276,290,FALSE))</f>
        <v/>
      </c>
      <c r="T38" s="615"/>
    </row>
    <row r="39" ht="16.5" customHeight="1" spans="1:20">
      <c r="A39" s="506" t="s">
        <v>1614</v>
      </c>
      <c r="B39" s="540">
        <f>IF(VLOOKUP($A$2,'NHG''s optical glass 202608'!$C$5:$KJ$276,219,FALSE)="","",VLOOKUP($A$2,'NHG''s optical glass 202608'!$C$5:$KJ$276,219,FALSE))</f>
        <v>2.88</v>
      </c>
      <c r="C39" s="541"/>
      <c r="D39" s="523" t="s">
        <v>1615</v>
      </c>
      <c r="E39" s="542"/>
      <c r="F39" s="543" t="str">
        <f>IF(VLOOKUP($A$2,'NHG''s optical glass 202608'!$C$5:$KJ$276,222,FALSE)="","",VLOOKUP($A$2,'NHG''s optical glass 202608'!$C$5:$KJ$276,222,FALSE))</f>
        <v/>
      </c>
      <c r="G39" s="519"/>
      <c r="H39" s="507" t="s">
        <v>1616</v>
      </c>
      <c r="I39" s="509"/>
      <c r="J39" s="598">
        <f>IF(VLOOKUP($A$2,'NHG''s optical glass 202608'!$C$5:$KJ$276,218,FALSE)="","",VLOOKUP($A$2,'NHG''s optical glass 202608'!$C$5:$KJ$276,218,FALSE))</f>
        <v>2.3</v>
      </c>
      <c r="K39" s="599"/>
      <c r="L39" s="554" t="s">
        <v>1617</v>
      </c>
      <c r="M39" s="585"/>
      <c r="N39" s="586">
        <f>IF(VLOOKUP($A$2,'NHG''s optical glass 202608'!$C$5:$KJ$276,208,FALSE)="","",VLOOKUP($A$2,'NHG''s optical glass 202608'!$C$5:$KJ$276,208,FALSE))</f>
        <v>152</v>
      </c>
      <c r="O39" s="519"/>
      <c r="P39" s="513">
        <v>310</v>
      </c>
      <c r="Q39" s="613" t="str">
        <f>IF(VLOOKUP($A$2,'NHG''s optical glass 202608'!$C$5:$KJ$276,255,FALSE)="","",VLOOKUP($A$2,'NHG''s optical glass 202608'!$C$5:$KJ$276,255,FALSE))</f>
        <v/>
      </c>
      <c r="R39" s="614"/>
      <c r="S39" s="596" t="str">
        <f>IF(VLOOKUP($A$2,'NHG''s optical glass 202608'!$C$5:$KJ$276,291,FALSE)="","",VLOOKUP($A$2,'NHG''s optical glass 202608'!$C$5:$KJ$276,291,FALSE))</f>
        <v/>
      </c>
      <c r="T39" s="615"/>
    </row>
    <row r="40" ht="16.5" customHeight="1" spans="1:20">
      <c r="A40" s="519"/>
      <c r="B40" s="519"/>
      <c r="C40" s="519"/>
      <c r="D40" s="519"/>
      <c r="E40" s="526"/>
      <c r="F40" s="519"/>
      <c r="G40" s="519"/>
      <c r="H40" s="519"/>
      <c r="I40" s="519"/>
      <c r="J40" s="519"/>
      <c r="K40" s="519"/>
      <c r="L40" s="526"/>
      <c r="M40" s="510"/>
      <c r="N40" s="599"/>
      <c r="O40" s="519"/>
      <c r="P40" s="513">
        <v>300</v>
      </c>
      <c r="Q40" s="613" t="str">
        <f>IF(VLOOKUP($A$2,'NHG''s optical glass 202608'!$C$5:$KJ$276,256,FALSE)="","",VLOOKUP($A$2,'NHG''s optical glass 202608'!$C$5:$KJ$276,256,FALSE))</f>
        <v/>
      </c>
      <c r="R40" s="614"/>
      <c r="S40" s="596" t="str">
        <f>IF(VLOOKUP($A$2,'NHG''s optical glass 202608'!$C$5:$KJ$276,292,FALSE)="","",VLOOKUP($A$2,'NHG''s optical glass 202608'!$C$5:$KJ$276,292,FALSE))</f>
        <v/>
      </c>
      <c r="T40" s="615"/>
    </row>
    <row r="41" ht="16.5" customHeight="1" spans="1:20">
      <c r="A41" s="544" t="s">
        <v>1618</v>
      </c>
      <c r="B41" s="545" t="s">
        <v>1619</v>
      </c>
      <c r="C41" s="546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600"/>
      <c r="O41" s="519"/>
      <c r="P41" s="513">
        <v>290</v>
      </c>
      <c r="Q41" s="613" t="str">
        <f>IF(VLOOKUP($A$2,'NHG''s optical glass 202608'!$C$5:$KJ$276,257,FALSE)="","",VLOOKUP($A$2,'NHG''s optical glass 202608'!$C$5:$KJ$276,257,FALSE))</f>
        <v/>
      </c>
      <c r="R41" s="614"/>
      <c r="S41" s="596" t="str">
        <f>IF(VLOOKUP($A$2,'NHG''s optical glass 202608'!$C$5:$KJ$276,293,FALSE)="","",VLOOKUP($A$2,'NHG''s optical glass 202608'!$C$5:$KJ$276,293,FALSE))</f>
        <v/>
      </c>
      <c r="T41" s="615"/>
    </row>
    <row r="42" ht="16.5" customHeight="1" spans="1:20">
      <c r="A42" s="548"/>
      <c r="B42" s="549" t="s">
        <v>1620</v>
      </c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19"/>
      <c r="P42" s="513">
        <v>280</v>
      </c>
      <c r="Q42" s="613" t="str">
        <f>IF(VLOOKUP($A$2,'NHG''s optical glass 202608'!$C$5:$KJ$276,258,FALSE)="","",VLOOKUP($A$2,'NHG''s optical glass 202608'!$C$5:$KJ$276,258,FALSE))</f>
        <v/>
      </c>
      <c r="R42" s="614"/>
      <c r="S42" s="596" t="str">
        <f>IF(VLOOKUP($A$2,'NHG''s optical glass 202608'!$C$5:$KJ$276,294,FALSE)="","",VLOOKUP($A$2,'NHG''s optical glass 202608'!$C$5:$KJ$276,294,FALSE))</f>
        <v/>
      </c>
      <c r="T42" s="615"/>
    </row>
    <row r="43" ht="16.5" customHeight="1" spans="1:20">
      <c r="A43" s="544"/>
      <c r="B43" s="506" t="s">
        <v>1621</v>
      </c>
      <c r="C43" s="523" t="s">
        <v>1622</v>
      </c>
      <c r="D43" s="542"/>
      <c r="E43" s="506" t="s">
        <v>617</v>
      </c>
      <c r="F43" s="506" t="s">
        <v>1623</v>
      </c>
      <c r="G43" s="523" t="s">
        <v>1624</v>
      </c>
      <c r="H43" s="542"/>
      <c r="I43" s="506" t="s">
        <v>1625</v>
      </c>
      <c r="J43" s="506" t="s">
        <v>1626</v>
      </c>
      <c r="K43" s="523" t="s">
        <v>1627</v>
      </c>
      <c r="L43" s="542"/>
      <c r="M43" s="506" t="s">
        <v>1628</v>
      </c>
      <c r="N43" s="506" t="s">
        <v>1629</v>
      </c>
      <c r="O43" s="519"/>
      <c r="T43" s="615"/>
    </row>
    <row r="44" ht="16.5" customHeight="1" spans="1:19">
      <c r="A44" s="550" t="s">
        <v>1630</v>
      </c>
      <c r="B44" s="551">
        <f>IF(VLOOKUP($A$2,'NHG''s optical glass 202608'!$C$5:$KJ$276,43,FALSE)="","",VLOOKUP($A$2,'NHG''s optical glass 202608'!$C$5:$KJ$276,43,FALSE))</f>
        <v>-6.4</v>
      </c>
      <c r="C44" s="552">
        <f>IF(VLOOKUP($A$2,'NHG''s optical glass 202608'!$C$5:$KJ$276,54,FALSE)="","",VLOOKUP($A$2,'NHG''s optical glass 202608'!$C$5:$KJ$276,54,FALSE))</f>
        <v>-6.1</v>
      </c>
      <c r="D44" s="553"/>
      <c r="E44" s="551">
        <f>IF(VLOOKUP($A$2,'NHG''s optical glass 202608'!$C$5:$KJ$276,65,FALSE)="","",VLOOKUP($A$2,'NHG''s optical glass 202608'!$C$5:$KJ$276,65,FALSE))</f>
        <v>-5.4</v>
      </c>
      <c r="F44" s="551">
        <f>IF(VLOOKUP($A$2,'NHG''s optical glass 202608'!$C$5:$KJ$276,76,FALSE)="","",VLOOKUP($A$2,'NHG''s optical glass 202608'!$C$5:$KJ$276,76,FALSE))</f>
        <v>-5.3</v>
      </c>
      <c r="G44" s="552">
        <f>IF(VLOOKUP($A$2,'NHG''s optical glass 202608'!$C$5:$KJ$276,87,FALSE)="","",VLOOKUP($A$2,'NHG''s optical glass 202608'!$C$5:$KJ$276,87,FALSE))</f>
        <v>-5.3</v>
      </c>
      <c r="H44" s="553"/>
      <c r="I44" s="543">
        <f>IF(VLOOKUP($A$2,'NHG''s optical glass 202608'!$C$5:$KJ$276,98,FALSE)="","",VLOOKUP($A$2,'NHG''s optical glass 202608'!$C$5:$KJ$276,98,FALSE))</f>
        <v>-5</v>
      </c>
      <c r="J44" s="543">
        <f>IF(VLOOKUP($A$2,'NHG''s optical glass 202608'!$C$5:$KJ$276,109,FALSE)="","",VLOOKUP($A$2,'NHG''s optical glass 202608'!$C$5:$KJ$276,109,FALSE))</f>
        <v>-4.6</v>
      </c>
      <c r="K44" s="601">
        <f>IF(VLOOKUP($A$2,'NHG''s optical glass 202608'!$C$5:$KJ$276,120,FALSE)="","",VLOOKUP($A$2,'NHG''s optical glass 202608'!$C$5:$KJ$276,120,FALSE))</f>
        <v>-3.9</v>
      </c>
      <c r="L44" s="602"/>
      <c r="M44" s="601">
        <f>IF(VLOOKUP($A$2,'NHG''s optical glass 202608'!$C$5:$KJ$276,131,FALSE)="","",VLOOKUP($A$2,'NHG''s optical glass 202608'!$C$5:$KJ$276,131,FALSE))</f>
        <v>-3.8</v>
      </c>
      <c r="N44" s="551">
        <f>IF(VLOOKUP($A$2,'NHG''s optical glass 202608'!$C$5:$KJ$276,142,FALSE)="","",VLOOKUP($A$2,'NHG''s optical glass 202608'!$C$5:$KJ$276,142,FALSE))</f>
        <v>-3</v>
      </c>
      <c r="O44" s="603"/>
      <c r="P44" s="522" t="s">
        <v>19</v>
      </c>
      <c r="Q44" s="528"/>
      <c r="R44" s="528"/>
      <c r="S44" s="529"/>
    </row>
    <row r="45" ht="16.5" customHeight="1" spans="1:19">
      <c r="A45" s="550" t="s">
        <v>1631</v>
      </c>
      <c r="B45" s="551">
        <f>IF(VLOOKUP($A$2,'NHG''s optical glass 202608'!$C$5:$KJ$276,44,FALSE)="","",VLOOKUP($A$2,'NHG''s optical glass 202608'!$C$5:$KJ$276,44,FALSE))</f>
        <v>-6.3</v>
      </c>
      <c r="C45" s="552">
        <f>IF(VLOOKUP($A$2,'NHG''s optical glass 202608'!$C$5:$KJ$276,55,FALSE)="","",VLOOKUP($A$2,'NHG''s optical glass 202608'!$C$5:$KJ$276,55,FALSE))</f>
        <v>-6</v>
      </c>
      <c r="D45" s="553"/>
      <c r="E45" s="551">
        <f>IF(VLOOKUP($A$2,'NHG''s optical glass 202608'!$C$5:$KJ$276,66,FALSE)="","",VLOOKUP($A$2,'NHG''s optical glass 202608'!$C$5:$KJ$276,66,FALSE))</f>
        <v>-5.3</v>
      </c>
      <c r="F45" s="551">
        <f>IF(VLOOKUP($A$2,'NHG''s optical glass 202608'!$C$5:$KJ$276,77,FALSE)="","",VLOOKUP($A$2,'NHG''s optical glass 202608'!$C$5:$KJ$276,77,FALSE))</f>
        <v>-5.2</v>
      </c>
      <c r="G45" s="552">
        <f>IF(VLOOKUP($A$2,'NHG''s optical glass 202608'!$C$5:$KJ$276,88,FALSE)="","",VLOOKUP($A$2,'NHG''s optical glass 202608'!$C$5:$KJ$276,88,FALSE))</f>
        <v>-5.2</v>
      </c>
      <c r="H45" s="553"/>
      <c r="I45" s="543">
        <f>IF(VLOOKUP($A$2,'NHG''s optical glass 202608'!$C$5:$KJ$276,99,FALSE)="","",VLOOKUP($A$2,'NHG''s optical glass 202608'!$C$5:$KJ$276,99,FALSE))</f>
        <v>-4.8</v>
      </c>
      <c r="J45" s="543">
        <f>IF(VLOOKUP($A$2,'NHG''s optical glass 202608'!$C$5:$KJ$276,110,FALSE)="","",VLOOKUP($A$2,'NHG''s optical glass 202608'!$C$5:$KJ$276,110,FALSE))</f>
        <v>-4.5</v>
      </c>
      <c r="K45" s="601">
        <f>IF(VLOOKUP($A$2,'NHG''s optical glass 202608'!$C$5:$KJ$276,121,FALSE)="","",VLOOKUP($A$2,'NHG''s optical glass 202608'!$C$5:$KJ$276,121,FALSE))</f>
        <v>-3.7</v>
      </c>
      <c r="L45" s="602"/>
      <c r="M45" s="601">
        <f>IF(VLOOKUP($A$2,'NHG''s optical glass 202608'!$C$5:$KJ$276,132,FALSE)="","",VLOOKUP($A$2,'NHG''s optical glass 202608'!$C$5:$KJ$276,132,FALSE))</f>
        <v>-3.7</v>
      </c>
      <c r="N45" s="551">
        <f>IF(VLOOKUP($A$2,'NHG''s optical glass 202608'!$C$5:$KJ$276,143,FALSE)="","",VLOOKUP($A$2,'NHG''s optical glass 202608'!$C$5:$KJ$276,143,FALSE))</f>
        <v>-2.9</v>
      </c>
      <c r="O45" s="603"/>
      <c r="P45" s="523" t="s">
        <v>1632</v>
      </c>
      <c r="Q45" s="542"/>
      <c r="R45" s="613" t="str">
        <f>IF(VLOOKUP($A$2,'NHG''s optical glass 202608'!$C$5:$KJ$276,220,FALSE)="","",VLOOKUP($A$2,'NHG''s optical glass 202608'!$C$5:$KJ$276,220,FALSE))</f>
        <v>425/375</v>
      </c>
      <c r="S45" s="614"/>
    </row>
    <row r="46" ht="16.5" customHeight="1" spans="1:19">
      <c r="A46" s="554" t="s">
        <v>1633</v>
      </c>
      <c r="B46" s="551">
        <f>IF(VLOOKUP($A$2,'NHG''s optical glass 202608'!$C$5:$KJ$276,45,FALSE)="","",VLOOKUP($A$2,'NHG''s optical glass 202608'!$C$5:$KJ$276,45,FALSE))</f>
        <v>-6.1</v>
      </c>
      <c r="C46" s="552">
        <f>IF(VLOOKUP($A$2,'NHG''s optical glass 202608'!$C$5:$KJ$276,56,FALSE)="","",VLOOKUP($A$2,'NHG''s optical glass 202608'!$C$5:$KJ$276,56,FALSE))</f>
        <v>-5.8</v>
      </c>
      <c r="D46" s="553"/>
      <c r="E46" s="551">
        <f>IF(VLOOKUP($A$2,'NHG''s optical glass 202608'!$C$5:$KJ$276,67,FALSE)="","",VLOOKUP($A$2,'NHG''s optical glass 202608'!$C$5:$KJ$276,67,FALSE))</f>
        <v>-5.1</v>
      </c>
      <c r="F46" s="551">
        <f>IF(VLOOKUP($A$2,'NHG''s optical glass 202608'!$C$5:$KJ$276,78,FALSE)="","",VLOOKUP($A$2,'NHG''s optical glass 202608'!$C$5:$KJ$276,78,FALSE))</f>
        <v>-5</v>
      </c>
      <c r="G46" s="552">
        <f>IF(VLOOKUP($A$2,'NHG''s optical glass 202608'!$C$5:$KJ$276,89,FALSE)="","",VLOOKUP($A$2,'NHG''s optical glass 202608'!$C$5:$KJ$276,89,FALSE))</f>
        <v>-4.9</v>
      </c>
      <c r="H46" s="553"/>
      <c r="I46" s="543">
        <f>IF(VLOOKUP($A$2,'NHG''s optical glass 202608'!$C$5:$KJ$276,100,FALSE)="","",VLOOKUP($A$2,'NHG''s optical glass 202608'!$C$5:$KJ$276,100,FALSE))</f>
        <v>-4.6</v>
      </c>
      <c r="J46" s="543">
        <f>IF(VLOOKUP($A$2,'NHG''s optical glass 202608'!$C$5:$KJ$276,111,FALSE)="","",VLOOKUP($A$2,'NHG''s optical glass 202608'!$C$5:$KJ$276,111,FALSE))</f>
        <v>-4.3</v>
      </c>
      <c r="K46" s="601">
        <f>IF(VLOOKUP($A$2,'NHG''s optical glass 202608'!$C$5:$KJ$276,122,FALSE)="","",VLOOKUP($A$2,'NHG''s optical glass 202608'!$C$5:$KJ$276,122,FALSE))</f>
        <v>-3.5</v>
      </c>
      <c r="L46" s="602"/>
      <c r="M46" s="601">
        <f>IF(VLOOKUP($A$2,'NHG''s optical glass 202608'!$C$5:$KJ$276,133,FALSE)="","",VLOOKUP($A$2,'NHG''s optical glass 202608'!$C$5:$KJ$276,133,FALSE))</f>
        <v>-3.4</v>
      </c>
      <c r="N46" s="551">
        <f>IF(VLOOKUP($A$2,'NHG''s optical glass 202608'!$C$5:$KJ$276,144,FALSE)="","",VLOOKUP($A$2,'NHG''s optical glass 202608'!$C$5:$KJ$276,144,FALSE))</f>
        <v>-2.7</v>
      </c>
      <c r="O46" s="603"/>
      <c r="P46" s="604" t="s">
        <v>20</v>
      </c>
      <c r="Q46" s="616"/>
      <c r="R46" s="616"/>
      <c r="S46" s="617"/>
    </row>
    <row r="47" ht="16.5" customHeight="1" spans="1:19">
      <c r="A47" s="523" t="s">
        <v>1634</v>
      </c>
      <c r="B47" s="551">
        <f>IF(VLOOKUP($A$2,'NHG''s optical glass 202608'!$C$5:$KJ$276,46,FALSE)="","",VLOOKUP($A$2,'NHG''s optical glass 202608'!$C$5:$KJ$276,46,FALSE))</f>
        <v>-5.9</v>
      </c>
      <c r="C47" s="552">
        <f>IF(VLOOKUP($A$2,'NHG''s optical glass 202608'!$C$5:$KJ$276,57,FALSE)="","",VLOOKUP($A$2,'NHG''s optical glass 202608'!$C$5:$KJ$276,57,FALSE))</f>
        <v>-5.6</v>
      </c>
      <c r="D47" s="553"/>
      <c r="E47" s="551">
        <f>IF(VLOOKUP($A$2,'NHG''s optical glass 202608'!$C$5:$KJ$276,68,FALSE)="","",VLOOKUP($A$2,'NHG''s optical glass 202608'!$C$5:$KJ$276,68,FALSE))</f>
        <v>-4.9</v>
      </c>
      <c r="F47" s="551">
        <f>IF(VLOOKUP($A$2,'NHG''s optical glass 202608'!$C$5:$KJ$276,79,FALSE)="","",VLOOKUP($A$2,'NHG''s optical glass 202608'!$C$5:$KJ$276,79,FALSE))</f>
        <v>-4.8</v>
      </c>
      <c r="G47" s="552">
        <f>IF(VLOOKUP($A$2,'NHG''s optical glass 202608'!$C$5:$KJ$276,90,FALSE)="","",VLOOKUP($A$2,'NHG''s optical glass 202608'!$C$5:$KJ$276,90,FALSE))</f>
        <v>-4.7</v>
      </c>
      <c r="H47" s="553"/>
      <c r="I47" s="543">
        <f>IF(VLOOKUP($A$2,'NHG''s optical glass 202608'!$C$5:$KJ$276,101,FALSE)="","",VLOOKUP($A$2,'NHG''s optical glass 202608'!$C$5:$KJ$276,101,FALSE))</f>
        <v>-4.4</v>
      </c>
      <c r="J47" s="543">
        <f>IF(VLOOKUP($A$2,'NHG''s optical glass 202608'!$C$5:$KJ$276,112,FALSE)="","",VLOOKUP($A$2,'NHG''s optical glass 202608'!$C$5:$KJ$276,112,FALSE))</f>
        <v>-4</v>
      </c>
      <c r="K47" s="601">
        <f>IF(VLOOKUP($A$2,'NHG''s optical glass 202608'!$C$5:$KJ$276,123,FALSE)="","",VLOOKUP($A$2,'NHG''s optical glass 202608'!$C$5:$KJ$276,123,FALSE))</f>
        <v>-3.3</v>
      </c>
      <c r="L47" s="602"/>
      <c r="M47" s="601">
        <f>IF(VLOOKUP($A$2,'NHG''s optical glass 202608'!$C$5:$KJ$276,134,FALSE)="","",VLOOKUP($A$2,'NHG''s optical glass 202608'!$C$5:$KJ$276,134,FALSE))</f>
        <v>-3.2</v>
      </c>
      <c r="N47" s="551">
        <f>IF(VLOOKUP($A$2,'NHG''s optical glass 202608'!$C$5:$KJ$276,145,FALSE)="","",VLOOKUP($A$2,'NHG''s optical glass 202608'!$C$5:$KJ$276,145,FALSE))</f>
        <v>-2.4</v>
      </c>
      <c r="O47" s="603"/>
      <c r="P47" s="605"/>
      <c r="Q47" s="618"/>
      <c r="R47" s="618"/>
      <c r="S47" s="619"/>
    </row>
    <row r="48" ht="16.5" customHeight="1" spans="1:19">
      <c r="A48" s="523" t="s">
        <v>1635</v>
      </c>
      <c r="B48" s="551">
        <f>IF(VLOOKUP($A$2,'NHG''s optical glass 202608'!$C$5:$KJ$276,47,FALSE)="","",VLOOKUP($A$2,'NHG''s optical glass 202608'!$C$5:$KJ$276,47,FALSE))</f>
        <v>-5.7</v>
      </c>
      <c r="C48" s="552">
        <f>IF(VLOOKUP($A$2,'NHG''s optical glass 202608'!$C$5:$KJ$276,58,FALSE)="","",VLOOKUP($A$2,'NHG''s optical glass 202608'!$C$5:$KJ$276,58,FALSE))</f>
        <v>-5.4</v>
      </c>
      <c r="D48" s="553"/>
      <c r="E48" s="551">
        <f>IF(VLOOKUP($A$2,'NHG''s optical glass 202608'!$C$5:$KJ$276,69,FALSE)="","",VLOOKUP($A$2,'NHG''s optical glass 202608'!$C$5:$KJ$276,69,FALSE))</f>
        <v>-4.6</v>
      </c>
      <c r="F48" s="551">
        <f>IF(VLOOKUP($A$2,'NHG''s optical glass 202608'!$C$5:$KJ$276,80,FALSE)="","",VLOOKUP($A$2,'NHG''s optical glass 202608'!$C$5:$KJ$276,80,FALSE))</f>
        <v>-4.5</v>
      </c>
      <c r="G48" s="552">
        <f>IF(VLOOKUP($A$2,'NHG''s optical glass 202608'!$C$5:$KJ$276,91,FALSE)="","",VLOOKUP($A$2,'NHG''s optical glass 202608'!$C$5:$KJ$276,91,FALSE))</f>
        <v>-4.5</v>
      </c>
      <c r="H48" s="553"/>
      <c r="I48" s="543">
        <f>IF(VLOOKUP($A$2,'NHG''s optical glass 202608'!$C$5:$KJ$276,102,FALSE)="","",VLOOKUP($A$2,'NHG''s optical glass 202608'!$C$5:$KJ$276,102,FALSE))</f>
        <v>-4.2</v>
      </c>
      <c r="J48" s="543">
        <f>IF(VLOOKUP($A$2,'NHG''s optical glass 202608'!$C$5:$KJ$276,113,FALSE)="","",VLOOKUP($A$2,'NHG''s optical glass 202608'!$C$5:$KJ$276,113,FALSE))</f>
        <v>-3.8</v>
      </c>
      <c r="K48" s="601">
        <f>IF(VLOOKUP($A$2,'NHG''s optical glass 202608'!$C$5:$KJ$276,124,FALSE)="","",VLOOKUP($A$2,'NHG''s optical glass 202608'!$C$5:$KJ$276,124,FALSE))</f>
        <v>-3</v>
      </c>
      <c r="L48" s="602"/>
      <c r="M48" s="601">
        <f>IF(VLOOKUP($A$2,'NHG''s optical glass 202608'!$C$5:$KJ$276,135,FALSE)="","",VLOOKUP($A$2,'NHG''s optical glass 202608'!$C$5:$KJ$276,135,FALSE))</f>
        <v>-2.9</v>
      </c>
      <c r="N48" s="551">
        <f>IF(VLOOKUP($A$2,'NHG''s optical glass 202608'!$C$5:$KJ$276,146,FALSE)="","",VLOOKUP($A$2,'NHG''s optical glass 202608'!$C$5:$KJ$276,146,FALSE))</f>
        <v>-2.1</v>
      </c>
      <c r="O48" s="603"/>
      <c r="P48" s="523" t="s">
        <v>1636</v>
      </c>
      <c r="Q48" s="542"/>
      <c r="R48" s="613" t="str">
        <f>IF(VLOOKUP($A$2,'NHG''s optical glass 202608'!$C$5:$KJ$276,221,FALSE)="","",VLOOKUP($A$2,'NHG''s optical glass 202608'!$C$5:$KJ$276,221,FALSE))</f>
        <v>400/372</v>
      </c>
      <c r="S48" s="614"/>
    </row>
    <row r="49" ht="16.5" customHeight="1" spans="1:19">
      <c r="A49" s="523" t="s">
        <v>1637</v>
      </c>
      <c r="B49" s="551">
        <f>IF(VLOOKUP($A$2,'NHG''s optical glass 202608'!$C$5:$KJ$276,48,FALSE)="","",VLOOKUP($A$2,'NHG''s optical glass 202608'!$C$5:$KJ$276,48,FALSE))</f>
        <v>-5.4</v>
      </c>
      <c r="C49" s="552">
        <f>IF(VLOOKUP($A$2,'NHG''s optical glass 202608'!$C$5:$KJ$276,59,FALSE)="","",VLOOKUP($A$2,'NHG''s optical glass 202608'!$C$5:$KJ$276,59,FALSE))</f>
        <v>-5.1</v>
      </c>
      <c r="D49" s="553"/>
      <c r="E49" s="551">
        <f>IF(VLOOKUP($A$2,'NHG''s optical glass 202608'!$C$5:$KJ$276,70,FALSE)="","",VLOOKUP($A$2,'NHG''s optical glass 202608'!$C$5:$KJ$276,70,FALSE))</f>
        <v>-4.4</v>
      </c>
      <c r="F49" s="551">
        <f>IF(VLOOKUP($A$2,'NHG''s optical glass 202608'!$C$5:$KJ$276,81,FALSE)="","",VLOOKUP($A$2,'NHG''s optical glass 202608'!$C$5:$KJ$276,81,FALSE))</f>
        <v>-4.3</v>
      </c>
      <c r="G49" s="552">
        <f>IF(VLOOKUP($A$2,'NHG''s optical glass 202608'!$C$5:$KJ$276,92,FALSE)="","",VLOOKUP($A$2,'NHG''s optical glass 202608'!$C$5:$KJ$276,92,FALSE))</f>
        <v>-4.2</v>
      </c>
      <c r="H49" s="553"/>
      <c r="I49" s="543">
        <f>IF(VLOOKUP($A$2,'NHG''s optical glass 202608'!$C$5:$KJ$276,103,FALSE)="","",VLOOKUP($A$2,'NHG''s optical glass 202608'!$C$5:$KJ$276,103,FALSE))</f>
        <v>-3.9</v>
      </c>
      <c r="J49" s="543">
        <f>IF(VLOOKUP($A$2,'NHG''s optical glass 202608'!$C$5:$KJ$276,114,FALSE)="","",VLOOKUP($A$2,'NHG''s optical glass 202608'!$C$5:$KJ$276,114,FALSE))</f>
        <v>-3.5</v>
      </c>
      <c r="K49" s="601">
        <f>IF(VLOOKUP($A$2,'NHG''s optical glass 202608'!$C$5:$KJ$276,125,FALSE)="","",VLOOKUP($A$2,'NHG''s optical glass 202608'!$C$5:$KJ$276,125,FALSE))</f>
        <v>-2.8</v>
      </c>
      <c r="L49" s="602"/>
      <c r="M49" s="601">
        <f>IF(VLOOKUP($A$2,'NHG''s optical glass 202608'!$C$5:$KJ$276,136,FALSE)="","",VLOOKUP($A$2,'NHG''s optical glass 202608'!$C$5:$KJ$276,136,FALSE))</f>
        <v>-2.7</v>
      </c>
      <c r="N49" s="551">
        <f>IF(VLOOKUP($A$2,'NHG''s optical glass 202608'!$C$5:$KJ$276,147,FALSE)="","",VLOOKUP($A$2,'NHG''s optical glass 202608'!$C$5:$KJ$276,147,FALSE))</f>
        <v>-1.8</v>
      </c>
      <c r="O49" s="603"/>
      <c r="P49" s="536"/>
      <c r="Q49" s="536"/>
      <c r="R49" s="536"/>
      <c r="S49" s="536"/>
    </row>
    <row r="50" ht="16.5" customHeight="1" spans="1:19">
      <c r="A50" s="555" t="s">
        <v>1638</v>
      </c>
      <c r="B50" s="551">
        <f>IF(VLOOKUP($A$2,'NHG''s optical glass 202608'!$C$5:$KJ$276,49,FALSE)="","",VLOOKUP($A$2,'NHG''s optical glass 202608'!$C$5:$KJ$276,49,FALSE))</f>
        <v>-5.2</v>
      </c>
      <c r="C50" s="552">
        <f>IF(VLOOKUP($A$2,'NHG''s optical glass 202608'!$C$5:$KJ$276,60,FALSE)="","",VLOOKUP($A$2,'NHG''s optical glass 202608'!$C$5:$KJ$276,60,FALSE))</f>
        <v>-4.9</v>
      </c>
      <c r="D50" s="553"/>
      <c r="E50" s="551">
        <f>IF(VLOOKUP($A$2,'NHG''s optical glass 202608'!$C$5:$KJ$276,71,FALSE)="","",VLOOKUP($A$2,'NHG''s optical glass 202608'!$C$5:$KJ$276,71,FALSE))</f>
        <v>-4.1</v>
      </c>
      <c r="F50" s="551">
        <f>IF(VLOOKUP($A$2,'NHG''s optical glass 202608'!$C$5:$KJ$276,82,FALSE)="","",VLOOKUP($A$2,'NHG''s optical glass 202608'!$C$5:$KJ$276,82,FALSE))</f>
        <v>-4</v>
      </c>
      <c r="G50" s="552">
        <f>IF(VLOOKUP($A$2,'NHG''s optical glass 202608'!$C$5:$KJ$276,93,FALSE)="","",VLOOKUP($A$2,'NHG''s optical glass 202608'!$C$5:$KJ$276,93,FALSE))</f>
        <v>-4</v>
      </c>
      <c r="H50" s="553"/>
      <c r="I50" s="543">
        <f>IF(VLOOKUP($A$2,'NHG''s optical glass 202608'!$C$5:$KJ$276,104,FALSE)="","",VLOOKUP($A$2,'NHG''s optical glass 202608'!$C$5:$KJ$276,104,FALSE))</f>
        <v>-3.6</v>
      </c>
      <c r="J50" s="543">
        <f>IF(VLOOKUP($A$2,'NHG''s optical glass 202608'!$C$5:$KJ$276,115,FALSE)="","",VLOOKUP($A$2,'NHG''s optical glass 202608'!$C$5:$KJ$276,115,FALSE))</f>
        <v>-3.2</v>
      </c>
      <c r="K50" s="601">
        <f>IF(VLOOKUP($A$2,'NHG''s optical glass 202608'!$C$5:$KJ$276,126,FALSE)="","",VLOOKUP($A$2,'NHG''s optical glass 202608'!$C$5:$KJ$276,126,FALSE))</f>
        <v>-2.5</v>
      </c>
      <c r="L50" s="602"/>
      <c r="M50" s="601">
        <f>IF(VLOOKUP($A$2,'NHG''s optical glass 202608'!$C$5:$KJ$276,137,FALSE)="","",VLOOKUP($A$2,'NHG''s optical glass 202608'!$C$5:$KJ$276,137,FALSE))</f>
        <v>-2.4</v>
      </c>
      <c r="N50" s="551">
        <f>IF(VLOOKUP($A$2,'NHG''s optical glass 202608'!$C$5:$KJ$276,148,FALSE)="","",VLOOKUP($A$2,'NHG''s optical glass 202608'!$C$5:$KJ$276,148,FALSE))</f>
        <v>-1.5</v>
      </c>
      <c r="O50" s="603"/>
      <c r="P50" s="522" t="s">
        <v>13</v>
      </c>
      <c r="Q50" s="528"/>
      <c r="R50" s="528"/>
      <c r="S50" s="529"/>
    </row>
    <row r="51" ht="16.5" customHeight="1" spans="1:19">
      <c r="A51" s="555" t="s">
        <v>1639</v>
      </c>
      <c r="B51" s="551">
        <f>IF(VLOOKUP($A$2,'NHG''s optical glass 202608'!$C$5:$KJ$276,50,FALSE)="","",VLOOKUP($A$2,'NHG''s optical glass 202608'!$C$5:$KJ$276,50,FALSE))</f>
        <v>-5</v>
      </c>
      <c r="C51" s="552">
        <f>IF(VLOOKUP($A$2,'NHG''s optical glass 202608'!$C$5:$KJ$276,61,FALSE)="","",VLOOKUP($A$2,'NHG''s optical glass 202608'!$C$5:$KJ$276,61,FALSE))</f>
        <v>-4.7</v>
      </c>
      <c r="D51" s="553"/>
      <c r="E51" s="551">
        <f>IF(VLOOKUP($A$2,'NHG''s optical glass 202608'!$C$5:$KJ$276,72,FALSE)="","",VLOOKUP($A$2,'NHG''s optical glass 202608'!$C$5:$KJ$276,72,FALSE))</f>
        <v>-3.9</v>
      </c>
      <c r="F51" s="551">
        <f>IF(VLOOKUP($A$2,'NHG''s optical glass 202608'!$C$5:$KJ$276,83,FALSE)="","",VLOOKUP($A$2,'NHG''s optical glass 202608'!$C$5:$KJ$276,83,FALSE))</f>
        <v>-3.8</v>
      </c>
      <c r="G51" s="552">
        <f>IF(VLOOKUP($A$2,'NHG''s optical glass 202608'!$C$5:$KJ$276,94,FALSE)="","",VLOOKUP($A$2,'NHG''s optical glass 202608'!$C$5:$KJ$276,94,FALSE))</f>
        <v>-3.7</v>
      </c>
      <c r="H51" s="553"/>
      <c r="I51" s="543">
        <f>IF(VLOOKUP($A$2,'NHG''s optical glass 202608'!$C$5:$KJ$276,105,FALSE)="","",VLOOKUP($A$2,'NHG''s optical glass 202608'!$C$5:$KJ$276,105,FALSE))</f>
        <v>-3.4</v>
      </c>
      <c r="J51" s="543">
        <f>IF(VLOOKUP($A$2,'NHG''s optical glass 202608'!$C$5:$KJ$276,116,FALSE)="","",VLOOKUP($A$2,'NHG''s optical glass 202608'!$C$5:$KJ$276,116,FALSE))</f>
        <v>-3</v>
      </c>
      <c r="K51" s="601">
        <f>IF(VLOOKUP($A$2,'NHG''s optical glass 202608'!$C$5:$KJ$276,127,FALSE)="","",VLOOKUP($A$2,'NHG''s optical glass 202608'!$C$5:$KJ$276,127,FALSE))</f>
        <v>-2.2</v>
      </c>
      <c r="L51" s="602"/>
      <c r="M51" s="601">
        <f>IF(VLOOKUP($A$2,'NHG''s optical glass 202608'!$C$5:$KJ$276,138,FALSE)="","",VLOOKUP($A$2,'NHG''s optical glass 202608'!$C$5:$KJ$276,138,FALSE))</f>
        <v>-2.1</v>
      </c>
      <c r="N51" s="551">
        <f>IF(VLOOKUP($A$2,'NHG''s optical glass 202608'!$C$5:$KJ$276,149,FALSE)="","",VLOOKUP($A$2,'NHG''s optical glass 202608'!$C$5:$KJ$276,149,FALSE))</f>
        <v>-1.3</v>
      </c>
      <c r="O51" s="603"/>
      <c r="P51" s="606" t="s">
        <v>1640</v>
      </c>
      <c r="Q51" s="620" t="s">
        <v>1641</v>
      </c>
      <c r="R51" s="621"/>
      <c r="S51" s="606" t="s">
        <v>1642</v>
      </c>
    </row>
    <row r="52" ht="16.5" customHeight="1" spans="1:19">
      <c r="A52" s="555" t="s">
        <v>1643</v>
      </c>
      <c r="B52" s="551">
        <f>IF(VLOOKUP($A$2,'NHG''s optical glass 202608'!$C$5:$KJ$276,51,FALSE)="","",VLOOKUP($A$2,'NHG''s optical glass 202608'!$C$5:$KJ$276,51,FALSE))</f>
        <v>-4.8</v>
      </c>
      <c r="C52" s="552">
        <f>IF(VLOOKUP($A$2,'NHG''s optical glass 202608'!$C$5:$KJ$276,62,FALSE)="","",VLOOKUP($A$2,'NHG''s optical glass 202608'!$C$5:$KJ$276,62,FALSE))</f>
        <v>-4.4</v>
      </c>
      <c r="D52" s="553"/>
      <c r="E52" s="551">
        <f>IF(VLOOKUP($A$2,'NHG''s optical glass 202608'!$C$5:$KJ$276,73,FALSE)="","",VLOOKUP($A$2,'NHG''s optical glass 202608'!$C$5:$KJ$276,73,FALSE))</f>
        <v>-3.6</v>
      </c>
      <c r="F52" s="551">
        <f>IF(VLOOKUP($A$2,'NHG''s optical glass 202608'!$C$5:$KJ$276,84,FALSE)="","",VLOOKUP($A$2,'NHG''s optical glass 202608'!$C$5:$KJ$276,84,FALSE))</f>
        <v>-3.6</v>
      </c>
      <c r="G52" s="552">
        <f>IF(VLOOKUP($A$2,'NHG''s optical glass 202608'!$C$5:$KJ$276,95,FALSE)="","",VLOOKUP($A$2,'NHG''s optical glass 202608'!$C$5:$KJ$276,95,FALSE))</f>
        <v>-3.5</v>
      </c>
      <c r="H52" s="553"/>
      <c r="I52" s="543">
        <f>IF(VLOOKUP($A$2,'NHG''s optical glass 202608'!$C$5:$KJ$276,106,FALSE)="","",VLOOKUP($A$2,'NHG''s optical glass 202608'!$C$5:$KJ$276,106,FALSE))</f>
        <v>-3.1</v>
      </c>
      <c r="J52" s="543">
        <f>IF(VLOOKUP($A$2,'NHG''s optical glass 202608'!$C$5:$KJ$276,117,FALSE)="","",VLOOKUP($A$2,'NHG''s optical glass 202608'!$C$5:$KJ$276,117,FALSE))</f>
        <v>-2.7</v>
      </c>
      <c r="K52" s="601">
        <f>IF(VLOOKUP($A$2,'NHG''s optical glass 202608'!$C$5:$KJ$276,128,FALSE)="","",VLOOKUP($A$2,'NHG''s optical glass 202608'!$C$5:$KJ$276,128,FALSE))</f>
        <v>-2</v>
      </c>
      <c r="L52" s="602"/>
      <c r="M52" s="601">
        <f>IF(VLOOKUP($A$2,'NHG''s optical glass 202608'!$C$5:$KJ$276,139,FALSE)="","",VLOOKUP($A$2,'NHG''s optical glass 202608'!$C$5:$KJ$276,139,FALSE))</f>
        <v>-1.9</v>
      </c>
      <c r="N52" s="551">
        <f>IF(VLOOKUP($A$2,'NHG''s optical glass 202608'!$C$5:$KJ$276,150,FALSE)="","",VLOOKUP($A$2,'NHG''s optical glass 202608'!$C$5:$KJ$276,150,FALSE))</f>
        <v>-1</v>
      </c>
      <c r="O52" s="603"/>
      <c r="P52" s="607">
        <f>IF(VLOOKUP($A$2,'NHG''s optical glass 202608'!$C$5:$KJ$276,164,FALSE)="","",VLOOKUP($A$2,'NHG''s optical glass 202608'!$C$5:$KJ$276,164,FALSE))</f>
        <v>-1.58e-5</v>
      </c>
      <c r="Q52" s="622">
        <f>IF(VLOOKUP($A$2,'NHG''s optical glass 202608'!$C$5:$KJ$276,165,FALSE)="","",VLOOKUP($A$2,'NHG''s optical glass 202608'!$C$5:$KJ$276,165,FALSE))</f>
        <v>2.11e-8</v>
      </c>
      <c r="R52" s="623"/>
      <c r="S52" s="607">
        <f>IF(VLOOKUP($A$2,'NHG''s optical glass 202608'!$C$5:$KJ$276,166,FALSE)="","",VLOOKUP($A$2,'NHG''s optical glass 202608'!$C$5:$KJ$276,166,FALSE))</f>
        <v>-2.52e-11</v>
      </c>
    </row>
    <row r="53" ht="16.5" customHeight="1" spans="1:19">
      <c r="A53" s="555" t="s">
        <v>1644</v>
      </c>
      <c r="B53" s="551">
        <f>IF(VLOOKUP($A$2,'NHG''s optical glass 202608'!$C$5:$KJ$276,52,FALSE)="","",VLOOKUP($A$2,'NHG''s optical glass 202608'!$C$5:$KJ$276,52,FALSE))</f>
        <v>-4.6</v>
      </c>
      <c r="C53" s="552">
        <f>IF(VLOOKUP($A$2,'NHG''s optical glass 202608'!$C$5:$KJ$276,63,FALSE)="","",VLOOKUP($A$2,'NHG''s optical glass 202608'!$C$5:$KJ$276,63,FALSE))</f>
        <v>-4.2</v>
      </c>
      <c r="D53" s="553"/>
      <c r="E53" s="551">
        <f>IF(VLOOKUP($A$2,'NHG''s optical glass 202608'!$C$5:$KJ$276,74,FALSE)="","",VLOOKUP($A$2,'NHG''s optical glass 202608'!$C$5:$KJ$276,74,FALSE))</f>
        <v>-3.4</v>
      </c>
      <c r="F53" s="551">
        <f>IF(VLOOKUP($A$2,'NHG''s optical glass 202608'!$C$5:$KJ$276,85,FALSE)="","",VLOOKUP($A$2,'NHG''s optical glass 202608'!$C$5:$KJ$276,85,FALSE))</f>
        <v>-3.4</v>
      </c>
      <c r="G53" s="552">
        <f>IF(VLOOKUP($A$2,'NHG''s optical glass 202608'!$C$5:$KJ$276,96,FALSE)="","",VLOOKUP($A$2,'NHG''s optical glass 202608'!$C$5:$KJ$276,96,FALSE))</f>
        <v>-3.3</v>
      </c>
      <c r="H53" s="553"/>
      <c r="I53" s="543">
        <f>IF(VLOOKUP($A$2,'NHG''s optical glass 202608'!$C$5:$KJ$276,107,FALSE)="","",VLOOKUP($A$2,'NHG''s optical glass 202608'!$C$5:$KJ$276,107,FALSE))</f>
        <v>-2.9</v>
      </c>
      <c r="J53" s="543">
        <f>IF(VLOOKUP($A$2,'NHG''s optical glass 202608'!$C$5:$KJ$276,118,FALSE)="","",VLOOKUP($A$2,'NHG''s optical glass 202608'!$C$5:$KJ$276,118,FALSE))</f>
        <v>-2.5</v>
      </c>
      <c r="K53" s="601">
        <f>IF(VLOOKUP($A$2,'NHG''s optical glass 202608'!$C$5:$KJ$276,129,FALSE)="","",VLOOKUP($A$2,'NHG''s optical glass 202608'!$C$5:$KJ$276,129,FALSE))</f>
        <v>-1.7</v>
      </c>
      <c r="L53" s="602"/>
      <c r="M53" s="601">
        <f>IF(VLOOKUP($A$2,'NHG''s optical glass 202608'!$C$5:$KJ$276,140,FALSE)="","",VLOOKUP($A$2,'NHG''s optical glass 202608'!$C$5:$KJ$276,140,FALSE))</f>
        <v>-1.6</v>
      </c>
      <c r="N53" s="551">
        <f>IF(VLOOKUP($A$2,'NHG''s optical glass 202608'!$C$5:$KJ$276,151,FALSE)="","",VLOOKUP($A$2,'NHG''s optical glass 202608'!$C$5:$KJ$276,151,FALSE))</f>
        <v>-0.8</v>
      </c>
      <c r="O53" s="603"/>
      <c r="P53" s="606" t="s">
        <v>1645</v>
      </c>
      <c r="Q53" s="620" t="s">
        <v>1646</v>
      </c>
      <c r="R53" s="621"/>
      <c r="S53" s="606" t="s">
        <v>1647</v>
      </c>
    </row>
    <row r="54" ht="16.5" customHeight="1" spans="1:19">
      <c r="A54" s="523" t="s">
        <v>1648</v>
      </c>
      <c r="B54" s="543">
        <f>IF(VLOOKUP($A$2,'NHG''s optical glass 202608'!$C$5:$KJ$276,53,FALSE)="","",VLOOKUP($A$2,'NHG''s optical glass 202608'!$C$5:$KJ$276,53,FALSE))</f>
        <v>-4.4</v>
      </c>
      <c r="C54" s="552">
        <f>IF(VLOOKUP($A$2,'NHG''s optical glass 202608'!$C$5:$KJ$276,64,FALSE)="","",VLOOKUP($A$2,'NHG''s optical glass 202608'!$C$5:$KJ$276,64,FALSE))</f>
        <v>-4.1</v>
      </c>
      <c r="D54" s="553"/>
      <c r="E54" s="543">
        <f>IF(VLOOKUP($A$2,'NHG''s optical glass 202608'!$C$5:$KJ$276,75,FALSE)="","",VLOOKUP($A$2,'NHG''s optical glass 202608'!$C$5:$KJ$276,75,FALSE))</f>
        <v>-3.2</v>
      </c>
      <c r="F54" s="551">
        <f>IF(VLOOKUP($A$2,'NHG''s optical glass 202608'!$C$5:$KJ$276,86,FALSE)="","",VLOOKUP($A$2,'NHG''s optical glass 202608'!$C$5:$KJ$276,86,FALSE))</f>
        <v>-3.2</v>
      </c>
      <c r="G54" s="552">
        <f>IF(VLOOKUP($A$2,'NHG''s optical glass 202608'!$C$5:$KJ$276,97,FALSE)="","",VLOOKUP($A$2,'NHG''s optical glass 202608'!$C$5:$KJ$276,97,FALSE))</f>
        <v>-3.1</v>
      </c>
      <c r="H54" s="553"/>
      <c r="I54" s="543">
        <f>IF(VLOOKUP($A$2,'NHG''s optical glass 202608'!$C$5:$KJ$276,108,FALSE)="","",VLOOKUP($A$2,'NHG''s optical glass 202608'!$C$5:$KJ$276,108,FALSE))</f>
        <v>-2.7</v>
      </c>
      <c r="J54" s="543">
        <f>IF(VLOOKUP($A$2,'NHG''s optical glass 202608'!$C$5:$KJ$276,119,FALSE)="","",VLOOKUP($A$2,'NHG''s optical glass 202608'!$C$5:$KJ$276,119,FALSE))</f>
        <v>-2.3</v>
      </c>
      <c r="K54" s="601">
        <f>IF(VLOOKUP($A$2,'NHG''s optical glass 202608'!$C$5:$KJ$276,130,FALSE)="","",VLOOKUP($A$2,'NHG''s optical glass 202608'!$C$5:$KJ$276,130,FALSE))</f>
        <v>-1.5</v>
      </c>
      <c r="L54" s="602"/>
      <c r="M54" s="551">
        <f>IF(VLOOKUP($A$2,'NHG''s optical glass 202608'!$C$5:$KJ$276,141,FALSE)="","",VLOOKUP($A$2,'NHG''s optical glass 202608'!$C$5:$KJ$276,141,FALSE))</f>
        <v>-1.4</v>
      </c>
      <c r="N54" s="551">
        <f>IF(VLOOKUP($A$2,'NHG''s optical glass 202608'!$C$5:$KJ$276,152,FALSE)="","",VLOOKUP($A$2,'NHG''s optical glass 202608'!$C$5:$KJ$276,152,FALSE))</f>
        <v>-0.6</v>
      </c>
      <c r="O54" s="603"/>
      <c r="P54" s="607">
        <f>IF(VLOOKUP($A$2,'NHG''s optical glass 202608'!$C$5:$KJ$276,167,FALSE)="","",VLOOKUP($A$2,'NHG''s optical glass 202608'!$C$5:$KJ$276,167,FALSE))</f>
        <v>1.68e-6</v>
      </c>
      <c r="Q54" s="622">
        <f>IF(VLOOKUP($A$2,'NHG''s optical glass 202608'!$C$5:$KJ$276,168,FALSE)="","",VLOOKUP($A$2,'NHG''s optical glass 202608'!$C$5:$KJ$276,168,FALSE))</f>
        <v>2.78e-10</v>
      </c>
      <c r="R54" s="623"/>
      <c r="S54" s="607">
        <f>IF(VLOOKUP($A$2,'NHG''s optical glass 202608'!$C$5:$KJ$276,169,FALSE)="","",VLOOKUP($A$2,'NHG''s optical glass 202608'!$C$5:$KJ$276,169,FALSE))</f>
        <v>1.13e-10</v>
      </c>
    </row>
    <row r="55" ht="20.4" spans="1:19">
      <c r="A55" s="495"/>
      <c r="B55" s="556"/>
      <c r="C55" s="556"/>
      <c r="D55" s="557"/>
      <c r="E55" s="556"/>
      <c r="F55" s="557"/>
      <c r="G55" s="556"/>
      <c r="H55" s="556"/>
      <c r="I55" s="556"/>
      <c r="J55" s="556"/>
      <c r="K55" s="557"/>
      <c r="L55" s="557"/>
      <c r="M55" s="557"/>
      <c r="N55" s="557"/>
      <c r="O55" s="557"/>
      <c r="P55" s="608"/>
      <c r="Q55" s="608"/>
      <c r="R55" s="608"/>
      <c r="S55" s="624"/>
    </row>
    <row r="57" ht="15.75" customHeight="1"/>
    <row r="58" hidden="1"/>
    <row r="59" hidden="1"/>
    <row r="60" hidden="1"/>
    <row r="61" ht="14.4" hidden="1" spans="13:16">
      <c r="M61" s="487"/>
      <c r="N61" s="609"/>
      <c r="O61" s="609"/>
      <c r="P61" s="609"/>
    </row>
    <row r="62" ht="14.4" hidden="1" spans="13:16">
      <c r="M62" s="487"/>
      <c r="N62" s="609"/>
      <c r="O62" s="609"/>
      <c r="P62" s="609"/>
    </row>
    <row r="63" ht="14.4" hidden="1" spans="13:16">
      <c r="M63" s="487"/>
      <c r="N63" s="609"/>
      <c r="O63" s="609"/>
      <c r="P63" s="609"/>
    </row>
    <row r="64" ht="14.4" hidden="1" spans="13:16">
      <c r="M64" s="487"/>
      <c r="N64" s="609"/>
      <c r="O64" s="609"/>
      <c r="P64" s="609"/>
    </row>
    <row r="65" ht="14.4" hidden="1" spans="13:16">
      <c r="M65" s="487"/>
      <c r="N65" s="609"/>
      <c r="O65" s="609"/>
      <c r="P65" s="609"/>
    </row>
    <row r="66" ht="14.4" hidden="1" spans="13:16">
      <c r="M66" s="487"/>
      <c r="N66" s="609"/>
      <c r="O66" s="609"/>
      <c r="P66" s="609"/>
    </row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</sheetData>
  <sheetProtection password="DB2D" sheet="1" formatCells="0" formatColumns="0" formatRows="0" insertRows="0" insertColumns="0" insertHyperlinks="0" deleteColumns="0" deleteRows="0" sort="0" autoFilter="0" pivotTables="0" objects="1"/>
  <protectedRanges>
    <protectedRange sqref="A2" name="区域1"/>
  </protectedRanges>
  <mergeCells count="220">
    <mergeCell ref="A1:D1"/>
    <mergeCell ref="J1:L1"/>
    <mergeCell ref="I2:J2"/>
    <mergeCell ref="K2:L2"/>
    <mergeCell ref="M2:O2"/>
    <mergeCell ref="P2:Q2"/>
    <mergeCell ref="R2:S2"/>
    <mergeCell ref="I3:J3"/>
    <mergeCell ref="K3:L3"/>
    <mergeCell ref="M3:O3"/>
    <mergeCell ref="P3:Q3"/>
    <mergeCell ref="R3:S3"/>
    <mergeCell ref="A5:F5"/>
    <mergeCell ref="P5:S5"/>
    <mergeCell ref="B6:D6"/>
    <mergeCell ref="E6:F6"/>
    <mergeCell ref="Q6:R6"/>
    <mergeCell ref="B7:D7"/>
    <mergeCell ref="E7:F7"/>
    <mergeCell ref="I7:J7"/>
    <mergeCell ref="L7:M7"/>
    <mergeCell ref="Q7:R7"/>
    <mergeCell ref="B8:D8"/>
    <mergeCell ref="E8:F8"/>
    <mergeCell ref="I8:J8"/>
    <mergeCell ref="L8:M8"/>
    <mergeCell ref="Q8:R8"/>
    <mergeCell ref="B9:D9"/>
    <mergeCell ref="E9:F9"/>
    <mergeCell ref="I9:J9"/>
    <mergeCell ref="L9:M9"/>
    <mergeCell ref="Q9:R9"/>
    <mergeCell ref="B10:D10"/>
    <mergeCell ref="E10:F10"/>
    <mergeCell ref="I10:J10"/>
    <mergeCell ref="L10:M10"/>
    <mergeCell ref="Q10:R10"/>
    <mergeCell ref="B11:D11"/>
    <mergeCell ref="E11:F11"/>
    <mergeCell ref="I11:J11"/>
    <mergeCell ref="L11:M11"/>
    <mergeCell ref="Q11:R11"/>
    <mergeCell ref="B12:D12"/>
    <mergeCell ref="E12:F12"/>
    <mergeCell ref="I12:J12"/>
    <mergeCell ref="L12:M12"/>
    <mergeCell ref="Q12:R12"/>
    <mergeCell ref="B13:D13"/>
    <mergeCell ref="E13:F13"/>
    <mergeCell ref="I13:J13"/>
    <mergeCell ref="L13:M13"/>
    <mergeCell ref="Q13:R13"/>
    <mergeCell ref="B14:D14"/>
    <mergeCell ref="E14:F14"/>
    <mergeCell ref="Q14:R14"/>
    <mergeCell ref="B15:D15"/>
    <mergeCell ref="E15:F15"/>
    <mergeCell ref="Q15:R15"/>
    <mergeCell ref="B16:D16"/>
    <mergeCell ref="E16:F16"/>
    <mergeCell ref="Q16:R16"/>
    <mergeCell ref="B17:D17"/>
    <mergeCell ref="E17:F17"/>
    <mergeCell ref="I17:J17"/>
    <mergeCell ref="Q17:R17"/>
    <mergeCell ref="B18:D18"/>
    <mergeCell ref="E18:F18"/>
    <mergeCell ref="I18:J18"/>
    <mergeCell ref="L18:M18"/>
    <mergeCell ref="Q18:R18"/>
    <mergeCell ref="B19:D19"/>
    <mergeCell ref="E19:F19"/>
    <mergeCell ref="I19:J19"/>
    <mergeCell ref="L19:M19"/>
    <mergeCell ref="Q19:R19"/>
    <mergeCell ref="B20:D20"/>
    <mergeCell ref="E20:F20"/>
    <mergeCell ref="I20:J20"/>
    <mergeCell ref="L20:M20"/>
    <mergeCell ref="Q20:R20"/>
    <mergeCell ref="B21:D21"/>
    <mergeCell ref="E21:F21"/>
    <mergeCell ref="L21:M21"/>
    <mergeCell ref="Q21:R21"/>
    <mergeCell ref="B22:D22"/>
    <mergeCell ref="E22:F22"/>
    <mergeCell ref="H22:J22"/>
    <mergeCell ref="L22:M22"/>
    <mergeCell ref="Q22:R22"/>
    <mergeCell ref="B23:D23"/>
    <mergeCell ref="E23:F23"/>
    <mergeCell ref="H23:I23"/>
    <mergeCell ref="L23:M23"/>
    <mergeCell ref="Q23:R23"/>
    <mergeCell ref="B24:D24"/>
    <mergeCell ref="E24:F24"/>
    <mergeCell ref="H24:I24"/>
    <mergeCell ref="L24:M24"/>
    <mergeCell ref="Q24:R24"/>
    <mergeCell ref="B25:D25"/>
    <mergeCell ref="E25:F25"/>
    <mergeCell ref="H25:I25"/>
    <mergeCell ref="L25:M25"/>
    <mergeCell ref="Q25:R25"/>
    <mergeCell ref="B26:D26"/>
    <mergeCell ref="E26:F26"/>
    <mergeCell ref="H26:I26"/>
    <mergeCell ref="L26:M26"/>
    <mergeCell ref="Q26:R26"/>
    <mergeCell ref="B27:D27"/>
    <mergeCell ref="E27:F27"/>
    <mergeCell ref="H27:I27"/>
    <mergeCell ref="L27:M27"/>
    <mergeCell ref="Q27:R27"/>
    <mergeCell ref="B28:D28"/>
    <mergeCell ref="E28:F28"/>
    <mergeCell ref="H28:I28"/>
    <mergeCell ref="L28:M28"/>
    <mergeCell ref="Q28:R28"/>
    <mergeCell ref="H29:I29"/>
    <mergeCell ref="L29:M29"/>
    <mergeCell ref="Q29:R29"/>
    <mergeCell ref="A30:F30"/>
    <mergeCell ref="H30:I30"/>
    <mergeCell ref="L30:M30"/>
    <mergeCell ref="Q30:R30"/>
    <mergeCell ref="B31:F31"/>
    <mergeCell ref="L31:M31"/>
    <mergeCell ref="Q31:R31"/>
    <mergeCell ref="B32:F32"/>
    <mergeCell ref="H32:J32"/>
    <mergeCell ref="L32:M32"/>
    <mergeCell ref="Q32:R32"/>
    <mergeCell ref="B33:F33"/>
    <mergeCell ref="H33:I33"/>
    <mergeCell ref="L33:M33"/>
    <mergeCell ref="Q33:R33"/>
    <mergeCell ref="B34:F34"/>
    <mergeCell ref="H34:I34"/>
    <mergeCell ref="L34:M34"/>
    <mergeCell ref="Q34:R34"/>
    <mergeCell ref="B35:F35"/>
    <mergeCell ref="H35:I35"/>
    <mergeCell ref="L35:M35"/>
    <mergeCell ref="Q35:R35"/>
    <mergeCell ref="B36:F36"/>
    <mergeCell ref="H36:I36"/>
    <mergeCell ref="L36:M36"/>
    <mergeCell ref="Q36:R36"/>
    <mergeCell ref="H37:I37"/>
    <mergeCell ref="L37:M37"/>
    <mergeCell ref="Q37:R37"/>
    <mergeCell ref="A38:B38"/>
    <mergeCell ref="D38:F38"/>
    <mergeCell ref="H38:I38"/>
    <mergeCell ref="L38:M38"/>
    <mergeCell ref="Q38:R38"/>
    <mergeCell ref="D39:E39"/>
    <mergeCell ref="H39:I39"/>
    <mergeCell ref="L39:M39"/>
    <mergeCell ref="Q39:R39"/>
    <mergeCell ref="Q40:R40"/>
    <mergeCell ref="B41:N41"/>
    <mergeCell ref="Q41:R41"/>
    <mergeCell ref="B42:N42"/>
    <mergeCell ref="Q42:R42"/>
    <mergeCell ref="C43:D43"/>
    <mergeCell ref="G43:H43"/>
    <mergeCell ref="K43:L43"/>
    <mergeCell ref="C44:D44"/>
    <mergeCell ref="G44:H44"/>
    <mergeCell ref="K44:L44"/>
    <mergeCell ref="P44:S44"/>
    <mergeCell ref="C45:D45"/>
    <mergeCell ref="G45:H45"/>
    <mergeCell ref="K45:L45"/>
    <mergeCell ref="P45:Q45"/>
    <mergeCell ref="R45:S45"/>
    <mergeCell ref="C46:D46"/>
    <mergeCell ref="G46:H46"/>
    <mergeCell ref="K46:L46"/>
    <mergeCell ref="C47:D47"/>
    <mergeCell ref="G47:H47"/>
    <mergeCell ref="K47:L47"/>
    <mergeCell ref="C48:D48"/>
    <mergeCell ref="G48:H48"/>
    <mergeCell ref="K48:L48"/>
    <mergeCell ref="P48:Q48"/>
    <mergeCell ref="R48:S48"/>
    <mergeCell ref="C49:D49"/>
    <mergeCell ref="G49:H49"/>
    <mergeCell ref="K49:L49"/>
    <mergeCell ref="C50:D50"/>
    <mergeCell ref="G50:H50"/>
    <mergeCell ref="K50:L50"/>
    <mergeCell ref="P50:S50"/>
    <mergeCell ref="C51:D51"/>
    <mergeCell ref="G51:H51"/>
    <mergeCell ref="K51:L51"/>
    <mergeCell ref="Q51:R51"/>
    <mergeCell ref="C52:D52"/>
    <mergeCell ref="G52:H52"/>
    <mergeCell ref="K52:L52"/>
    <mergeCell ref="Q52:R52"/>
    <mergeCell ref="C53:D53"/>
    <mergeCell ref="G53:H53"/>
    <mergeCell ref="K53:L53"/>
    <mergeCell ref="Q53:R53"/>
    <mergeCell ref="C54:D54"/>
    <mergeCell ref="G54:H54"/>
    <mergeCell ref="K54:L54"/>
    <mergeCell ref="Q54:R54"/>
    <mergeCell ref="A41:A43"/>
    <mergeCell ref="A2:D3"/>
    <mergeCell ref="E2:F3"/>
    <mergeCell ref="H5:J6"/>
    <mergeCell ref="L5:N6"/>
    <mergeCell ref="H15:J16"/>
    <mergeCell ref="L15:N17"/>
    <mergeCell ref="P46:S47"/>
  </mergeCells>
  <printOptions horizontalCentered="1" verticalCentered="1"/>
  <pageMargins left="0.236220472440945" right="0.236220472440945" top="0.15748031496063" bottom="0.15748031496063" header="0.31496062992126" footer="0.31496062992126"/>
  <pageSetup paperSize="9" scale="92" orientation="portrait" horizontalDpi="1200" verticalDpi="1200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W21"/>
  <sheetViews>
    <sheetView zoomScale="130" zoomScaleNormal="130" workbookViewId="0">
      <selection activeCell="AI22" sqref="AI22"/>
    </sheetView>
  </sheetViews>
  <sheetFormatPr defaultColWidth="9" defaultRowHeight="9.6"/>
  <cols>
    <col min="1" max="1" width="2.37962962962963" style="7" customWidth="1"/>
    <col min="2" max="2" width="10.8796296296296" style="7" customWidth="1"/>
    <col min="3" max="3" width="4.62962962962963" style="7" customWidth="1"/>
    <col min="4" max="4" width="1.75" style="7" customWidth="1"/>
    <col min="5" max="5" width="2" style="7" customWidth="1"/>
    <col min="6" max="6" width="1.12962962962963" style="7" customWidth="1"/>
    <col min="7" max="7" width="2.87962962962963" style="7" customWidth="1"/>
    <col min="8" max="8" width="0.62962962962963" style="7" customWidth="1"/>
    <col min="9" max="9" width="1.25" style="7" customWidth="1"/>
    <col min="10" max="10" width="0.37962962962963" style="7" customWidth="1"/>
    <col min="11" max="11" width="1.5" style="7" customWidth="1"/>
    <col min="12" max="12" width="0.25" style="7" customWidth="1"/>
    <col min="13" max="13" width="2" style="7" customWidth="1"/>
    <col min="14" max="14" width="1.12962962962963" style="7" customWidth="1"/>
    <col min="15" max="15" width="0.87962962962963" style="7" customWidth="1"/>
    <col min="16" max="16" width="1.87962962962963" style="7" customWidth="1"/>
    <col min="17" max="17" width="0.62962962962963" style="7" customWidth="1"/>
    <col min="18" max="18" width="1.37962962962963" style="7" customWidth="1"/>
    <col min="19" max="19" width="2.25" style="7" customWidth="1"/>
    <col min="20" max="20" width="1.62962962962963" style="7" customWidth="1"/>
    <col min="21" max="21" width="2" style="7" customWidth="1"/>
    <col min="22" max="22" width="1.5" style="7" customWidth="1"/>
    <col min="23" max="23" width="1.87962962962963" style="7" customWidth="1"/>
    <col min="24" max="24" width="1.75" style="7" customWidth="1"/>
    <col min="25" max="25" width="1.62962962962963" style="7" customWidth="1"/>
    <col min="26" max="26" width="0.75" style="7" customWidth="1"/>
    <col min="27" max="27" width="1.37962962962963" style="7" customWidth="1"/>
    <col min="28" max="28" width="2.62962962962963" style="7" customWidth="1"/>
    <col min="29" max="30" width="1.25" style="7" customWidth="1"/>
    <col min="31" max="31" width="1.5" style="7" customWidth="1"/>
    <col min="32" max="33" width="0.87962962962963" style="7" customWidth="1"/>
    <col min="34" max="34" width="1.25" style="7" customWidth="1"/>
    <col min="35" max="35" width="1.62962962962963" style="7" customWidth="1"/>
    <col min="36" max="36" width="0.5" style="7" customWidth="1"/>
    <col min="37" max="37" width="0.75" style="7" customWidth="1"/>
    <col min="38" max="38" width="1.75" style="7" customWidth="1"/>
    <col min="39" max="39" width="1.62962962962963" style="7" customWidth="1"/>
    <col min="40" max="40" width="1.75" style="7" customWidth="1"/>
    <col min="41" max="42" width="1.5" style="7" customWidth="1"/>
    <col min="43" max="43" width="2.25" style="7" customWidth="1"/>
    <col min="44" max="44" width="1.62962962962963" style="7" customWidth="1"/>
    <col min="45" max="45" width="2.25" style="7" customWidth="1"/>
    <col min="46" max="48" width="2.5" style="7" customWidth="1"/>
    <col min="49" max="49" width="1.37962962962963" style="7" customWidth="1"/>
    <col min="50" max="50" width="1.5" style="7" customWidth="1"/>
    <col min="51" max="51" width="1.25" style="7" customWidth="1"/>
    <col min="52" max="52" width="0.75" style="7" customWidth="1"/>
    <col min="53" max="53" width="3.25" style="7" customWidth="1"/>
    <col min="54" max="54" width="1.25" style="7" customWidth="1"/>
    <col min="55" max="55" width="0.12962962962963" style="7" customWidth="1"/>
    <col min="56" max="56" width="2.87962962962963" style="7" customWidth="1"/>
    <col min="57" max="57" width="1.62962962962963" style="7" customWidth="1"/>
    <col min="58" max="58" width="0.62962962962963" style="7" customWidth="1"/>
    <col min="59" max="59" width="1.62962962962963" style="7" customWidth="1"/>
    <col min="60" max="60" width="1.75" style="7" customWidth="1"/>
    <col min="61" max="61" width="1.37962962962963" style="7" customWidth="1"/>
    <col min="62" max="62" width="0.75" style="7" customWidth="1"/>
    <col min="63" max="63" width="1" style="7" customWidth="1"/>
    <col min="64" max="64" width="2.75" style="7" customWidth="1"/>
    <col min="65" max="65" width="1.37962962962963" style="7" customWidth="1"/>
    <col min="66" max="66" width="1.5" style="7" customWidth="1"/>
    <col min="67" max="67" width="1.75" style="7" customWidth="1"/>
    <col min="68" max="68" width="0.87962962962963" style="7" customWidth="1"/>
    <col min="69" max="69" width="1.5" style="7" customWidth="1"/>
    <col min="70" max="70" width="0.75" style="7" customWidth="1"/>
    <col min="71" max="71" width="1.25" style="7" customWidth="1"/>
    <col min="72" max="72" width="2.62962962962963" style="7" customWidth="1"/>
    <col min="73" max="73" width="0.75" style="7" customWidth="1"/>
    <col min="74" max="74" width="0.87962962962963" style="7" customWidth="1"/>
    <col min="75" max="75" width="3" style="7" customWidth="1"/>
    <col min="76" max="76" width="1.5" style="7" customWidth="1"/>
    <col min="77" max="77" width="2" style="7" customWidth="1"/>
    <col min="78" max="78" width="1.5" style="7" customWidth="1"/>
    <col min="79" max="81" width="0.75" style="7" customWidth="1"/>
    <col min="82" max="82" width="1.24074074074074" style="7" customWidth="1"/>
    <col min="83" max="83" width="0.888888888888889" style="7" customWidth="1"/>
    <col min="84" max="84" width="1" style="7" customWidth="1"/>
    <col min="85" max="85" width="1.87962962962963" style="7" customWidth="1"/>
    <col min="86" max="86" width="2.5" style="7" customWidth="1"/>
    <col min="87" max="87" width="1.5" style="7" customWidth="1"/>
    <col min="88" max="88" width="2.5" style="7" customWidth="1"/>
    <col min="89" max="89" width="1.37962962962963" style="7" customWidth="1"/>
    <col min="90" max="90" width="0.75" style="7" customWidth="1"/>
    <col min="91" max="91" width="1.37962962962963" style="7" customWidth="1"/>
    <col min="92" max="93" width="1.12962962962963" style="7" customWidth="1"/>
    <col min="94" max="94" width="2.37962962962963" style="7" customWidth="1"/>
    <col min="95" max="95" width="1.5" style="7" customWidth="1"/>
    <col min="96" max="96" width="10.8796296296296" style="7" customWidth="1"/>
    <col min="97" max="97" width="6" style="7" customWidth="1"/>
    <col min="98" max="16384" width="9" style="7"/>
  </cols>
  <sheetData>
    <row r="2" s="1" customFormat="1" ht="14.45" customHeight="1" spans="2:96">
      <c r="B2" s="399" t="s">
        <v>1649</v>
      </c>
      <c r="C2" s="399" t="s">
        <v>1650</v>
      </c>
      <c r="D2" s="399" t="s">
        <v>1651</v>
      </c>
      <c r="E2" s="399"/>
      <c r="F2" s="399"/>
      <c r="G2" s="399" t="s">
        <v>1652</v>
      </c>
      <c r="H2" s="399"/>
      <c r="I2" s="399" t="s">
        <v>1653</v>
      </c>
      <c r="J2" s="399"/>
      <c r="K2" s="399"/>
      <c r="L2" s="399"/>
      <c r="M2" s="399"/>
      <c r="N2" s="399" t="s">
        <v>1654</v>
      </c>
      <c r="O2" s="399"/>
      <c r="P2" s="399"/>
      <c r="Q2" s="399"/>
      <c r="R2" s="399" t="s">
        <v>1655</v>
      </c>
      <c r="S2" s="399"/>
      <c r="T2" s="399" t="s">
        <v>1656</v>
      </c>
      <c r="U2" s="399"/>
      <c r="V2" s="399"/>
      <c r="W2" s="399" t="s">
        <v>1657</v>
      </c>
      <c r="X2" s="399"/>
      <c r="Y2" s="399"/>
      <c r="Z2" s="399" t="s">
        <v>1658</v>
      </c>
      <c r="AA2" s="399"/>
      <c r="AB2" s="399"/>
      <c r="AC2" s="399" t="s">
        <v>1659</v>
      </c>
      <c r="AD2" s="399"/>
      <c r="AE2" s="399"/>
      <c r="AF2" s="399"/>
      <c r="AG2" s="399" t="s">
        <v>1660</v>
      </c>
      <c r="AH2" s="399"/>
      <c r="AI2" s="399"/>
      <c r="AJ2" s="399"/>
      <c r="AK2" s="399"/>
      <c r="AL2" s="399" t="s">
        <v>1661</v>
      </c>
      <c r="AM2" s="399"/>
      <c r="AN2" s="399"/>
      <c r="AO2" s="399" t="s">
        <v>1662</v>
      </c>
      <c r="AP2" s="399"/>
      <c r="AQ2" s="399"/>
      <c r="AR2" s="399" t="s">
        <v>1663</v>
      </c>
      <c r="AS2" s="399"/>
      <c r="AT2" s="399"/>
      <c r="AV2" s="2"/>
      <c r="AW2" s="399" t="s">
        <v>1664</v>
      </c>
      <c r="AX2" s="399"/>
      <c r="AY2" s="399"/>
      <c r="AZ2" s="399"/>
      <c r="BA2" s="399" t="s">
        <v>1665</v>
      </c>
      <c r="BB2" s="399"/>
      <c r="BC2" s="399"/>
      <c r="BD2" s="399" t="s">
        <v>1666</v>
      </c>
      <c r="BE2" s="399"/>
      <c r="BF2" s="399"/>
      <c r="BG2" s="399" t="s">
        <v>1667</v>
      </c>
      <c r="BH2" s="399"/>
      <c r="BI2" s="399"/>
      <c r="BJ2" s="399" t="s">
        <v>1668</v>
      </c>
      <c r="BK2" s="399"/>
      <c r="BL2" s="399"/>
      <c r="BM2" s="458" t="s">
        <v>1669</v>
      </c>
      <c r="BN2" s="458"/>
      <c r="BO2" s="458"/>
      <c r="BP2" s="458"/>
      <c r="BQ2" s="458"/>
      <c r="BR2" s="458"/>
      <c r="BS2" s="458"/>
      <c r="BT2" s="458"/>
      <c r="BU2" s="458"/>
      <c r="BV2" s="458"/>
      <c r="BW2" s="458"/>
      <c r="BX2" s="458"/>
      <c r="BY2" s="399" t="s">
        <v>1670</v>
      </c>
      <c r="BZ2" s="399"/>
      <c r="CA2" s="399"/>
      <c r="CB2" s="399"/>
      <c r="CC2" s="399"/>
      <c r="CD2" s="399"/>
      <c r="CE2" s="399"/>
      <c r="CF2" s="399"/>
      <c r="CG2" s="408" t="s">
        <v>1671</v>
      </c>
      <c r="CH2" s="408"/>
      <c r="CI2" s="408"/>
      <c r="CJ2" s="408"/>
      <c r="CK2" s="408"/>
      <c r="CL2" s="408"/>
      <c r="CM2" s="408"/>
      <c r="CN2" s="408"/>
      <c r="CO2" s="408"/>
      <c r="CP2" s="408"/>
      <c r="CQ2" s="408"/>
      <c r="CR2" s="399" t="s">
        <v>1649</v>
      </c>
    </row>
    <row r="3" s="1" customFormat="1" ht="14.45" customHeight="1" spans="2:96"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399"/>
      <c r="AP3" s="399"/>
      <c r="AQ3" s="399"/>
      <c r="AR3" s="399"/>
      <c r="AS3" s="399"/>
      <c r="AT3" s="399"/>
      <c r="AV3" s="2"/>
      <c r="AW3" s="399"/>
      <c r="AX3" s="399"/>
      <c r="AY3" s="399"/>
      <c r="AZ3" s="399"/>
      <c r="BA3" s="399"/>
      <c r="BB3" s="399"/>
      <c r="BC3" s="399"/>
      <c r="BD3" s="399"/>
      <c r="BE3" s="399"/>
      <c r="BF3" s="399"/>
      <c r="BG3" s="399"/>
      <c r="BH3" s="399"/>
      <c r="BI3" s="399"/>
      <c r="BJ3" s="399"/>
      <c r="BK3" s="399"/>
      <c r="BL3" s="399"/>
      <c r="BM3" s="436" t="s">
        <v>1672</v>
      </c>
      <c r="BN3" s="436"/>
      <c r="BO3" s="436"/>
      <c r="BP3" s="436" t="s">
        <v>1673</v>
      </c>
      <c r="BQ3" s="436"/>
      <c r="BR3" s="436"/>
      <c r="BS3" s="436"/>
      <c r="BT3" s="436" t="s">
        <v>1674</v>
      </c>
      <c r="BU3" s="436"/>
      <c r="BV3" s="436"/>
      <c r="BW3" s="436" t="s">
        <v>1675</v>
      </c>
      <c r="BX3" s="436"/>
      <c r="BY3" s="436" t="s">
        <v>1676</v>
      </c>
      <c r="BZ3" s="436"/>
      <c r="CA3" s="436"/>
      <c r="CB3" s="436" t="s">
        <v>1677</v>
      </c>
      <c r="CC3" s="436"/>
      <c r="CD3" s="436"/>
      <c r="CE3" s="436"/>
      <c r="CF3" s="436"/>
      <c r="CG3" s="408"/>
      <c r="CH3" s="408"/>
      <c r="CI3" s="408"/>
      <c r="CJ3" s="408"/>
      <c r="CK3" s="408"/>
      <c r="CL3" s="408"/>
      <c r="CM3" s="408"/>
      <c r="CN3" s="408"/>
      <c r="CO3" s="408"/>
      <c r="CP3" s="408"/>
      <c r="CQ3" s="408"/>
      <c r="CR3" s="399"/>
    </row>
    <row r="4" s="2" customFormat="1" ht="14.45" customHeight="1" spans="2:101">
      <c r="B4" s="399"/>
      <c r="C4" s="399"/>
      <c r="D4" s="399">
        <v>587.56</v>
      </c>
      <c r="E4" s="399"/>
      <c r="F4" s="399"/>
      <c r="G4" s="399"/>
      <c r="H4" s="399"/>
      <c r="I4" s="399"/>
      <c r="J4" s="399"/>
      <c r="K4" s="399"/>
      <c r="L4" s="399"/>
      <c r="M4" s="399"/>
      <c r="N4" s="399">
        <v>546.07</v>
      </c>
      <c r="O4" s="399"/>
      <c r="P4" s="399"/>
      <c r="Q4" s="399"/>
      <c r="R4" s="399"/>
      <c r="S4" s="399"/>
      <c r="T4" s="399"/>
      <c r="U4" s="399"/>
      <c r="V4" s="399"/>
      <c r="W4" s="414">
        <v>1013.98</v>
      </c>
      <c r="X4" s="414"/>
      <c r="Y4" s="414"/>
      <c r="Z4" s="399">
        <v>852.11</v>
      </c>
      <c r="AA4" s="399"/>
      <c r="AB4" s="399"/>
      <c r="AC4" s="399">
        <v>768.19</v>
      </c>
      <c r="AD4" s="399"/>
      <c r="AE4" s="399"/>
      <c r="AF4" s="399"/>
      <c r="AG4" s="399">
        <v>706.52</v>
      </c>
      <c r="AH4" s="399"/>
      <c r="AI4" s="399"/>
      <c r="AJ4" s="399"/>
      <c r="AK4" s="399"/>
      <c r="AL4" s="399">
        <v>656.27</v>
      </c>
      <c r="AM4" s="399"/>
      <c r="AN4" s="399"/>
      <c r="AO4" s="399">
        <v>643.85</v>
      </c>
      <c r="AP4" s="399"/>
      <c r="AQ4" s="399"/>
      <c r="AR4" s="414">
        <v>632.8</v>
      </c>
      <c r="AS4" s="414"/>
      <c r="AT4" s="414"/>
      <c r="AU4" s="1"/>
      <c r="AW4" s="399">
        <v>486.13</v>
      </c>
      <c r="AX4" s="399"/>
      <c r="AY4" s="399"/>
      <c r="AZ4" s="399"/>
      <c r="BA4" s="399">
        <v>479.99</v>
      </c>
      <c r="BB4" s="399"/>
      <c r="BC4" s="399"/>
      <c r="BD4" s="399">
        <v>435.84</v>
      </c>
      <c r="BE4" s="399"/>
      <c r="BF4" s="399"/>
      <c r="BG4" s="399">
        <v>404.56</v>
      </c>
      <c r="BH4" s="399"/>
      <c r="BI4" s="399"/>
      <c r="BJ4" s="399">
        <v>365.01</v>
      </c>
      <c r="BK4" s="399"/>
      <c r="BL4" s="399"/>
      <c r="BM4" s="436"/>
      <c r="BN4" s="436"/>
      <c r="BO4" s="436"/>
      <c r="BP4" s="436"/>
      <c r="BQ4" s="436"/>
      <c r="BR4" s="436"/>
      <c r="BS4" s="436"/>
      <c r="BT4" s="436"/>
      <c r="BU4" s="436"/>
      <c r="BV4" s="436"/>
      <c r="BW4" s="436"/>
      <c r="BX4" s="436"/>
      <c r="BY4" s="436"/>
      <c r="BZ4" s="436"/>
      <c r="CA4" s="436"/>
      <c r="CB4" s="436"/>
      <c r="CC4" s="436"/>
      <c r="CD4" s="436"/>
      <c r="CE4" s="436"/>
      <c r="CF4" s="436"/>
      <c r="CG4" s="446" t="s">
        <v>1678</v>
      </c>
      <c r="CH4" s="446"/>
      <c r="CI4" s="446"/>
      <c r="CJ4" s="452" t="s">
        <v>1679</v>
      </c>
      <c r="CK4" s="452"/>
      <c r="CL4" s="452"/>
      <c r="CM4" s="452"/>
      <c r="CN4" s="452" t="s">
        <v>1680</v>
      </c>
      <c r="CO4" s="452"/>
      <c r="CP4" s="452"/>
      <c r="CQ4" s="452"/>
      <c r="CR4" s="399"/>
      <c r="CS4" s="1"/>
      <c r="CT4" s="1"/>
      <c r="CU4" s="1"/>
      <c r="CV4" s="1"/>
      <c r="CW4" s="1"/>
    </row>
    <row r="5" s="3" customFormat="1" ht="14.45" customHeight="1" spans="2:101">
      <c r="B5" s="400" t="s">
        <v>838</v>
      </c>
      <c r="C5" s="18">
        <f>IF(VLOOKUP($B5,'NHG''s optical glass 202608'!$C$7:$GO$213,2,FALSE)="","",VLOOKUP($B5,'NHG''s optical glass 202608'!$C$7:$GO$213,2,FALSE))</f>
        <v>741278</v>
      </c>
      <c r="D5" s="401">
        <f>IF(VLOOKUP($B5,'NHG''s optical glass 202608'!$C$7:$GO$213,20,FALSE)="","",VLOOKUP($B5,'NHG''s optical glass 202608'!$C$7:$GO$213,20,FALSE))</f>
        <v>1.74077</v>
      </c>
      <c r="E5" s="401"/>
      <c r="F5" s="401"/>
      <c r="G5" s="221">
        <f>IF(VLOOKUP($B5,'NHG''s optical glass 202608'!$C$7:$GO$213,3,FALSE)="","",VLOOKUP($B5,'NHG''s optical glass 202608'!$C$7:$GO$213,3,FALSE))</f>
        <v>27.76</v>
      </c>
      <c r="H5" s="221"/>
      <c r="I5" s="410">
        <f>IF(VLOOKUP($B5,'NHG''s optical glass 202608'!$C$7:$GO$213,5,FALSE)="","",VLOOKUP($B5,'NHG''s optical glass 202608'!$C$7:$GO$213,5,FALSE))</f>
        <v>0.026685</v>
      </c>
      <c r="J5" s="410"/>
      <c r="K5" s="410"/>
      <c r="L5" s="410"/>
      <c r="M5" s="410"/>
      <c r="N5" s="401">
        <f>IF(VLOOKUP($B5,'NHG''s optical glass 202608'!$C$7:$GO$213,21,FALSE)="","",VLOOKUP($B5,'NHG''s optical glass 202608'!$C$7:$GO$213,21,FALSE))</f>
        <v>1.74707</v>
      </c>
      <c r="O5" s="401"/>
      <c r="P5" s="401"/>
      <c r="Q5" s="401"/>
      <c r="R5" s="221">
        <f>IF(VLOOKUP($B5,'NHG''s optical glass 202608'!$C$7:$GO$213,4,FALSE)="","",VLOOKUP($B5,'NHG''s optical glass 202608'!$C$7:$GO$213,4,FALSE))</f>
        <v>27.54</v>
      </c>
      <c r="S5" s="221"/>
      <c r="T5" s="410">
        <f>IF(VLOOKUP($B5,'NHG''s optical glass 202608'!$C$7:$GO$213,6,FALSE)="","",VLOOKUP($B5,'NHG''s optical glass 202608'!$C$7:$GO$213,6,FALSE))</f>
        <v>0.027125</v>
      </c>
      <c r="U5" s="410"/>
      <c r="V5" s="410"/>
      <c r="W5" s="401">
        <f>IF(VLOOKUP($B5,'NHG''s optical glass 202608'!$C$7:$GO$213,12,FALSE)="","",VLOOKUP($B5,'NHG''s optical glass 202608'!$C$7:$GO$213,12,FALSE))</f>
        <v>1.71491</v>
      </c>
      <c r="X5" s="401"/>
      <c r="Y5" s="401"/>
      <c r="Z5" s="401">
        <f>IF(VLOOKUP($B5,'NHG''s optical glass 202608'!$C$7:$GO$213,13,FALSE)="","",VLOOKUP($B5,'NHG''s optical glass 202608'!$C$7:$GO$213,13,FALSE))</f>
        <v>1.7206</v>
      </c>
      <c r="AA5" s="401"/>
      <c r="AB5" s="401"/>
      <c r="AC5" s="401">
        <f>IF(VLOOKUP($B5,'NHG''s optical glass 202608'!$C$7:$GO$213,14,FALSE)="","",VLOOKUP($B5,'NHG''s optical glass 202608'!$C$7:$GO$213,14,FALSE))</f>
        <v>1.72483</v>
      </c>
      <c r="AD5" s="401"/>
      <c r="AE5" s="401"/>
      <c r="AF5" s="401"/>
      <c r="AG5" s="401">
        <f>IF(VLOOKUP($B5,'NHG''s optical glass 202608'!$C$7:$GO$213,15,FALSE)="","",VLOOKUP($B5,'NHG''s optical glass 202608'!$C$7:$GO$213,15,FALSE))</f>
        <v>1.72888</v>
      </c>
      <c r="AH5" s="401"/>
      <c r="AI5" s="401"/>
      <c r="AJ5" s="401"/>
      <c r="AK5" s="401"/>
      <c r="AL5" s="401">
        <f>IF(VLOOKUP($B5,'NHG''s optical glass 202608'!$C$7:$GO$213,16,FALSE)="","",VLOOKUP($B5,'NHG''s optical glass 202608'!$C$7:$GO$213,16,FALSE))</f>
        <v>1.73307</v>
      </c>
      <c r="AM5" s="401"/>
      <c r="AN5" s="401"/>
      <c r="AO5" s="401">
        <f>IF(VLOOKUP($B5,'NHG''s optical glass 202608'!$C$7:$GO$213,17,FALSE)="","",VLOOKUP($B5,'NHG''s optical glass 202608'!$C$7:$GO$213,17,FALSE))</f>
        <v>1.73427</v>
      </c>
      <c r="AP5" s="401"/>
      <c r="AQ5" s="401"/>
      <c r="AR5" s="401">
        <f>IF(VLOOKUP($B5,'NHG''s optical glass 202608'!$C$7:$GO$213,18,FALSE)="","",VLOOKUP($B5,'NHG''s optical glass 202608'!$C$7:$GO$213,18,FALSE))</f>
        <v>1.7354</v>
      </c>
      <c r="AS5" s="401"/>
      <c r="AT5" s="401"/>
      <c r="AU5" s="1"/>
      <c r="AV5" s="2"/>
      <c r="AW5" s="401">
        <f>IF(VLOOKUP($B5,'NHG''s optical glass 202608'!$C$7:$GO$213,22,FALSE)="","",VLOOKUP($B5,'NHG''s optical glass 202608'!$C$7:$GO$213,22,FALSE))</f>
        <v>1.75976</v>
      </c>
      <c r="AX5" s="401"/>
      <c r="AY5" s="401"/>
      <c r="AZ5" s="401"/>
      <c r="BA5" s="401">
        <f>IF(VLOOKUP($B5,'NHG''s optical glass 202608'!$C$7:$GO$213,23,FALSE)="","",VLOOKUP($B5,'NHG''s optical glass 202608'!$C$7:$GO$213,23,FALSE))</f>
        <v>1.76139</v>
      </c>
      <c r="BB5" s="401"/>
      <c r="BC5" s="401"/>
      <c r="BD5" s="401">
        <f>IF(VLOOKUP($B5,'NHG''s optical glass 202608'!$C$7:$GO$213,24,FALSE)="","",VLOOKUP($B5,'NHG''s optical glass 202608'!$C$7:$GO$213,24,FALSE))</f>
        <v>1.77598</v>
      </c>
      <c r="BE5" s="401"/>
      <c r="BF5" s="401"/>
      <c r="BG5" s="401">
        <f>IF(VLOOKUP($B5,'NHG''s optical glass 202608'!$C$7:$GO$213,25,FALSE)="","",VLOOKUP($B5,'NHG''s optical glass 202608'!$C$7:$GO$213,25,FALSE))</f>
        <v>1.79059</v>
      </c>
      <c r="BH5" s="401"/>
      <c r="BI5" s="401"/>
      <c r="BJ5" s="401">
        <f>IF(VLOOKUP($B5,'NHG''s optical glass 202608'!$C$7:$GO$213,26,FALSE)="","",VLOOKUP($B5,'NHG''s optical glass 202608'!$C$7:$GO$213,26,FALSE))</f>
        <v>1.8185</v>
      </c>
      <c r="BK5" s="401"/>
      <c r="BL5" s="401"/>
      <c r="BM5" s="437">
        <f>IF(VLOOKUP($B5,'NHG''s optical glass 202608'!$C$7:$GO$213,33,FALSE)="","",VLOOKUP($B5,'NHG''s optical glass 202608'!$C$7:$GO$213,33,FALSE))</f>
        <v>0.2886</v>
      </c>
      <c r="BN5" s="437"/>
      <c r="BO5" s="437"/>
      <c r="BP5" s="437">
        <f>IF(VLOOKUP($B5,'NHG''s optical glass 202608'!$C$7:$GO$213,35,FALSE)="","",VLOOKUP($B5,'NHG''s optical glass 202608'!$C$7:$GO$213,35,FALSE))</f>
        <v>0.6078</v>
      </c>
      <c r="BQ5" s="437"/>
      <c r="BR5" s="437"/>
      <c r="BS5" s="437"/>
      <c r="BT5" s="437">
        <f>IF(VLOOKUP($B5,'NHG''s optical glass 202608'!$C$7:$GO$213,36,FALSE)="","",VLOOKUP($B5,'NHG''s optical glass 202608'!$C$7:$GO$213,36,FALSE))</f>
        <v>0.2396</v>
      </c>
      <c r="BU5" s="437"/>
      <c r="BV5" s="437"/>
      <c r="BW5" s="437">
        <f>IF(VLOOKUP($B5,'NHG''s optical glass 202608'!$C$7:$GO$213,38,FALSE)="","",VLOOKUP($B5,'NHG''s optical glass 202608'!$C$7:$GO$213,38,FALSE))</f>
        <v>0.5379</v>
      </c>
      <c r="BX5" s="437"/>
      <c r="BY5" s="437">
        <f>IF(VLOOKUP($B5,'NHG''s optical glass 202608'!$C$7:$GO$213,40,FALSE)="","",VLOOKUP($B5,'NHG''s optical glass 202608'!$C$7:$GO$213,40,FALSE))</f>
        <v>0.0103</v>
      </c>
      <c r="BZ5" s="437"/>
      <c r="CA5" s="437"/>
      <c r="CB5" s="437">
        <f>IF(VLOOKUP($B5,'NHG''s optical glass 202608'!$C$7:$GO$213,41,FALSE)="","",VLOOKUP($B5,'NHG''s optical glass 202608'!$C$7:$GO$213,41,FALSE))</f>
        <v>0.0059</v>
      </c>
      <c r="CC5" s="437"/>
      <c r="CD5" s="437"/>
      <c r="CE5" s="437"/>
      <c r="CF5" s="437"/>
      <c r="CG5" s="447">
        <f>IF(VLOOKUP($B5,'NHG''s optical glass 202608'!$C$7:$GO$213,99,FALSE)="","",VLOOKUP($B5,'NHG''s optical glass 202608'!$C$7:$GO$213,99,FALSE))</f>
        <v>2.1</v>
      </c>
      <c r="CH5" s="447"/>
      <c r="CI5" s="447"/>
      <c r="CJ5" s="447">
        <f>IF(VLOOKUP($B5,'NHG''s optical glass 202608'!$C$7:$GO$213,102,FALSE)="","",VLOOKUP($B5,'NHG''s optical glass 202608'!$C$7:$GO$213,102,FALSE))</f>
        <v>2.6</v>
      </c>
      <c r="CK5" s="447"/>
      <c r="CL5" s="447"/>
      <c r="CM5" s="447"/>
      <c r="CN5" s="447">
        <f>IF(VLOOKUP($B5,'NHG''s optical glass 202608'!$C$7:$GO$213,105,FALSE)="","",VLOOKUP($B5,'NHG''s optical glass 202608'!$C$7:$GO$213,105,FALSE))</f>
        <v>3</v>
      </c>
      <c r="CO5" s="447"/>
      <c r="CP5" s="447"/>
      <c r="CQ5" s="447"/>
      <c r="CR5" s="400" t="str">
        <f t="shared" ref="CR5:CR10" si="0">B5</f>
        <v>H-ZF50</v>
      </c>
      <c r="CS5" s="1"/>
      <c r="CT5" s="1"/>
      <c r="CU5" s="1"/>
      <c r="CV5" s="1"/>
      <c r="CW5" s="1"/>
    </row>
    <row r="6" s="231" customFormat="1" ht="14.45" customHeight="1" spans="2:101">
      <c r="B6" s="402" t="s">
        <v>843</v>
      </c>
      <c r="C6" s="403">
        <f>IF(VLOOKUP($B6,'NHG''s optical glass 202608'!$C$7:$GO$213,2,FALSE)="","",VLOOKUP($B6,'NHG''s optical glass 202608'!$C$7:$GO$213,2,FALSE))</f>
        <v>741278</v>
      </c>
      <c r="D6" s="404">
        <f>IF(VLOOKUP($B6,'NHG''s optical glass 202608'!$C$7:$GO$213,20,FALSE)="","",VLOOKUP($B6,'NHG''s optical glass 202608'!$C$7:$GO$213,20,FALSE))</f>
        <v>1.74077</v>
      </c>
      <c r="E6" s="404"/>
      <c r="F6" s="404"/>
      <c r="G6" s="455">
        <f>IF(VLOOKUP($B6,'NHG''s optical glass 202608'!$C$7:$GO$213,3,FALSE)="","",VLOOKUP($B6,'NHG''s optical glass 202608'!$C$7:$GO$213,3,FALSE))</f>
        <v>27.76</v>
      </c>
      <c r="H6" s="455"/>
      <c r="I6" s="411">
        <f>IF(VLOOKUP($B6,'NHG''s optical glass 202608'!$C$7:$GO$213,5,FALSE)="","",VLOOKUP($B6,'NHG''s optical glass 202608'!$C$7:$GO$213,5,FALSE))</f>
        <v>0.026685</v>
      </c>
      <c r="J6" s="411"/>
      <c r="K6" s="411"/>
      <c r="L6" s="411"/>
      <c r="M6" s="411"/>
      <c r="N6" s="404">
        <f>IF(VLOOKUP($B6,'NHG''s optical glass 202608'!$C$7:$GO$213,21,FALSE)="","",VLOOKUP($B6,'NHG''s optical glass 202608'!$C$7:$GO$213,21,FALSE))</f>
        <v>1.74707</v>
      </c>
      <c r="O6" s="404"/>
      <c r="P6" s="404"/>
      <c r="Q6" s="404"/>
      <c r="R6" s="455">
        <f>IF(VLOOKUP($B6,'NHG''s optical glass 202608'!$C$7:$GO$213,4,FALSE)="","",VLOOKUP($B6,'NHG''s optical glass 202608'!$C$7:$GO$213,4,FALSE))</f>
        <v>27.54</v>
      </c>
      <c r="S6" s="455"/>
      <c r="T6" s="411">
        <f>IF(VLOOKUP($B6,'NHG''s optical glass 202608'!$C$7:$GO$213,6,FALSE)="","",VLOOKUP($B6,'NHG''s optical glass 202608'!$C$7:$GO$213,6,FALSE))</f>
        <v>0.027125</v>
      </c>
      <c r="U6" s="411"/>
      <c r="V6" s="411"/>
      <c r="W6" s="404">
        <f>IF(VLOOKUP($B6,'NHG''s optical glass 202608'!$C$7:$GO$213,12,FALSE)="","",VLOOKUP($B6,'NHG''s optical glass 202608'!$C$7:$GO$213,12,FALSE))</f>
        <v>1.71491</v>
      </c>
      <c r="X6" s="404"/>
      <c r="Y6" s="404"/>
      <c r="Z6" s="404">
        <f>IF(VLOOKUP($B6,'NHG''s optical glass 202608'!$C$7:$GO$213,13,FALSE)="","",VLOOKUP($B6,'NHG''s optical glass 202608'!$C$7:$GO$213,13,FALSE))</f>
        <v>1.7206</v>
      </c>
      <c r="AA6" s="404"/>
      <c r="AB6" s="404"/>
      <c r="AC6" s="404">
        <f>IF(VLOOKUP($B6,'NHG''s optical glass 202608'!$C$7:$GO$213,14,FALSE)="","",VLOOKUP($B6,'NHG''s optical glass 202608'!$C$7:$GO$213,14,FALSE))</f>
        <v>1.72483</v>
      </c>
      <c r="AD6" s="404"/>
      <c r="AE6" s="404"/>
      <c r="AF6" s="404"/>
      <c r="AG6" s="404">
        <f>IF(VLOOKUP($B6,'NHG''s optical glass 202608'!$C$7:$GO$213,15,FALSE)="","",VLOOKUP($B6,'NHG''s optical glass 202608'!$C$7:$GO$213,15,FALSE))</f>
        <v>1.72888</v>
      </c>
      <c r="AH6" s="404"/>
      <c r="AI6" s="404"/>
      <c r="AJ6" s="404"/>
      <c r="AK6" s="404"/>
      <c r="AL6" s="404">
        <f>IF(VLOOKUP($B6,'NHG''s optical glass 202608'!$C$7:$GO$213,16,FALSE)="","",VLOOKUP($B6,'NHG''s optical glass 202608'!$C$7:$GO$213,16,FALSE))</f>
        <v>1.73307</v>
      </c>
      <c r="AM6" s="404"/>
      <c r="AN6" s="404"/>
      <c r="AO6" s="404">
        <f>IF(VLOOKUP($B6,'NHG''s optical glass 202608'!$C$7:$GO$213,17,FALSE)="","",VLOOKUP($B6,'NHG''s optical glass 202608'!$C$7:$GO$213,17,FALSE))</f>
        <v>1.73427</v>
      </c>
      <c r="AP6" s="404"/>
      <c r="AQ6" s="404"/>
      <c r="AR6" s="404">
        <f>IF(VLOOKUP($B6,'NHG''s optical glass 202608'!$C$7:$GO$213,18,FALSE)="","",VLOOKUP($B6,'NHG''s optical glass 202608'!$C$7:$GO$213,18,FALSE))</f>
        <v>1.7354</v>
      </c>
      <c r="AS6" s="404"/>
      <c r="AT6" s="404"/>
      <c r="AU6" s="233"/>
      <c r="AV6" s="232"/>
      <c r="AW6" s="404">
        <f>IF(VLOOKUP($B6,'NHG''s optical glass 202608'!$C$7:$GO$213,22,FALSE)="","",VLOOKUP($B6,'NHG''s optical glass 202608'!$C$7:$GO$213,22,FALSE))</f>
        <v>1.75976</v>
      </c>
      <c r="AX6" s="404"/>
      <c r="AY6" s="404"/>
      <c r="AZ6" s="404"/>
      <c r="BA6" s="404">
        <f>IF(VLOOKUP($B6,'NHG''s optical glass 202608'!$C$7:$GO$213,23,FALSE)="","",VLOOKUP($B6,'NHG''s optical glass 202608'!$C$7:$GO$213,23,FALSE))</f>
        <v>1.76139</v>
      </c>
      <c r="BB6" s="404"/>
      <c r="BC6" s="404"/>
      <c r="BD6" s="404">
        <f>IF(VLOOKUP($B6,'NHG''s optical glass 202608'!$C$7:$GO$213,24,FALSE)="","",VLOOKUP($B6,'NHG''s optical glass 202608'!$C$7:$GO$213,24,FALSE))</f>
        <v>1.77598</v>
      </c>
      <c r="BE6" s="404"/>
      <c r="BF6" s="404"/>
      <c r="BG6" s="404">
        <f>IF(VLOOKUP($B6,'NHG''s optical glass 202608'!$C$7:$GO$213,25,FALSE)="","",VLOOKUP($B6,'NHG''s optical glass 202608'!$C$7:$GO$213,25,FALSE))</f>
        <v>1.79059</v>
      </c>
      <c r="BH6" s="404"/>
      <c r="BI6" s="404"/>
      <c r="BJ6" s="404">
        <f>IF(VLOOKUP($B6,'NHG''s optical glass 202608'!$C$7:$GO$213,26,FALSE)="","",VLOOKUP($B6,'NHG''s optical glass 202608'!$C$7:$GO$213,26,FALSE))</f>
        <v>1.8185</v>
      </c>
      <c r="BK6" s="404"/>
      <c r="BL6" s="404"/>
      <c r="BM6" s="438">
        <f>IF(VLOOKUP($B6,'NHG''s optical glass 202608'!$C$7:$GO$213,33,FALSE)="","",VLOOKUP($B6,'NHG''s optical glass 202608'!$C$7:$GO$213,33,FALSE))</f>
        <v>0.2886</v>
      </c>
      <c r="BN6" s="438"/>
      <c r="BO6" s="438"/>
      <c r="BP6" s="438">
        <f>IF(VLOOKUP($B6,'NHG''s optical glass 202608'!$C$7:$GO$213,35,FALSE)="","",VLOOKUP($B6,'NHG''s optical glass 202608'!$C$7:$GO$213,35,FALSE))</f>
        <v>0.6078</v>
      </c>
      <c r="BQ6" s="438"/>
      <c r="BR6" s="438"/>
      <c r="BS6" s="438"/>
      <c r="BT6" s="438">
        <f>IF(VLOOKUP($B6,'NHG''s optical glass 202608'!$C$7:$GO$213,36,FALSE)="","",VLOOKUP($B6,'NHG''s optical glass 202608'!$C$7:$GO$213,36,FALSE))</f>
        <v>0.2396</v>
      </c>
      <c r="BU6" s="438"/>
      <c r="BV6" s="438"/>
      <c r="BW6" s="438">
        <f>IF(VLOOKUP($B6,'NHG''s optical glass 202608'!$C$7:$GO$213,38,FALSE)="","",VLOOKUP($B6,'NHG''s optical glass 202608'!$C$7:$GO$213,38,FALSE))</f>
        <v>0.5379</v>
      </c>
      <c r="BX6" s="438"/>
      <c r="BY6" s="438">
        <f>IF(VLOOKUP($B6,'NHG''s optical glass 202608'!$C$7:$GO$213,40,FALSE)="","",VLOOKUP($B6,'NHG''s optical glass 202608'!$C$7:$GO$213,40,FALSE))</f>
        <v>0.0103</v>
      </c>
      <c r="BZ6" s="438"/>
      <c r="CA6" s="438"/>
      <c r="CB6" s="438">
        <f>IF(VLOOKUP($B6,'NHG''s optical glass 202608'!$C$7:$GO$213,41,FALSE)="","",VLOOKUP($B6,'NHG''s optical glass 202608'!$C$7:$GO$213,41,FALSE))</f>
        <v>0.0059</v>
      </c>
      <c r="CC6" s="438"/>
      <c r="CD6" s="438"/>
      <c r="CE6" s="438"/>
      <c r="CF6" s="438"/>
      <c r="CG6" s="448">
        <f>IF(VLOOKUP($B6,'NHG''s optical glass 202608'!$C$7:$GO$213,99,FALSE)="","",VLOOKUP($B6,'NHG''s optical glass 202608'!$C$7:$GO$213,99,FALSE))</f>
        <v>2.1</v>
      </c>
      <c r="CH6" s="448"/>
      <c r="CI6" s="448"/>
      <c r="CJ6" s="448">
        <f>IF(VLOOKUP($B6,'NHG''s optical glass 202608'!$C$7:$GO$213,102,FALSE)="","",VLOOKUP($B6,'NHG''s optical glass 202608'!$C$7:$GO$213,102,FALSE))</f>
        <v>2.6</v>
      </c>
      <c r="CK6" s="448"/>
      <c r="CL6" s="448"/>
      <c r="CM6" s="448"/>
      <c r="CN6" s="448">
        <f>IF(VLOOKUP($B6,'NHG''s optical glass 202608'!$C$7:$GO$213,105,FALSE)="","",VLOOKUP($B6,'NHG''s optical glass 202608'!$C$7:$GO$213,105,FALSE))</f>
        <v>3</v>
      </c>
      <c r="CO6" s="448"/>
      <c r="CP6" s="448"/>
      <c r="CQ6" s="448"/>
      <c r="CR6" s="407" t="str">
        <f t="shared" si="0"/>
        <v>H-ZF50GT</v>
      </c>
      <c r="CS6" s="233"/>
      <c r="CT6" s="233"/>
      <c r="CU6" s="233"/>
      <c r="CV6" s="233"/>
      <c r="CW6" s="233"/>
    </row>
    <row r="7" s="231" customFormat="1" ht="14.45" customHeight="1" spans="2:101">
      <c r="B7" s="405" t="s">
        <v>844</v>
      </c>
      <c r="C7" s="234">
        <f>IF(VLOOKUP($B7,'NHG''s optical glass 202608'!$C$7:$GO$213,2,FALSE)="","",VLOOKUP($B7,'NHG''s optical glass 202608'!$C$7:$GO$213,2,FALSE))</f>
        <v>847238</v>
      </c>
      <c r="D7" s="406">
        <f>IF(VLOOKUP($B7,'NHG''s optical glass 202608'!$C$7:$GO$213,20,FALSE)="","",VLOOKUP($B7,'NHG''s optical glass 202608'!$C$7:$GO$213,20,FALSE))</f>
        <v>1.84666</v>
      </c>
      <c r="E7" s="406"/>
      <c r="F7" s="406"/>
      <c r="G7" s="456">
        <f>IF(VLOOKUP($B7,'NHG''s optical glass 202608'!$C$7:$GO$213,3,FALSE)="","",VLOOKUP($B7,'NHG''s optical glass 202608'!$C$7:$GO$213,3,FALSE))</f>
        <v>23.78</v>
      </c>
      <c r="H7" s="456"/>
      <c r="I7" s="412">
        <f>IF(VLOOKUP($B7,'NHG''s optical glass 202608'!$C$7:$GO$213,5,FALSE)="","",VLOOKUP($B7,'NHG''s optical glass 202608'!$C$7:$GO$213,5,FALSE))</f>
        <v>0.035608</v>
      </c>
      <c r="J7" s="412"/>
      <c r="K7" s="412"/>
      <c r="L7" s="412"/>
      <c r="M7" s="412"/>
      <c r="N7" s="406">
        <f>IF(VLOOKUP($B7,'NHG''s optical glass 202608'!$C$7:$GO$213,21,FALSE)="","",VLOOKUP($B7,'NHG''s optical glass 202608'!$C$7:$GO$213,21,FALSE))</f>
        <v>1.85504</v>
      </c>
      <c r="O7" s="406"/>
      <c r="P7" s="406"/>
      <c r="Q7" s="406"/>
      <c r="R7" s="456">
        <f>IF(VLOOKUP($B7,'NHG''s optical glass 202608'!$C$7:$GO$213,4,FALSE)="","",VLOOKUP($B7,'NHG''s optical glass 202608'!$C$7:$GO$213,4,FALSE))</f>
        <v>23.59</v>
      </c>
      <c r="S7" s="456"/>
      <c r="T7" s="412">
        <f>IF(VLOOKUP($B7,'NHG''s optical glass 202608'!$C$7:$GO$213,6,FALSE)="","",VLOOKUP($B7,'NHG''s optical glass 202608'!$C$7:$GO$213,6,FALSE))</f>
        <v>0.036247</v>
      </c>
      <c r="U7" s="412"/>
      <c r="V7" s="412"/>
      <c r="W7" s="406">
        <f>IF(VLOOKUP($B7,'NHG''s optical glass 202608'!$C$7:$GO$213,12,FALSE)="","",VLOOKUP($B7,'NHG''s optical glass 202608'!$C$7:$GO$213,12,FALSE))</f>
        <v>1.81304</v>
      </c>
      <c r="X7" s="406"/>
      <c r="Y7" s="406"/>
      <c r="Z7" s="406">
        <f>IF(VLOOKUP($B7,'NHG''s optical glass 202608'!$C$7:$GO$213,13,FALSE)="","",VLOOKUP($B7,'NHG''s optical glass 202608'!$C$7:$GO$213,13,FALSE))</f>
        <v>1.82028</v>
      </c>
      <c r="AA7" s="406"/>
      <c r="AB7" s="406"/>
      <c r="AC7" s="406">
        <f>IF(VLOOKUP($B7,'NHG''s optical glass 202608'!$C$7:$GO$213,14,FALSE)="","",VLOOKUP($B7,'NHG''s optical glass 202608'!$C$7:$GO$213,14,FALSE))</f>
        <v>1.82573</v>
      </c>
      <c r="AD7" s="406"/>
      <c r="AE7" s="406"/>
      <c r="AF7" s="406"/>
      <c r="AG7" s="406">
        <f>IF(VLOOKUP($B7,'NHG''s optical glass 202608'!$C$7:$GO$213,15,FALSE)="","",VLOOKUP($B7,'NHG''s optical glass 202608'!$C$7:$GO$213,15,FALSE))</f>
        <v>1.83101</v>
      </c>
      <c r="AH7" s="406"/>
      <c r="AI7" s="406"/>
      <c r="AJ7" s="406"/>
      <c r="AK7" s="406"/>
      <c r="AL7" s="406">
        <f>IF(VLOOKUP($B7,'NHG''s optical glass 202608'!$C$7:$GO$213,16,FALSE)="","",VLOOKUP($B7,'NHG''s optical glass 202608'!$C$7:$GO$213,16,FALSE))</f>
        <v>1.83649</v>
      </c>
      <c r="AM7" s="406"/>
      <c r="AN7" s="406"/>
      <c r="AO7" s="406">
        <f>IF(VLOOKUP($B7,'NHG''s optical glass 202608'!$C$7:$GO$213,17,FALSE)="","",VLOOKUP($B7,'NHG''s optical glass 202608'!$C$7:$GO$213,17,FALSE))</f>
        <v>1.83807</v>
      </c>
      <c r="AP7" s="406"/>
      <c r="AQ7" s="406"/>
      <c r="AR7" s="406">
        <f>IF(VLOOKUP($B7,'NHG''s optical glass 202608'!$C$7:$GO$213,18,FALSE)="","",VLOOKUP($B7,'NHG''s optical glass 202608'!$C$7:$GO$213,18,FALSE))</f>
        <v>1.83956</v>
      </c>
      <c r="AS7" s="406"/>
      <c r="AT7" s="406"/>
      <c r="AU7" s="233"/>
      <c r="AV7" s="232"/>
      <c r="AW7" s="406">
        <f>IF(VLOOKUP($B7,'NHG''s optical glass 202608'!$C$7:$GO$213,22,FALSE)="","",VLOOKUP($B7,'NHG''s optical glass 202608'!$C$7:$GO$213,22,FALSE))</f>
        <v>1.8721</v>
      </c>
      <c r="AX7" s="406"/>
      <c r="AY7" s="406"/>
      <c r="AZ7" s="406"/>
      <c r="BA7" s="406">
        <f>IF(VLOOKUP($B7,'NHG''s optical glass 202608'!$C$7:$GO$213,23,FALSE)="","",VLOOKUP($B7,'NHG''s optical glass 202608'!$C$7:$GO$213,23,FALSE))</f>
        <v>1.87431</v>
      </c>
      <c r="BB7" s="406"/>
      <c r="BC7" s="406"/>
      <c r="BD7" s="406">
        <f>IF(VLOOKUP($B7,'NHG''s optical glass 202608'!$C$7:$GO$213,24,FALSE)="","",VLOOKUP($B7,'NHG''s optical glass 202608'!$C$7:$GO$213,24,FALSE))</f>
        <v>1.89416</v>
      </c>
      <c r="BE7" s="406"/>
      <c r="BF7" s="406"/>
      <c r="BG7" s="406">
        <f>IF(VLOOKUP($B7,'NHG''s optical glass 202608'!$C$7:$GO$213,25,FALSE)="","",VLOOKUP($B7,'NHG''s optical glass 202608'!$C$7:$GO$213,25,FALSE))</f>
        <v>1.91418</v>
      </c>
      <c r="BH7" s="406"/>
      <c r="BI7" s="406"/>
      <c r="BJ7" s="406">
        <f>IF(VLOOKUP($B7,'NHG''s optical glass 202608'!$C$7:$GO$213,26,FALSE)="","",VLOOKUP($B7,'NHG''s optical glass 202608'!$C$7:$GO$213,26,FALSE))</f>
        <v>1.95237</v>
      </c>
      <c r="BK7" s="406"/>
      <c r="BL7" s="406"/>
      <c r="BM7" s="437">
        <f>IF(VLOOKUP($B7,'NHG''s optical glass 202608'!$C$7:$GO$213,33,FALSE)="","",VLOOKUP($B7,'NHG''s optical glass 202608'!$C$7:$GO$213,33,FALSE))</f>
        <v>0.2856</v>
      </c>
      <c r="BN7" s="437"/>
      <c r="BO7" s="437"/>
      <c r="BP7" s="437">
        <f>IF(VLOOKUP($B7,'NHG''s optical glass 202608'!$C$7:$GO$213,35,FALSE)="","",VLOOKUP($B7,'NHG''s optical glass 202608'!$C$7:$GO$213,35,FALSE))</f>
        <v>0.6195</v>
      </c>
      <c r="BQ7" s="437"/>
      <c r="BR7" s="437"/>
      <c r="BS7" s="437"/>
      <c r="BT7" s="437">
        <f>IF(VLOOKUP($B7,'NHG''s optical glass 202608'!$C$7:$GO$213,36,FALSE)="","",VLOOKUP($B7,'NHG''s optical glass 202608'!$C$7:$GO$213,36,FALSE))</f>
        <v>0.237</v>
      </c>
      <c r="BU7" s="437"/>
      <c r="BV7" s="437"/>
      <c r="BW7" s="437">
        <f>IF(VLOOKUP($B7,'NHG''s optical glass 202608'!$C$7:$GO$213,38,FALSE)="","",VLOOKUP($B7,'NHG''s optical glass 202608'!$C$7:$GO$213,38,FALSE))</f>
        <v>0.5476</v>
      </c>
      <c r="BX7" s="437"/>
      <c r="BY7" s="437">
        <f>IF(VLOOKUP($B7,'NHG''s optical glass 202608'!$C$7:$GO$213,40,FALSE)="","",VLOOKUP($B7,'NHG''s optical glass 202608'!$C$7:$GO$213,40,FALSE))</f>
        <v>0.0154</v>
      </c>
      <c r="BZ7" s="437"/>
      <c r="CA7" s="437"/>
      <c r="CB7" s="437">
        <f>IF(VLOOKUP($B7,'NHG''s optical glass 202608'!$C$7:$GO$213,41,FALSE)="","",VLOOKUP($B7,'NHG''s optical glass 202608'!$C$7:$GO$213,41,FALSE))</f>
        <v>0.0032</v>
      </c>
      <c r="CC7" s="437"/>
      <c r="CD7" s="437"/>
      <c r="CE7" s="437"/>
      <c r="CF7" s="437"/>
      <c r="CG7" s="449">
        <f>IF(VLOOKUP($B7,'NHG''s optical glass 202608'!$C$7:$GO$213,99,FALSE)="","",VLOOKUP($B7,'NHG''s optical glass 202608'!$C$7:$GO$213,99,FALSE))</f>
        <v>0.8</v>
      </c>
      <c r="CH7" s="449"/>
      <c r="CI7" s="449"/>
      <c r="CJ7" s="449">
        <f>IF(VLOOKUP($B7,'NHG''s optical glass 202608'!$C$7:$GO$213,102,FALSE)="","",VLOOKUP($B7,'NHG''s optical glass 202608'!$C$7:$GO$213,102,FALSE))</f>
        <v>1</v>
      </c>
      <c r="CK7" s="449"/>
      <c r="CL7" s="449"/>
      <c r="CM7" s="449"/>
      <c r="CN7" s="449">
        <f>IF(VLOOKUP($B7,'NHG''s optical glass 202608'!$C$7:$GO$213,105,FALSE)="","",VLOOKUP($B7,'NHG''s optical glass 202608'!$C$7:$GO$213,105,FALSE))</f>
        <v>1.3</v>
      </c>
      <c r="CO7" s="449"/>
      <c r="CP7" s="449"/>
      <c r="CQ7" s="449"/>
      <c r="CR7" s="405" t="str">
        <f t="shared" si="0"/>
        <v>H-ZF52N</v>
      </c>
      <c r="CS7" s="233"/>
      <c r="CT7" s="233"/>
      <c r="CU7" s="233"/>
      <c r="CV7" s="233"/>
      <c r="CW7" s="233"/>
    </row>
    <row r="8" s="231" customFormat="1" ht="14.45" customHeight="1" spans="2:101">
      <c r="B8" s="407" t="s">
        <v>853</v>
      </c>
      <c r="C8" s="403">
        <f>IF(VLOOKUP($B8,'NHG''s optical glass 202608'!$C$7:$GO$213,2,FALSE)="","",VLOOKUP($B8,'NHG''s optical glass 202608'!$C$7:$GO$213,2,FALSE))</f>
        <v>847238</v>
      </c>
      <c r="D8" s="404">
        <f>IF(VLOOKUP($B8,'NHG''s optical glass 202608'!$C$7:$GO$213,20,FALSE)="","",VLOOKUP($B8,'NHG''s optical glass 202608'!$C$7:$GO$213,20,FALSE))</f>
        <v>1.84666</v>
      </c>
      <c r="E8" s="404"/>
      <c r="F8" s="404"/>
      <c r="G8" s="455">
        <f>IF(VLOOKUP($B8,'NHG''s optical glass 202608'!$C$7:$GO$213,3,FALSE)="","",VLOOKUP($B8,'NHG''s optical glass 202608'!$C$7:$GO$213,3,FALSE))</f>
        <v>23.78</v>
      </c>
      <c r="H8" s="455"/>
      <c r="I8" s="411">
        <f>IF(VLOOKUP($B8,'NHG''s optical glass 202608'!$C$7:$GO$213,5,FALSE)="","",VLOOKUP($B8,'NHG''s optical glass 202608'!$C$7:$GO$213,5,FALSE))</f>
        <v>0.035608</v>
      </c>
      <c r="J8" s="411"/>
      <c r="K8" s="411"/>
      <c r="L8" s="411"/>
      <c r="M8" s="411"/>
      <c r="N8" s="404">
        <f>IF(VLOOKUP($B8,'NHG''s optical glass 202608'!$C$7:$GO$213,21,FALSE)="","",VLOOKUP($B8,'NHG''s optical glass 202608'!$C$7:$GO$213,21,FALSE))</f>
        <v>1.85504</v>
      </c>
      <c r="O8" s="404"/>
      <c r="P8" s="404"/>
      <c r="Q8" s="404"/>
      <c r="R8" s="455">
        <f>IF(VLOOKUP($B8,'NHG''s optical glass 202608'!$C$7:$GO$213,4,FALSE)="","",VLOOKUP($B8,'NHG''s optical glass 202608'!$C$7:$GO$213,4,FALSE))</f>
        <v>23.59</v>
      </c>
      <c r="S8" s="455"/>
      <c r="T8" s="411">
        <f>IF(VLOOKUP($B8,'NHG''s optical glass 202608'!$C$7:$GO$213,6,FALSE)="","",VLOOKUP($B8,'NHG''s optical glass 202608'!$C$7:$GO$213,6,FALSE))</f>
        <v>0.036247</v>
      </c>
      <c r="U8" s="411"/>
      <c r="V8" s="411"/>
      <c r="W8" s="404">
        <f>IF(VLOOKUP($B8,'NHG''s optical glass 202608'!$C$7:$GO$213,12,FALSE)="","",VLOOKUP($B8,'NHG''s optical glass 202608'!$C$7:$GO$213,12,FALSE))</f>
        <v>1.81304</v>
      </c>
      <c r="X8" s="404"/>
      <c r="Y8" s="404"/>
      <c r="Z8" s="404">
        <f>IF(VLOOKUP($B8,'NHG''s optical glass 202608'!$C$7:$GO$213,13,FALSE)="","",VLOOKUP($B8,'NHG''s optical glass 202608'!$C$7:$GO$213,13,FALSE))</f>
        <v>1.82028</v>
      </c>
      <c r="AA8" s="404"/>
      <c r="AB8" s="404"/>
      <c r="AC8" s="404">
        <f>IF(VLOOKUP($B8,'NHG''s optical glass 202608'!$C$7:$GO$213,14,FALSE)="","",VLOOKUP($B8,'NHG''s optical glass 202608'!$C$7:$GO$213,14,FALSE))</f>
        <v>1.82573</v>
      </c>
      <c r="AD8" s="404"/>
      <c r="AE8" s="404"/>
      <c r="AF8" s="404"/>
      <c r="AG8" s="404">
        <f>IF(VLOOKUP($B8,'NHG''s optical glass 202608'!$C$7:$GO$213,15,FALSE)="","",VLOOKUP($B8,'NHG''s optical glass 202608'!$C$7:$GO$213,15,FALSE))</f>
        <v>1.83101</v>
      </c>
      <c r="AH8" s="404"/>
      <c r="AI8" s="404"/>
      <c r="AJ8" s="404"/>
      <c r="AK8" s="404"/>
      <c r="AL8" s="404">
        <f>IF(VLOOKUP($B8,'NHG''s optical glass 202608'!$C$7:$GO$213,16,FALSE)="","",VLOOKUP($B8,'NHG''s optical glass 202608'!$C$7:$GO$213,16,FALSE))</f>
        <v>1.83649</v>
      </c>
      <c r="AM8" s="404"/>
      <c r="AN8" s="404"/>
      <c r="AO8" s="404">
        <f>IF(VLOOKUP($B8,'NHG''s optical glass 202608'!$C$7:$GO$213,17,FALSE)="","",VLOOKUP($B8,'NHG''s optical glass 202608'!$C$7:$GO$213,17,FALSE))</f>
        <v>1.83807</v>
      </c>
      <c r="AP8" s="404"/>
      <c r="AQ8" s="404"/>
      <c r="AR8" s="404">
        <f>IF(VLOOKUP($B8,'NHG''s optical glass 202608'!$C$7:$GO$213,18,FALSE)="","",VLOOKUP($B8,'NHG''s optical glass 202608'!$C$7:$GO$213,18,FALSE))</f>
        <v>1.83956</v>
      </c>
      <c r="AS8" s="404"/>
      <c r="AT8" s="404"/>
      <c r="AU8" s="233"/>
      <c r="AV8" s="232"/>
      <c r="AW8" s="404">
        <f>IF(VLOOKUP($B8,'NHG''s optical glass 202608'!$C$7:$GO$213,22,FALSE)="","",VLOOKUP($B8,'NHG''s optical glass 202608'!$C$7:$GO$213,22,FALSE))</f>
        <v>1.8721</v>
      </c>
      <c r="AX8" s="404"/>
      <c r="AY8" s="404"/>
      <c r="AZ8" s="404"/>
      <c r="BA8" s="404">
        <f>IF(VLOOKUP($B8,'NHG''s optical glass 202608'!$C$7:$GO$213,23,FALSE)="","",VLOOKUP($B8,'NHG''s optical glass 202608'!$C$7:$GO$213,23,FALSE))</f>
        <v>1.87431</v>
      </c>
      <c r="BB8" s="404"/>
      <c r="BC8" s="404"/>
      <c r="BD8" s="404">
        <f>IF(VLOOKUP($B8,'NHG''s optical glass 202608'!$C$7:$GO$213,24,FALSE)="","",VLOOKUP($B8,'NHG''s optical glass 202608'!$C$7:$GO$213,24,FALSE))</f>
        <v>1.89416</v>
      </c>
      <c r="BE8" s="404"/>
      <c r="BF8" s="404"/>
      <c r="BG8" s="404">
        <f>IF(VLOOKUP($B8,'NHG''s optical glass 202608'!$C$7:$GO$213,25,FALSE)="","",VLOOKUP($B8,'NHG''s optical glass 202608'!$C$7:$GO$213,25,FALSE))</f>
        <v>1.91418</v>
      </c>
      <c r="BH8" s="404"/>
      <c r="BI8" s="404"/>
      <c r="BJ8" s="404">
        <f>IF(VLOOKUP($B8,'NHG''s optical glass 202608'!$C$7:$GO$213,26,FALSE)="","",VLOOKUP($B8,'NHG''s optical glass 202608'!$C$7:$GO$213,26,FALSE))</f>
        <v>1.95237</v>
      </c>
      <c r="BK8" s="404"/>
      <c r="BL8" s="404"/>
      <c r="BM8" s="438">
        <f>IF(VLOOKUP($B8,'NHG''s optical glass 202608'!$C$7:$GO$213,33,FALSE)="","",VLOOKUP($B8,'NHG''s optical glass 202608'!$C$7:$GO$213,33,FALSE))</f>
        <v>0.2856</v>
      </c>
      <c r="BN8" s="438"/>
      <c r="BO8" s="438"/>
      <c r="BP8" s="438">
        <f>IF(VLOOKUP($B8,'NHG''s optical glass 202608'!$C$7:$GO$213,35,FALSE)="","",VLOOKUP($B8,'NHG''s optical glass 202608'!$C$7:$GO$213,35,FALSE))</f>
        <v>0.6195</v>
      </c>
      <c r="BQ8" s="438"/>
      <c r="BR8" s="438"/>
      <c r="BS8" s="438"/>
      <c r="BT8" s="438">
        <f>IF(VLOOKUP($B8,'NHG''s optical glass 202608'!$C$7:$GO$213,36,FALSE)="","",VLOOKUP($B8,'NHG''s optical glass 202608'!$C$7:$GO$213,36,FALSE))</f>
        <v>0.237</v>
      </c>
      <c r="BU8" s="438"/>
      <c r="BV8" s="438"/>
      <c r="BW8" s="438">
        <f>IF(VLOOKUP($B8,'NHG''s optical glass 202608'!$C$7:$GO$213,38,FALSE)="","",VLOOKUP($B8,'NHG''s optical glass 202608'!$C$7:$GO$213,38,FALSE))</f>
        <v>0.5476</v>
      </c>
      <c r="BX8" s="438"/>
      <c r="BY8" s="438">
        <f>IF(VLOOKUP($B8,'NHG''s optical glass 202608'!$C$7:$GO$213,40,FALSE)="","",VLOOKUP($B8,'NHG''s optical glass 202608'!$C$7:$GO$213,40,FALSE))</f>
        <v>0.0154</v>
      </c>
      <c r="BZ8" s="438"/>
      <c r="CA8" s="438"/>
      <c r="CB8" s="438">
        <f>IF(VLOOKUP($B8,'NHG''s optical glass 202608'!$C$7:$GO$213,41,FALSE)="","",VLOOKUP($B8,'NHG''s optical glass 202608'!$C$7:$GO$213,41,FALSE))</f>
        <v>0.0032</v>
      </c>
      <c r="CC8" s="438"/>
      <c r="CD8" s="438"/>
      <c r="CE8" s="438"/>
      <c r="CF8" s="438"/>
      <c r="CG8" s="448">
        <f>IF(VLOOKUP($B8,'NHG''s optical glass 202608'!$C$7:$GO$213,99,FALSE)="","",VLOOKUP($B8,'NHG''s optical glass 202608'!$C$7:$GO$213,99,FALSE))</f>
        <v>0.8</v>
      </c>
      <c r="CH8" s="448"/>
      <c r="CI8" s="448"/>
      <c r="CJ8" s="448">
        <f>IF(VLOOKUP($B8,'NHG''s optical glass 202608'!$C$7:$GO$213,102,FALSE)="","",VLOOKUP($B8,'NHG''s optical glass 202608'!$C$7:$GO$213,102,FALSE))</f>
        <v>1</v>
      </c>
      <c r="CK8" s="448"/>
      <c r="CL8" s="448"/>
      <c r="CM8" s="448"/>
      <c r="CN8" s="448">
        <f>IF(VLOOKUP($B8,'NHG''s optical glass 202608'!$C$7:$GO$213,105,FALSE)="","",VLOOKUP($B8,'NHG''s optical glass 202608'!$C$7:$GO$213,105,FALSE))</f>
        <v>1.3</v>
      </c>
      <c r="CO8" s="448"/>
      <c r="CP8" s="448"/>
      <c r="CQ8" s="448"/>
      <c r="CR8" s="407" t="str">
        <f t="shared" si="0"/>
        <v>H-ZF52NGT</v>
      </c>
      <c r="CS8" s="233"/>
      <c r="CT8" s="233"/>
      <c r="CU8" s="233"/>
      <c r="CV8" s="233"/>
      <c r="CW8" s="233"/>
    </row>
    <row r="9" s="231" customFormat="1" ht="14.45" customHeight="1" spans="2:101">
      <c r="B9" s="405" t="s">
        <v>861</v>
      </c>
      <c r="C9" s="234">
        <f>IF(VLOOKUP($B9,'NHG''s optical glass 202608'!$C$7:$GO$213,2,FALSE)="","",VLOOKUP($B9,'NHG''s optical glass 202608'!$C$7:$GO$213,2,FALSE))</f>
        <v>855248</v>
      </c>
      <c r="D9" s="406">
        <f>IF(VLOOKUP($B9,'NHG''s optical glass 202608'!$C$7:$GO$213,20,FALSE)="","",VLOOKUP($B9,'NHG''s optical glass 202608'!$C$7:$GO$213,20,FALSE))</f>
        <v>1.85478</v>
      </c>
      <c r="E9" s="406"/>
      <c r="F9" s="406"/>
      <c r="G9" s="456">
        <f>IF(VLOOKUP($B9,'NHG''s optical glass 202608'!$C$7:$GO$213,3,FALSE)="","",VLOOKUP($B9,'NHG''s optical glass 202608'!$C$7:$GO$213,3,FALSE))</f>
        <v>24.8</v>
      </c>
      <c r="H9" s="456"/>
      <c r="I9" s="412">
        <f>IF(VLOOKUP($B9,'NHG''s optical glass 202608'!$C$7:$GO$213,5,FALSE)="","",VLOOKUP($B9,'NHG''s optical glass 202608'!$C$7:$GO$213,5,FALSE))</f>
        <v>0.034469</v>
      </c>
      <c r="J9" s="412"/>
      <c r="K9" s="412"/>
      <c r="L9" s="412"/>
      <c r="M9" s="412"/>
      <c r="N9" s="406">
        <f>IF(VLOOKUP($B9,'NHG''s optical glass 202608'!$C$7:$GO$213,21,FALSE)="","",VLOOKUP($B9,'NHG''s optical glass 202608'!$C$7:$GO$213,21,FALSE))</f>
        <v>1.8629</v>
      </c>
      <c r="O9" s="406"/>
      <c r="P9" s="406"/>
      <c r="Q9" s="406"/>
      <c r="R9" s="456">
        <f>IF(VLOOKUP($B9,'NHG''s optical glass 202608'!$C$7:$GO$213,4,FALSE)="","",VLOOKUP($B9,'NHG''s optical glass 202608'!$C$7:$GO$213,4,FALSE))</f>
        <v>24.61</v>
      </c>
      <c r="S9" s="456"/>
      <c r="T9" s="412">
        <f>IF(VLOOKUP($B9,'NHG''s optical glass 202608'!$C$7:$GO$213,6,FALSE)="","",VLOOKUP($B9,'NHG''s optical glass 202608'!$C$7:$GO$213,6,FALSE))</f>
        <v>0.035057</v>
      </c>
      <c r="U9" s="412"/>
      <c r="V9" s="412"/>
      <c r="W9" s="406">
        <f>IF(VLOOKUP($B9,'NHG''s optical glass 202608'!$C$7:$GO$213,12,FALSE)="","",VLOOKUP($B9,'NHG''s optical glass 202608'!$C$7:$GO$213,12,FALSE))</f>
        <v>1.82165</v>
      </c>
      <c r="X9" s="406"/>
      <c r="Y9" s="406"/>
      <c r="Z9" s="406">
        <f>IF(VLOOKUP($B9,'NHG''s optical glass 202608'!$C$7:$GO$213,13,FALSE)="","",VLOOKUP($B9,'NHG''s optical glass 202608'!$C$7:$GO$213,13,FALSE))</f>
        <v>1.82888</v>
      </c>
      <c r="AA9" s="406"/>
      <c r="AB9" s="406"/>
      <c r="AC9" s="406">
        <f>IF(VLOOKUP($B9,'NHG''s optical glass 202608'!$C$7:$GO$213,14,FALSE)="","",VLOOKUP($B9,'NHG''s optical glass 202608'!$C$7:$GO$213,14,FALSE))</f>
        <v>1.83428</v>
      </c>
      <c r="AD9" s="406"/>
      <c r="AE9" s="406"/>
      <c r="AF9" s="406"/>
      <c r="AG9" s="406">
        <f>IF(VLOOKUP($B9,'NHG''s optical glass 202608'!$C$7:$GO$213,15,FALSE)="","",VLOOKUP($B9,'NHG''s optical glass 202608'!$C$7:$GO$213,15,FALSE))</f>
        <v>1.83948</v>
      </c>
      <c r="AH9" s="406"/>
      <c r="AI9" s="406"/>
      <c r="AJ9" s="406"/>
      <c r="AK9" s="406"/>
      <c r="AL9" s="406">
        <f>IF(VLOOKUP($B9,'NHG''s optical glass 202608'!$C$7:$GO$213,16,FALSE)="","",VLOOKUP($B9,'NHG''s optical glass 202608'!$C$7:$GO$213,16,FALSE))</f>
        <v>1.84488</v>
      </c>
      <c r="AM9" s="406"/>
      <c r="AN9" s="406"/>
      <c r="AO9" s="406">
        <f>IF(VLOOKUP($B9,'NHG''s optical glass 202608'!$C$7:$GO$213,17,FALSE)="","",VLOOKUP($B9,'NHG''s optical glass 202608'!$C$7:$GO$213,17,FALSE))</f>
        <v>1.84642</v>
      </c>
      <c r="AP9" s="406"/>
      <c r="AQ9" s="406"/>
      <c r="AR9" s="406">
        <f>IF(VLOOKUP($B9,'NHG''s optical glass 202608'!$C$7:$GO$213,18,FALSE)="","",VLOOKUP($B9,'NHG''s optical glass 202608'!$C$7:$GO$213,18,FALSE))</f>
        <v>1.84787</v>
      </c>
      <c r="AS9" s="406"/>
      <c r="AT9" s="406"/>
      <c r="AU9" s="233"/>
      <c r="AV9" s="232"/>
      <c r="AW9" s="406">
        <f>IF(VLOOKUP($B9,'NHG''s optical glass 202608'!$C$7:$GO$213,22,FALSE)="","",VLOOKUP($B9,'NHG''s optical glass 202608'!$C$7:$GO$213,22,FALSE))</f>
        <v>1.87935</v>
      </c>
      <c r="AX9" s="406"/>
      <c r="AY9" s="406"/>
      <c r="AZ9" s="406"/>
      <c r="BA9" s="406">
        <f>IF(VLOOKUP($B9,'NHG''s optical glass 202608'!$C$7:$GO$213,23,FALSE)="","",VLOOKUP($B9,'NHG''s optical glass 202608'!$C$7:$GO$213,23,FALSE))</f>
        <v>1.88147</v>
      </c>
      <c r="BB9" s="406"/>
      <c r="BC9" s="406"/>
      <c r="BD9" s="406">
        <f>IF(VLOOKUP($B9,'NHG''s optical glass 202608'!$C$7:$GO$213,24,FALSE)="","",VLOOKUP($B9,'NHG''s optical glass 202608'!$C$7:$GO$213,24,FALSE))</f>
        <v>1.90044</v>
      </c>
      <c r="BE9" s="406"/>
      <c r="BF9" s="406"/>
      <c r="BG9" s="406">
        <f>IF(VLOOKUP($B9,'NHG''s optical glass 202608'!$C$7:$GO$213,25,FALSE)="","",VLOOKUP($B9,'NHG''s optical glass 202608'!$C$7:$GO$213,25,FALSE))</f>
        <v>1.91945</v>
      </c>
      <c r="BH9" s="406"/>
      <c r="BI9" s="406"/>
      <c r="BJ9" s="406">
        <f>IF(VLOOKUP($B9,'NHG''s optical glass 202608'!$C$7:$GO$213,26,FALSE)="","",VLOOKUP($B9,'NHG''s optical glass 202608'!$C$7:$GO$213,26,FALSE))</f>
        <v>1.95583</v>
      </c>
      <c r="BK9" s="406"/>
      <c r="BL9" s="406"/>
      <c r="BM9" s="437">
        <f>IF(VLOOKUP($B9,'NHG''s optical glass 202608'!$C$7:$GO$213,33,FALSE)="","",VLOOKUP($B9,'NHG''s optical glass 202608'!$C$7:$GO$213,33,FALSE))</f>
        <v>0.2872</v>
      </c>
      <c r="BN9" s="437"/>
      <c r="BO9" s="437"/>
      <c r="BP9" s="437">
        <f>IF(VLOOKUP($B9,'NHG''s optical glass 202608'!$C$7:$GO$213,35,FALSE)="","",VLOOKUP($B9,'NHG''s optical glass 202608'!$C$7:$GO$213,35,FALSE))</f>
        <v>0.6119</v>
      </c>
      <c r="BQ9" s="437"/>
      <c r="BR9" s="437"/>
      <c r="BS9" s="437"/>
      <c r="BT9" s="437">
        <f>IF(VLOOKUP($B9,'NHG''s optical glass 202608'!$C$7:$GO$213,36,FALSE)="","",VLOOKUP($B9,'NHG''s optical glass 202608'!$C$7:$GO$213,36,FALSE))</f>
        <v>0.2385</v>
      </c>
      <c r="BU9" s="437"/>
      <c r="BV9" s="437"/>
      <c r="BW9" s="437">
        <f>IF(VLOOKUP($B9,'NHG''s optical glass 202608'!$C$7:$GO$213,38,FALSE)="","",VLOOKUP($B9,'NHG''s optical glass 202608'!$C$7:$GO$213,38,FALSE))</f>
        <v>0.5411</v>
      </c>
      <c r="BX9" s="437"/>
      <c r="BY9" s="437">
        <f>IF(VLOOKUP($B9,'NHG''s optical glass 202608'!$C$7:$GO$213,40,FALSE)="","",VLOOKUP($B9,'NHG''s optical glass 202608'!$C$7:$GO$213,40,FALSE))</f>
        <v>0.0094</v>
      </c>
      <c r="BZ9" s="437"/>
      <c r="CA9" s="437"/>
      <c r="CB9" s="437">
        <f>IF(VLOOKUP($B9,'NHG''s optical glass 202608'!$C$7:$GO$213,41,FALSE)="","",VLOOKUP($B9,'NHG''s optical glass 202608'!$C$7:$GO$213,41,FALSE))</f>
        <v>0.0137</v>
      </c>
      <c r="CC9" s="437"/>
      <c r="CD9" s="437"/>
      <c r="CE9" s="437"/>
      <c r="CF9" s="437"/>
      <c r="CG9" s="449">
        <f>IF(VLOOKUP($B9,'NHG''s optical glass 202608'!$C$7:$GO$213,99,FALSE)="","",VLOOKUP($B9,'NHG''s optical glass 202608'!$C$7:$GO$213,99,FALSE))</f>
        <v>2.1</v>
      </c>
      <c r="CH9" s="449"/>
      <c r="CI9" s="449"/>
      <c r="CJ9" s="449">
        <f>IF(VLOOKUP($B9,'NHG''s optical glass 202608'!$C$7:$GO$213,102,FALSE)="","",VLOOKUP($B9,'NHG''s optical glass 202608'!$C$7:$GO$213,102,FALSE))</f>
        <v>2.9</v>
      </c>
      <c r="CK9" s="449"/>
      <c r="CL9" s="449"/>
      <c r="CM9" s="449"/>
      <c r="CN9" s="449">
        <f>IF(VLOOKUP($B9,'NHG''s optical glass 202608'!$C$7:$GO$213,105,FALSE)="","",VLOOKUP($B9,'NHG''s optical glass 202608'!$C$7:$GO$213,105,FALSE))</f>
        <v>3.7</v>
      </c>
      <c r="CO9" s="449"/>
      <c r="CP9" s="449"/>
      <c r="CQ9" s="449"/>
      <c r="CR9" s="405" t="str">
        <f t="shared" si="0"/>
        <v>H-ZF56</v>
      </c>
      <c r="CS9" s="233"/>
      <c r="CT9" s="233"/>
      <c r="CU9" s="233"/>
      <c r="CV9" s="233"/>
      <c r="CW9" s="233"/>
    </row>
    <row r="10" s="232" customFormat="1" ht="14.45" customHeight="1" spans="2:101">
      <c r="B10" s="407" t="s">
        <v>867</v>
      </c>
      <c r="C10" s="403">
        <f>IF(VLOOKUP($B10,'NHG''s optical glass 202608'!$C$7:$GO$213,2,FALSE)="","",VLOOKUP($B10,'NHG''s optical glass 202608'!$C$7:$GO$213,2,FALSE))</f>
        <v>923209</v>
      </c>
      <c r="D10" s="404">
        <f>IF(VLOOKUP($B10,'NHG''s optical glass 202608'!$C$7:$GO$213,20,FALSE)="","",VLOOKUP($B10,'NHG''s optical glass 202608'!$C$7:$GO$213,20,FALSE))</f>
        <v>1.92286</v>
      </c>
      <c r="E10" s="404"/>
      <c r="F10" s="404"/>
      <c r="G10" s="455">
        <f>IF(VLOOKUP($B10,'NHG''s optical glass 202608'!$C$7:$GO$213,3,FALSE)="","",VLOOKUP($B10,'NHG''s optical glass 202608'!$C$7:$GO$213,3,FALSE))</f>
        <v>20.88</v>
      </c>
      <c r="H10" s="455"/>
      <c r="I10" s="411">
        <f>IF(VLOOKUP($B10,'NHG''s optical glass 202608'!$C$7:$GO$213,5,FALSE)="","",VLOOKUP($B10,'NHG''s optical glass 202608'!$C$7:$GO$213,5,FALSE))</f>
        <v>0.044198</v>
      </c>
      <c r="J10" s="411"/>
      <c r="K10" s="411"/>
      <c r="L10" s="411"/>
      <c r="M10" s="411"/>
      <c r="N10" s="404">
        <f>IF(VLOOKUP($B10,'NHG''s optical glass 202608'!$C$7:$GO$213,21,FALSE)="","",VLOOKUP($B10,'NHG''s optical glass 202608'!$C$7:$GO$213,21,FALSE))</f>
        <v>1.93323</v>
      </c>
      <c r="O10" s="404"/>
      <c r="P10" s="404"/>
      <c r="Q10" s="404"/>
      <c r="R10" s="455">
        <f>IF(VLOOKUP($B10,'NHG''s optical glass 202608'!$C$7:$GO$213,4,FALSE)="","",VLOOKUP($B10,'NHG''s optical glass 202608'!$C$7:$GO$213,4,FALSE))</f>
        <v>20.71</v>
      </c>
      <c r="S10" s="455"/>
      <c r="T10" s="411">
        <f>IF(VLOOKUP($B10,'NHG''s optical glass 202608'!$C$7:$GO$213,6,FALSE)="","",VLOOKUP($B10,'NHG''s optical glass 202608'!$C$7:$GO$213,6,FALSE))</f>
        <v>0.045071</v>
      </c>
      <c r="U10" s="411"/>
      <c r="V10" s="411"/>
      <c r="W10" s="404">
        <f>IF(VLOOKUP($B10,'NHG''s optical glass 202608'!$C$7:$GO$213,12,FALSE)="","",VLOOKUP($B10,'NHG''s optical glass 202608'!$C$7:$GO$213,12,FALSE))</f>
        <v>1.88181</v>
      </c>
      <c r="X10" s="404"/>
      <c r="Y10" s="404"/>
      <c r="Z10" s="404">
        <f>IF(VLOOKUP($B10,'NHG''s optical glass 202608'!$C$7:$GO$213,13,FALSE)="","",VLOOKUP($B10,'NHG''s optical glass 202608'!$C$7:$GO$213,13,FALSE))</f>
        <v>1.89061</v>
      </c>
      <c r="AA10" s="404"/>
      <c r="AB10" s="404"/>
      <c r="AC10" s="404">
        <f>IF(VLOOKUP($B10,'NHG''s optical glass 202608'!$C$7:$GO$213,14,FALSE)="","",VLOOKUP($B10,'NHG''s optical glass 202608'!$C$7:$GO$213,14,FALSE))</f>
        <v>1.89723</v>
      </c>
      <c r="AD10" s="404"/>
      <c r="AE10" s="404"/>
      <c r="AF10" s="404"/>
      <c r="AG10" s="404">
        <f>IF(VLOOKUP($B10,'NHG''s optical glass 202608'!$C$7:$GO$213,15,FALSE)="","",VLOOKUP($B10,'NHG''s optical glass 202608'!$C$7:$GO$213,15,FALSE))</f>
        <v>1.90366</v>
      </c>
      <c r="AH10" s="404"/>
      <c r="AI10" s="404"/>
      <c r="AJ10" s="404"/>
      <c r="AK10" s="404"/>
      <c r="AL10" s="404">
        <f>IF(VLOOKUP($B10,'NHG''s optical glass 202608'!$C$7:$GO$213,16,FALSE)="","",VLOOKUP($B10,'NHG''s optical glass 202608'!$C$7:$GO$213,16,FALSE))</f>
        <v>1.91038</v>
      </c>
      <c r="AM10" s="404"/>
      <c r="AN10" s="404"/>
      <c r="AO10" s="404">
        <f>IF(VLOOKUP($B10,'NHG''s optical glass 202608'!$C$7:$GO$213,17,FALSE)="","",VLOOKUP($B10,'NHG''s optical glass 202608'!$C$7:$GO$213,17,FALSE))</f>
        <v>1.91231</v>
      </c>
      <c r="AP10" s="404"/>
      <c r="AQ10" s="404"/>
      <c r="AR10" s="404">
        <f>IF(VLOOKUP($B10,'NHG''s optical glass 202608'!$C$7:$GO$213,18,FALSE)="","",VLOOKUP($B10,'NHG''s optical glass 202608'!$C$7:$GO$213,18,FALSE))</f>
        <v>1.91413</v>
      </c>
      <c r="AS10" s="404"/>
      <c r="AT10" s="404"/>
      <c r="AU10" s="233"/>
      <c r="AW10" s="404">
        <f>IF(VLOOKUP($B10,'NHG''s optical glass 202608'!$C$7:$GO$213,22,FALSE)="","",VLOOKUP($B10,'NHG''s optical glass 202608'!$C$7:$GO$213,22,FALSE))</f>
        <v>1.95457</v>
      </c>
      <c r="AX10" s="404"/>
      <c r="AY10" s="404"/>
      <c r="AZ10" s="404"/>
      <c r="BA10" s="404">
        <f>IF(VLOOKUP($B10,'NHG''s optical glass 202608'!$C$7:$GO$213,23,FALSE)="","",VLOOKUP($B10,'NHG''s optical glass 202608'!$C$7:$GO$213,23,FALSE))</f>
        <v>1.95738</v>
      </c>
      <c r="BB10" s="404"/>
      <c r="BC10" s="404"/>
      <c r="BD10" s="404">
        <f>IF(VLOOKUP($B10,'NHG''s optical glass 202608'!$C$7:$GO$213,24,FALSE)="","",VLOOKUP($B10,'NHG''s optical glass 202608'!$C$7:$GO$213,24,FALSE))</f>
        <v>1.98274</v>
      </c>
      <c r="BE10" s="404"/>
      <c r="BF10" s="404"/>
      <c r="BG10" s="404">
        <f>IF(VLOOKUP($B10,'NHG''s optical glass 202608'!$C$7:$GO$213,25,FALSE)="","",VLOOKUP($B10,'NHG''s optical glass 202608'!$C$7:$GO$213,25,FALSE))</f>
        <v>2.00892</v>
      </c>
      <c r="BH10" s="404"/>
      <c r="BI10" s="404"/>
      <c r="BJ10" s="404" t="str">
        <f>IF(VLOOKUP($B10,'NHG''s optical glass 202608'!$C$7:$GO$213,26,FALSE)="","",VLOOKUP($B10,'NHG''s optical glass 202608'!$C$7:$GO$213,26,FALSE))</f>
        <v/>
      </c>
      <c r="BK10" s="404"/>
      <c r="BL10" s="404"/>
      <c r="BM10" s="438">
        <f>IF(VLOOKUP($B10,'NHG''s optical glass 202608'!$C$7:$GO$213,33,FALSE)="","",VLOOKUP($B10,'NHG''s optical glass 202608'!$C$7:$GO$213,33,FALSE))</f>
        <v>0.2824</v>
      </c>
      <c r="BN10" s="438"/>
      <c r="BO10" s="438"/>
      <c r="BP10" s="438">
        <f>IF(VLOOKUP($B10,'NHG''s optical glass 202608'!$C$7:$GO$213,35,FALSE)="","",VLOOKUP($B10,'NHG''s optical glass 202608'!$C$7:$GO$213,35,FALSE))</f>
        <v>0.6374</v>
      </c>
      <c r="BQ10" s="438"/>
      <c r="BR10" s="438"/>
      <c r="BS10" s="438"/>
      <c r="BT10" s="438">
        <f>IF(VLOOKUP($B10,'NHG''s optical glass 202608'!$C$7:$GO$213,36,FALSE)="","",VLOOKUP($B10,'NHG''s optical glass 202608'!$C$7:$GO$213,36,FALSE))</f>
        <v>0.2341</v>
      </c>
      <c r="BU10" s="438"/>
      <c r="BV10" s="438"/>
      <c r="BW10" s="438">
        <f>IF(VLOOKUP($B10,'NHG''s optical glass 202608'!$C$7:$GO$213,38,FALSE)="","",VLOOKUP($B10,'NHG''s optical glass 202608'!$C$7:$GO$213,38,FALSE))</f>
        <v>0.5627</v>
      </c>
      <c r="BX10" s="438"/>
      <c r="BY10" s="438">
        <f>IF(VLOOKUP($B10,'NHG''s optical glass 202608'!$C$7:$GO$213,40,FALSE)="","",VLOOKUP($B10,'NHG''s optical glass 202608'!$C$7:$GO$213,40,FALSE))</f>
        <v>0.0284</v>
      </c>
      <c r="BZ10" s="438"/>
      <c r="CA10" s="438"/>
      <c r="CB10" s="438">
        <f>IF(VLOOKUP($B10,'NHG''s optical glass 202608'!$C$7:$GO$213,41,FALSE)="","",VLOOKUP($B10,'NHG''s optical glass 202608'!$C$7:$GO$213,41,FALSE))</f>
        <v>0.0051</v>
      </c>
      <c r="CC10" s="438"/>
      <c r="CD10" s="438"/>
      <c r="CE10" s="468"/>
      <c r="CF10" s="468"/>
      <c r="CG10" s="450">
        <f>IF(VLOOKUP($B10,'NHG''s optical glass 202608'!$C$7:$GO$213,99,FALSE)="","",VLOOKUP($B10,'NHG''s optical glass 202608'!$C$7:$GO$213,99,FALSE))</f>
        <v>1.5</v>
      </c>
      <c r="CH10" s="448"/>
      <c r="CI10" s="448"/>
      <c r="CJ10" s="448">
        <f>IF(VLOOKUP($B10,'NHG''s optical glass 202608'!$C$7:$GO$213,102,FALSE)="","",VLOOKUP($B10,'NHG''s optical glass 202608'!$C$7:$GO$213,102,FALSE))</f>
        <v>1.9</v>
      </c>
      <c r="CK10" s="448"/>
      <c r="CL10" s="448"/>
      <c r="CM10" s="448"/>
      <c r="CN10" s="448">
        <f>IF(VLOOKUP($B10,'NHG''s optical glass 202608'!$C$7:$GO$213,105,FALSE)="","",VLOOKUP($B10,'NHG''s optical glass 202608'!$C$7:$GO$213,105,FALSE))</f>
        <v>3</v>
      </c>
      <c r="CO10" s="448"/>
      <c r="CP10" s="448"/>
      <c r="CQ10" s="448"/>
      <c r="CR10" s="407" t="str">
        <f t="shared" si="0"/>
        <v>H-ZF62</v>
      </c>
      <c r="CS10" s="233"/>
      <c r="CT10" s="233"/>
      <c r="CU10" s="233"/>
      <c r="CV10" s="233"/>
      <c r="CW10" s="233"/>
    </row>
    <row r="11" s="1" customFormat="1" ht="14.45" customHeight="1" spans="2:96">
      <c r="B11" s="399" t="s">
        <v>1649</v>
      </c>
      <c r="C11" s="399" t="s">
        <v>1650</v>
      </c>
      <c r="D11" s="399" t="s">
        <v>1681</v>
      </c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 t="s">
        <v>1682</v>
      </c>
      <c r="AO11" s="399"/>
      <c r="AP11" s="399"/>
      <c r="AQ11" s="399"/>
      <c r="AR11" s="399" t="s">
        <v>1683</v>
      </c>
      <c r="AS11" s="399"/>
      <c r="AT11" s="399"/>
      <c r="AV11" s="2"/>
      <c r="AW11" s="399" t="s">
        <v>1684</v>
      </c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99" t="s">
        <v>1685</v>
      </c>
      <c r="BI11" s="399"/>
      <c r="BJ11" s="399"/>
      <c r="BK11" s="399"/>
      <c r="BL11" s="399"/>
      <c r="BM11" s="399"/>
      <c r="BN11" s="408" t="s">
        <v>1686</v>
      </c>
      <c r="BO11" s="399"/>
      <c r="BP11" s="399"/>
      <c r="BQ11" s="399"/>
      <c r="BR11" s="408" t="s">
        <v>1687</v>
      </c>
      <c r="BS11" s="399"/>
      <c r="BT11" s="399"/>
      <c r="BU11" s="408" t="s">
        <v>1688</v>
      </c>
      <c r="BV11" s="408"/>
      <c r="BW11" s="408"/>
      <c r="BX11" s="408"/>
      <c r="BY11" s="408"/>
      <c r="BZ11" s="408"/>
      <c r="CA11" s="460" t="s">
        <v>1689</v>
      </c>
      <c r="CB11" s="461"/>
      <c r="CC11" s="461"/>
      <c r="CD11" s="469"/>
      <c r="CE11" s="460" t="s">
        <v>1690</v>
      </c>
      <c r="CF11" s="461"/>
      <c r="CG11" s="461"/>
      <c r="CH11" s="470" t="s">
        <v>1691</v>
      </c>
      <c r="CI11" s="471"/>
      <c r="CJ11" s="408" t="s">
        <v>1692</v>
      </c>
      <c r="CK11" s="408"/>
      <c r="CL11" s="408"/>
      <c r="CM11" s="408" t="s">
        <v>1693</v>
      </c>
      <c r="CN11" s="408"/>
      <c r="CO11" s="408"/>
      <c r="CP11" s="408" t="s">
        <v>1694</v>
      </c>
      <c r="CQ11" s="408"/>
      <c r="CR11" s="399" t="s">
        <v>1649</v>
      </c>
    </row>
    <row r="12" ht="14.45" customHeight="1" spans="2:96">
      <c r="B12" s="399"/>
      <c r="C12" s="399"/>
      <c r="D12" s="408">
        <v>2400</v>
      </c>
      <c r="E12" s="408"/>
      <c r="F12" s="408">
        <v>1600</v>
      </c>
      <c r="G12" s="408"/>
      <c r="H12" s="408">
        <v>950</v>
      </c>
      <c r="I12" s="408"/>
      <c r="J12" s="408"/>
      <c r="K12" s="408"/>
      <c r="L12" s="408"/>
      <c r="M12" s="408">
        <v>850</v>
      </c>
      <c r="N12" s="408"/>
      <c r="O12" s="408"/>
      <c r="P12" s="413">
        <v>700</v>
      </c>
      <c r="Q12" s="413"/>
      <c r="R12" s="413"/>
      <c r="S12" s="408">
        <v>500</v>
      </c>
      <c r="T12" s="408"/>
      <c r="U12" s="408">
        <v>460</v>
      </c>
      <c r="V12" s="408"/>
      <c r="W12" s="408">
        <v>440</v>
      </c>
      <c r="X12" s="408"/>
      <c r="Y12" s="408">
        <v>420</v>
      </c>
      <c r="Z12" s="408"/>
      <c r="AA12" s="408"/>
      <c r="AB12" s="408">
        <v>400</v>
      </c>
      <c r="AC12" s="408"/>
      <c r="AD12" s="408">
        <v>380</v>
      </c>
      <c r="AE12" s="408"/>
      <c r="AF12" s="408"/>
      <c r="AG12" s="408">
        <v>370</v>
      </c>
      <c r="AH12" s="408"/>
      <c r="AI12" s="408"/>
      <c r="AJ12" s="408"/>
      <c r="AK12" s="408">
        <v>360</v>
      </c>
      <c r="AL12" s="408"/>
      <c r="AM12" s="408"/>
      <c r="AN12" s="417" t="s">
        <v>1695</v>
      </c>
      <c r="AO12" s="421"/>
      <c r="AP12" s="421"/>
      <c r="AQ12" s="422"/>
      <c r="AR12" s="408" t="s">
        <v>1696</v>
      </c>
      <c r="AS12" s="408"/>
      <c r="AT12" s="408"/>
      <c r="AV12" s="423"/>
      <c r="AW12" s="430" t="s">
        <v>1697</v>
      </c>
      <c r="AX12" s="430"/>
      <c r="AY12" s="430"/>
      <c r="AZ12" s="430" t="s">
        <v>1698</v>
      </c>
      <c r="BA12" s="430"/>
      <c r="BB12" s="430" t="s">
        <v>1699</v>
      </c>
      <c r="BC12" s="430"/>
      <c r="BD12" s="430"/>
      <c r="BE12" s="430" t="s">
        <v>1700</v>
      </c>
      <c r="BF12" s="430"/>
      <c r="BG12" s="430"/>
      <c r="BH12" s="430" t="s">
        <v>1701</v>
      </c>
      <c r="BI12" s="430"/>
      <c r="BJ12" s="430"/>
      <c r="BK12" s="430"/>
      <c r="BL12" s="430" t="s">
        <v>1702</v>
      </c>
      <c r="BM12" s="430"/>
      <c r="BN12" s="399"/>
      <c r="BO12" s="399"/>
      <c r="BP12" s="399"/>
      <c r="BQ12" s="399"/>
      <c r="BR12" s="399"/>
      <c r="BS12" s="399"/>
      <c r="BT12" s="399"/>
      <c r="BU12" s="408"/>
      <c r="BV12" s="408"/>
      <c r="BW12" s="408"/>
      <c r="BX12" s="408"/>
      <c r="BY12" s="408"/>
      <c r="BZ12" s="408"/>
      <c r="CA12" s="462"/>
      <c r="CB12" s="463"/>
      <c r="CC12" s="463"/>
      <c r="CD12" s="472"/>
      <c r="CE12" s="462"/>
      <c r="CF12" s="463"/>
      <c r="CG12" s="463"/>
      <c r="CH12" s="473"/>
      <c r="CI12" s="474"/>
      <c r="CJ12" s="408"/>
      <c r="CK12" s="408"/>
      <c r="CL12" s="408"/>
      <c r="CM12" s="408"/>
      <c r="CN12" s="408"/>
      <c r="CO12" s="408"/>
      <c r="CP12" s="408"/>
      <c r="CQ12" s="408"/>
      <c r="CR12" s="399"/>
    </row>
    <row r="13" s="398" customFormat="1" ht="14.45" customHeight="1" spans="2:101">
      <c r="B13" s="399"/>
      <c r="C13" s="399"/>
      <c r="D13" s="408" t="s">
        <v>1703</v>
      </c>
      <c r="E13" s="408"/>
      <c r="F13" s="408" t="s">
        <v>1703</v>
      </c>
      <c r="G13" s="408"/>
      <c r="H13" s="408" t="s">
        <v>1703</v>
      </c>
      <c r="I13" s="408"/>
      <c r="J13" s="408"/>
      <c r="K13" s="408"/>
      <c r="L13" s="408"/>
      <c r="M13" s="408" t="s">
        <v>1703</v>
      </c>
      <c r="N13" s="408"/>
      <c r="O13" s="408"/>
      <c r="P13" s="413" t="s">
        <v>1703</v>
      </c>
      <c r="Q13" s="413"/>
      <c r="R13" s="413"/>
      <c r="S13" s="408" t="s">
        <v>1703</v>
      </c>
      <c r="T13" s="408"/>
      <c r="U13" s="408" t="s">
        <v>1703</v>
      </c>
      <c r="V13" s="408"/>
      <c r="W13" s="408" t="s">
        <v>1703</v>
      </c>
      <c r="X13" s="408"/>
      <c r="Y13" s="408" t="s">
        <v>1703</v>
      </c>
      <c r="Z13" s="408"/>
      <c r="AA13" s="408"/>
      <c r="AB13" s="399" t="s">
        <v>1703</v>
      </c>
      <c r="AC13" s="399"/>
      <c r="AD13" s="408" t="s">
        <v>1703</v>
      </c>
      <c r="AE13" s="408"/>
      <c r="AF13" s="408"/>
      <c r="AG13" s="408" t="s">
        <v>1703</v>
      </c>
      <c r="AH13" s="408"/>
      <c r="AI13" s="408"/>
      <c r="AJ13" s="408"/>
      <c r="AK13" s="408" t="s">
        <v>1703</v>
      </c>
      <c r="AL13" s="408"/>
      <c r="AM13" s="408"/>
      <c r="AN13" s="418"/>
      <c r="AO13" s="424"/>
      <c r="AP13" s="424"/>
      <c r="AQ13" s="425"/>
      <c r="AR13" s="408"/>
      <c r="AS13" s="408"/>
      <c r="AT13" s="408"/>
      <c r="AU13" s="7"/>
      <c r="AV13" s="423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08" t="s">
        <v>1704</v>
      </c>
      <c r="BO13" s="408"/>
      <c r="BP13" s="408"/>
      <c r="BQ13" s="408"/>
      <c r="BR13" s="408" t="s">
        <v>1705</v>
      </c>
      <c r="BS13" s="408"/>
      <c r="BT13" s="408"/>
      <c r="BU13" s="440" t="s">
        <v>1706</v>
      </c>
      <c r="BV13" s="440"/>
      <c r="BW13" s="440"/>
      <c r="BX13" s="440" t="s">
        <v>1707</v>
      </c>
      <c r="BY13" s="440"/>
      <c r="BZ13" s="440"/>
      <c r="CA13" s="464" t="s">
        <v>0</v>
      </c>
      <c r="CB13" s="465"/>
      <c r="CC13" s="465"/>
      <c r="CD13" s="475"/>
      <c r="CE13" s="476" t="s">
        <v>200</v>
      </c>
      <c r="CF13" s="465"/>
      <c r="CG13" s="465"/>
      <c r="CH13" s="464" t="s">
        <v>1708</v>
      </c>
      <c r="CI13" s="475"/>
      <c r="CJ13" s="408" t="s">
        <v>1709</v>
      </c>
      <c r="CK13" s="408"/>
      <c r="CL13" s="408"/>
      <c r="CM13" s="408" t="s">
        <v>303</v>
      </c>
      <c r="CN13" s="408"/>
      <c r="CO13" s="408"/>
      <c r="CP13" s="408" t="s">
        <v>1710</v>
      </c>
      <c r="CQ13" s="408"/>
      <c r="CR13" s="399"/>
      <c r="CS13" s="7"/>
      <c r="CT13" s="7"/>
      <c r="CU13" s="7"/>
      <c r="CV13" s="7"/>
      <c r="CW13" s="7"/>
    </row>
    <row r="14" s="3" customFormat="1" ht="14.45" customHeight="1" spans="2:101">
      <c r="B14" s="400" t="str">
        <f t="shared" ref="B14:B19" si="1">B5</f>
        <v>H-ZF50</v>
      </c>
      <c r="C14" s="18">
        <f t="shared" ref="C14:C19" si="2">C5</f>
        <v>741278</v>
      </c>
      <c r="D14" s="52">
        <f>IF(VLOOKUP($B14,'NHG''s optical glass 202608'!$C$7:$KZ$213,259,FALSE)="","",VLOOKUP($B14,'NHG''s optical glass 202608'!$C$7:$KZ$213,259,FALSE))</f>
        <v>0.908</v>
      </c>
      <c r="E14" s="52"/>
      <c r="F14" s="52">
        <f>IF(VLOOKUP($B14,'NHG''s optical glass 202608'!$C$7:$KZ$213,263,FALSE)="","",VLOOKUP($B14,'NHG''s optical glass 202608'!$C$7:$KZ$213,263,FALSE))</f>
        <v>0.996</v>
      </c>
      <c r="G14" s="52"/>
      <c r="H14" s="52">
        <f>IF(VLOOKUP($B14,'NHG''s optical glass 202608'!$C$7:$KZ$213,268,FALSE)="","",VLOOKUP($B14,'NHG''s optical glass 202608'!$C$7:$KZ$213,268,FALSE))</f>
        <v>0.996</v>
      </c>
      <c r="I14" s="52"/>
      <c r="J14" s="52"/>
      <c r="K14" s="52"/>
      <c r="L14" s="52"/>
      <c r="M14" s="52">
        <f>IF(VLOOKUP($B14,'NHG''s optical glass 202608'!$C$7:$KZ$213,270,FALSE)="","",VLOOKUP($B14,'NHG''s optical glass 202608'!$C$7:$KZ$213,270,FALSE))</f>
        <v>0.996</v>
      </c>
      <c r="N14" s="52"/>
      <c r="O14" s="52"/>
      <c r="P14" s="248">
        <f>IF(VLOOKUP($B14,'NHG''s optical glass 202608'!$C$7:$KZ$213,273,FALSE)="","",VLOOKUP($B14,'NHG''s optical glass 202608'!$C$7:$KZ$213,273,FALSE))</f>
        <v>0.996</v>
      </c>
      <c r="Q14" s="248"/>
      <c r="R14" s="248"/>
      <c r="S14" s="52">
        <f>IF(VLOOKUP($B14,'NHG''s optical glass 202608'!$C$7:$KZ$213,277,FALSE)="","",VLOOKUP($B14,'NHG''s optical glass 202608'!$C$7:$KZ$213,277,FALSE))</f>
        <v>0.99</v>
      </c>
      <c r="T14" s="52"/>
      <c r="U14" s="52">
        <f>IF(VLOOKUP($B14,'NHG''s optical glass 202608'!$C$7:$KZ$213,279,FALSE)="","",VLOOKUP($B14,'NHG''s optical glass 202608'!$C$7:$KZ$213,279,FALSE))</f>
        <v>0.979</v>
      </c>
      <c r="V14" s="52"/>
      <c r="W14" s="52">
        <f>IF(VLOOKUP($B14,'NHG''s optical glass 202608'!$C$7:$KZ$213,280,FALSE)="","",VLOOKUP($B14,'NHG''s optical glass 202608'!$C$7:$KZ$213,280,FALSE))</f>
        <v>0.972</v>
      </c>
      <c r="X14" s="52"/>
      <c r="Y14" s="52">
        <f>IF(VLOOKUP($B14,'NHG''s optical glass 202608'!$C$7:$KZ$213,281,FALSE)="","",VLOOKUP($B14,'NHG''s optical glass 202608'!$C$7:$KZ$213,281,FALSE))</f>
        <v>0.955</v>
      </c>
      <c r="Z14" s="52"/>
      <c r="AA14" s="52"/>
      <c r="AB14" s="52">
        <f>IF(VLOOKUP($B14,'NHG''s optical glass 202608'!$C$7:$KZ$213,282,FALSE)="","",VLOOKUP($B14,'NHG''s optical glass 202608'!$C$7:$KZ$213,282,FALSE))</f>
        <v>0.884</v>
      </c>
      <c r="AC14" s="52"/>
      <c r="AD14" s="52">
        <f>IF(VLOOKUP($B14,'NHG''s optical glass 202608'!$C$7:$KZ$213,284,FALSE)="","",VLOOKUP($B14,'NHG''s optical glass 202608'!$C$7:$KZ$213,284,FALSE))</f>
        <v>0.554</v>
      </c>
      <c r="AE14" s="52"/>
      <c r="AF14" s="52"/>
      <c r="AG14" s="52">
        <f>IF(VLOOKUP($B14,'NHG''s optical glass 202608'!$C$7:$KZ$213,285,FALSE)="","",VLOOKUP($B14,'NHG''s optical glass 202608'!$C$7:$KZ$213,285,FALSE))</f>
        <v>0.185</v>
      </c>
      <c r="AH14" s="52"/>
      <c r="AI14" s="52"/>
      <c r="AJ14" s="52"/>
      <c r="AK14" s="52" t="str">
        <f>IF(VLOOKUP($B14,'NHG''s optical glass 202608'!$C$7:$KZ$213,286,FALSE)="","",VLOOKUP($B14,'NHG''s optical glass 202608'!$C$7:$KZ$213,286,FALSE))</f>
        <v/>
      </c>
      <c r="AL14" s="52"/>
      <c r="AM14" s="52"/>
      <c r="AN14" s="88" t="str">
        <f>IF(VLOOKUP($B14,'NHG''s optical glass 202608'!$C$7:$KZ$213,221,FALSE)="","",VLOOKUP($B14,'NHG''s optical glass 202608'!$C$7:$KZ$213,221,FALSE))</f>
        <v>389/364</v>
      </c>
      <c r="AO14" s="89"/>
      <c r="AP14" s="89"/>
      <c r="AQ14" s="108"/>
      <c r="AR14" s="18" t="str">
        <f>IF(VLOOKUP($B14,'NHG''s optical glass 202608'!$C$7:$KZ$213,220,FALSE)="","",VLOOKUP($B14,'NHG''s optical glass 202608'!$C$7:$KZ$213,220,FALSE))</f>
        <v>410/365</v>
      </c>
      <c r="AS14" s="18"/>
      <c r="AT14" s="18"/>
      <c r="AU14" s="1"/>
      <c r="AV14" s="2"/>
      <c r="AW14" s="172">
        <f>IF(VLOOKUP($B14,'NHG''s optical glass 202608'!$C$7:$KZ$213,170,FALSE)="","",VLOOKUP($B14,'NHG''s optical glass 202608'!$C$7:$KZ$213,170,FALSE))</f>
        <v>1</v>
      </c>
      <c r="AX14" s="172"/>
      <c r="AY14" s="172"/>
      <c r="AZ14" s="172">
        <f>IF(VLOOKUP($B14,'NHG''s optical glass 202608'!$C$7:$KZ$213,171,FALSE)="","",VLOOKUP($B14,'NHG''s optical glass 202608'!$C$7:$KZ$213,171,FALSE))</f>
        <v>1</v>
      </c>
      <c r="BA14" s="172"/>
      <c r="BB14" s="172">
        <f>IF(VLOOKUP($B14,'NHG''s optical glass 202608'!$C$7:$KZ$213,175,FALSE)="","",VLOOKUP($B14,'NHG''s optical glass 202608'!$C$7:$KZ$213,175,FALSE))</f>
        <v>1</v>
      </c>
      <c r="BC14" s="172"/>
      <c r="BD14" s="172"/>
      <c r="BE14" s="172">
        <f>IF(VLOOKUP($B14,'NHG''s optical glass 202608'!$C$7:$KZ$213,174,FALSE)="","",VLOOKUP($B14,'NHG''s optical glass 202608'!$C$7:$KZ$213,174,FALSE))</f>
        <v>1</v>
      </c>
      <c r="BF14" s="172"/>
      <c r="BG14" s="172"/>
      <c r="BH14" s="172">
        <f>IF(VLOOKUP($B14,'NHG''s optical glass 202608'!$C$7:$KZ$213,172,FALSE)="","",VLOOKUP($B14,'NHG''s optical glass 202608'!$C$7:$KZ$213,172,FALSE))</f>
        <v>1</v>
      </c>
      <c r="BI14" s="172"/>
      <c r="BJ14" s="172"/>
      <c r="BK14" s="172"/>
      <c r="BL14" s="181">
        <f>IF(VLOOKUP($B14,'NHG''s optical glass 202608'!$C$7:$KZ$213,173,FALSE)="","",VLOOKUP($B14,'NHG''s optical glass 202608'!$C$7:$KZ$213,173,FALSE))</f>
        <v>1</v>
      </c>
      <c r="BM14" s="181"/>
      <c r="BN14" s="181">
        <f>IF(VLOOKUP($B14,'NHG''s optical glass 202608'!$C$7:$KZ$213,180,FALSE)="","",VLOOKUP($B14,'NHG''s optical glass 202608'!$C$7:$KZ$213,180,FALSE))</f>
        <v>616</v>
      </c>
      <c r="BO14" s="181"/>
      <c r="BP14" s="181"/>
      <c r="BQ14" s="181"/>
      <c r="BR14" s="181">
        <f>IF(VLOOKUP($B14,'NHG''s optical glass 202608'!$C$7:$KZ$213,181,FALSE)="","",VLOOKUP($B14,'NHG''s optical glass 202608'!$C$7:$KZ$213,181,FALSE))</f>
        <v>650</v>
      </c>
      <c r="BS14" s="181"/>
      <c r="BT14" s="181"/>
      <c r="BU14" s="181">
        <f>IF(VLOOKUP($B14,'NHG''s optical glass 202608'!$C$7:$KZ$213,186,FALSE)="","",VLOOKUP($B14,'NHG''s optical glass 202608'!$C$7:$KZ$213,186,FALSE))</f>
        <v>81</v>
      </c>
      <c r="BV14" s="181"/>
      <c r="BW14" s="181"/>
      <c r="BX14" s="181">
        <f>IF(VLOOKUP($B14,'NHG''s optical glass 202608'!$C$7:$KZ$213,187,FALSE)="","",VLOOKUP($B14,'NHG''s optical glass 202608'!$C$7:$KZ$213,187,FALSE))</f>
        <v>101</v>
      </c>
      <c r="BY14" s="181"/>
      <c r="BZ14" s="181"/>
      <c r="CA14" s="19">
        <f>IF(VLOOKUP($B14,'NHG''s optical glass 202608'!$C$7:$KZ$213,184,FALSE)="","",VLOOKUP($B14,'NHG''s optical glass 202608'!$C$7:$KZ$213,184,FALSE))</f>
        <v>1.16</v>
      </c>
      <c r="CB14" s="20"/>
      <c r="CC14" s="20"/>
      <c r="CD14" s="21"/>
      <c r="CE14" s="477" t="str">
        <f>IF(VLOOKUP($B14,'NHG''s optical glass 202608'!$C$7:$KZ$213,185,FALSE)="","",VLOOKUP($B14,'NHG''s optical glass 202608'!$C$7:$KZ$213,185,FALSE))</f>
        <v/>
      </c>
      <c r="CF14" s="20"/>
      <c r="CG14" s="20"/>
      <c r="CH14" s="478">
        <f>IF(VLOOKUP($B14,'NHG''s optical glass 202608'!$C$7:$KZ$213,212,FALSE)="","",VLOOKUP($B14,'NHG''s optical glass 202608'!$C$7:$KZ$213,212,FALSE))</f>
        <v>555</v>
      </c>
      <c r="CI14" s="479"/>
      <c r="CJ14" s="181">
        <f>IF(VLOOKUP($B14,'NHG''s optical glass 202608'!$C$7:$KZ$213,213,FALSE)="","",VLOOKUP($B14,'NHG''s optical glass 202608'!$C$7:$KZ$213,213,FALSE))</f>
        <v>143</v>
      </c>
      <c r="CK14" s="181"/>
      <c r="CL14" s="181"/>
      <c r="CM14" s="122">
        <f>IF(VLOOKUP($B14,'NHG''s optical glass 202608'!$C$7:$KZ$213,218,FALSE)="","",VLOOKUP($B14,'NHG''s optical glass 202608'!$C$7:$KZ$213,218,FALSE))</f>
        <v>2.62</v>
      </c>
      <c r="CN14" s="122"/>
      <c r="CO14" s="122"/>
      <c r="CP14" s="122">
        <f>IF(VLOOKUP($B14,'NHG''s optical glass 202608'!$C$7:$KZ$213,219,FALSE)="","",VLOOKUP($B14,'NHG''s optical glass 202608'!$C$7:$KZ$213,219,FALSE))</f>
        <v>3.05</v>
      </c>
      <c r="CQ14" s="122"/>
      <c r="CR14" s="400" t="str">
        <f t="shared" ref="CR14:CR19" si="3">B14</f>
        <v>H-ZF50</v>
      </c>
      <c r="CS14" s="1"/>
      <c r="CT14" s="1"/>
      <c r="CU14" s="1"/>
      <c r="CV14" s="1"/>
      <c r="CW14" s="1"/>
    </row>
    <row r="15" s="231" customFormat="1" ht="14.45" customHeight="1" spans="2:101">
      <c r="B15" s="407" t="str">
        <f t="shared" si="1"/>
        <v>H-ZF50GT</v>
      </c>
      <c r="C15" s="403">
        <f t="shared" si="2"/>
        <v>741278</v>
      </c>
      <c r="D15" s="409">
        <f>IF(VLOOKUP($B15,'NHG''s optical glass 202608'!$C$7:$KZ$213,259,FALSE)="","",VLOOKUP($B15,'NHG''s optical glass 202608'!$C$7:$KZ$213,259,FALSE))</f>
        <v>0.91</v>
      </c>
      <c r="E15" s="409"/>
      <c r="F15" s="409">
        <f>IF(VLOOKUP($B15,'NHG''s optical glass 202608'!$C$7:$KZ$213,263,FALSE)="","",VLOOKUP($B15,'NHG''s optical glass 202608'!$C$7:$KZ$213,263,FALSE))</f>
        <v>0.996</v>
      </c>
      <c r="G15" s="409"/>
      <c r="H15" s="409">
        <f>IF(VLOOKUP($B15,'NHG''s optical glass 202608'!$C$7:$KZ$213,268,FALSE)="","",VLOOKUP($B15,'NHG''s optical glass 202608'!$C$7:$KZ$213,268,FALSE))</f>
        <v>0.996</v>
      </c>
      <c r="I15" s="409"/>
      <c r="J15" s="409"/>
      <c r="K15" s="409"/>
      <c r="L15" s="409"/>
      <c r="M15" s="409">
        <f>IF(VLOOKUP($B15,'NHG''s optical glass 202608'!$C$7:$KZ$213,270,FALSE)="","",VLOOKUP($B15,'NHG''s optical glass 202608'!$C$7:$KZ$213,270,FALSE))</f>
        <v>0.996</v>
      </c>
      <c r="N15" s="409"/>
      <c r="O15" s="409"/>
      <c r="P15" s="409">
        <f>IF(VLOOKUP($B15,'NHG''s optical glass 202608'!$C$7:$KZ$213,273,FALSE)="","",VLOOKUP($B15,'NHG''s optical glass 202608'!$C$7:$KZ$213,273,FALSE))</f>
        <v>0.996</v>
      </c>
      <c r="Q15" s="409"/>
      <c r="R15" s="409"/>
      <c r="S15" s="409">
        <f>IF(VLOOKUP($B15,'NHG''s optical glass 202608'!$C$7:$KZ$213,277,FALSE)="","",VLOOKUP($B15,'NHG''s optical glass 202608'!$C$7:$KZ$213,277,FALSE))</f>
        <v>0.994</v>
      </c>
      <c r="T15" s="409"/>
      <c r="U15" s="409">
        <f>IF(VLOOKUP($B15,'NHG''s optical glass 202608'!$C$7:$KZ$213,279,FALSE)="","",VLOOKUP($B15,'NHG''s optical glass 202608'!$C$7:$KZ$213,279,FALSE))</f>
        <v>0.988</v>
      </c>
      <c r="V15" s="409"/>
      <c r="W15" s="409">
        <f>IF(VLOOKUP($B15,'NHG''s optical glass 202608'!$C$7:$KZ$213,280,FALSE)="","",VLOOKUP($B15,'NHG''s optical glass 202608'!$C$7:$KZ$213,280,FALSE))</f>
        <v>0.981</v>
      </c>
      <c r="X15" s="409"/>
      <c r="Y15" s="409">
        <f>IF(VLOOKUP($B15,'NHG''s optical glass 202608'!$C$7:$KZ$213,281,FALSE)="","",VLOOKUP($B15,'NHG''s optical glass 202608'!$C$7:$KZ$213,281,FALSE))</f>
        <v>0.965</v>
      </c>
      <c r="Z15" s="409"/>
      <c r="AA15" s="409"/>
      <c r="AB15" s="409">
        <f>IF(VLOOKUP($B15,'NHG''s optical glass 202608'!$C$7:$KZ$213,282,FALSE)="","",VLOOKUP($B15,'NHG''s optical glass 202608'!$C$7:$KZ$213,282,FALSE))</f>
        <v>0.914</v>
      </c>
      <c r="AC15" s="409"/>
      <c r="AD15" s="409">
        <f>IF(VLOOKUP($B15,'NHG''s optical glass 202608'!$C$7:$KZ$213,284,FALSE)="","",VLOOKUP($B15,'NHG''s optical glass 202608'!$C$7:$KZ$213,284,FALSE))</f>
        <v>0.623</v>
      </c>
      <c r="AE15" s="409"/>
      <c r="AF15" s="409"/>
      <c r="AG15" s="409">
        <f>IF(VLOOKUP($B15,'NHG''s optical glass 202608'!$C$7:$KZ$213,285,FALSE)="","",VLOOKUP($B15,'NHG''s optical glass 202608'!$C$7:$KZ$213,285,FALSE))</f>
        <v>0.219</v>
      </c>
      <c r="AH15" s="409"/>
      <c r="AI15" s="409"/>
      <c r="AJ15" s="409"/>
      <c r="AK15" s="409" t="str">
        <f>IF(VLOOKUP($B15,'NHG''s optical glass 202608'!$C$7:$KZ$213,286,FALSE)="","",VLOOKUP($B15,'NHG''s optical glass 202608'!$C$7:$KZ$213,286,FALSE))</f>
        <v/>
      </c>
      <c r="AL15" s="409"/>
      <c r="AM15" s="409"/>
      <c r="AN15" s="419" t="str">
        <f>IF(VLOOKUP($B15,'NHG''s optical glass 202608'!$C$7:$KZ$213,221,FALSE)="","",VLOOKUP($B15,'NHG''s optical glass 202608'!$C$7:$KZ$213,221,FALSE))</f>
        <v>389/364</v>
      </c>
      <c r="AO15" s="426"/>
      <c r="AP15" s="426"/>
      <c r="AQ15" s="427"/>
      <c r="AR15" s="403" t="str">
        <f>IF(VLOOKUP($B15,'NHG''s optical glass 202608'!$C$7:$KZ$213,220,FALSE)="","",VLOOKUP($B15,'NHG''s optical glass 202608'!$C$7:$KZ$213,220,FALSE))</f>
        <v>410/365</v>
      </c>
      <c r="AS15" s="403"/>
      <c r="AT15" s="403"/>
      <c r="AU15" s="233"/>
      <c r="AV15" s="232"/>
      <c r="AW15" s="457">
        <f>IF(VLOOKUP($B15,'NHG''s optical glass 202608'!$C$7:$KZ$213,170,FALSE)="","",VLOOKUP($B15,'NHG''s optical glass 202608'!$C$7:$KZ$213,170,FALSE))</f>
        <v>1</v>
      </c>
      <c r="AX15" s="457"/>
      <c r="AY15" s="457"/>
      <c r="AZ15" s="457">
        <f>IF(VLOOKUP($B15,'NHG''s optical glass 202608'!$C$7:$KZ$213,171,FALSE)="","",VLOOKUP($B15,'NHG''s optical glass 202608'!$C$7:$KZ$213,171,FALSE))</f>
        <v>1</v>
      </c>
      <c r="BA15" s="457"/>
      <c r="BB15" s="457">
        <f>IF(VLOOKUP($B15,'NHG''s optical glass 202608'!$C$7:$KZ$213,175,FALSE)="","",VLOOKUP($B15,'NHG''s optical glass 202608'!$C$7:$KZ$213,175,FALSE))</f>
        <v>1</v>
      </c>
      <c r="BC15" s="457"/>
      <c r="BD15" s="457"/>
      <c r="BE15" s="457">
        <f>IF(VLOOKUP($B15,'NHG''s optical glass 202608'!$C$7:$KZ$213,174,FALSE)="","",VLOOKUP($B15,'NHG''s optical glass 202608'!$C$7:$KZ$213,174,FALSE))</f>
        <v>1</v>
      </c>
      <c r="BF15" s="457"/>
      <c r="BG15" s="457"/>
      <c r="BH15" s="457">
        <f>IF(VLOOKUP($B15,'NHG''s optical glass 202608'!$C$7:$KZ$213,172,FALSE)="","",VLOOKUP($B15,'NHG''s optical glass 202608'!$C$7:$KZ$213,172,FALSE))</f>
        <v>1</v>
      </c>
      <c r="BI15" s="457"/>
      <c r="BJ15" s="457"/>
      <c r="BK15" s="457"/>
      <c r="BL15" s="441">
        <f>IF(VLOOKUP($B15,'NHG''s optical glass 202608'!$C$7:$KZ$213,173,FALSE)="","",VLOOKUP($B15,'NHG''s optical glass 202608'!$C$7:$KZ$213,173,FALSE))</f>
        <v>1</v>
      </c>
      <c r="BM15" s="441"/>
      <c r="BN15" s="459">
        <f>IF(VLOOKUP($B15,'NHG''s optical glass 202608'!$C$7:$KZ$213,180,FALSE)="","",VLOOKUP($B15,'NHG''s optical glass 202608'!$C$7:$KZ$213,180,FALSE))</f>
        <v>616</v>
      </c>
      <c r="BO15" s="459"/>
      <c r="BP15" s="459"/>
      <c r="BQ15" s="459"/>
      <c r="BR15" s="459">
        <f>IF(VLOOKUP($B15,'NHG''s optical glass 202608'!$C$7:$KZ$213,181,FALSE)="","",VLOOKUP($B15,'NHG''s optical glass 202608'!$C$7:$KZ$213,181,FALSE))</f>
        <v>650</v>
      </c>
      <c r="BS15" s="459"/>
      <c r="BT15" s="459"/>
      <c r="BU15" s="441">
        <f>IF(VLOOKUP($B15,'NHG''s optical glass 202608'!$C$7:$KZ$213,186,FALSE)="","",VLOOKUP($B15,'NHG''s optical glass 202608'!$C$7:$KZ$213,186,FALSE))</f>
        <v>81</v>
      </c>
      <c r="BV15" s="441"/>
      <c r="BW15" s="441"/>
      <c r="BX15" s="441">
        <f>IF(VLOOKUP($B15,'NHG''s optical glass 202608'!$C$7:$KZ$213,187,FALSE)="","",VLOOKUP($B15,'NHG''s optical glass 202608'!$C$7:$KZ$213,187,FALSE))</f>
        <v>101</v>
      </c>
      <c r="BY15" s="441"/>
      <c r="BZ15" s="441"/>
      <c r="CA15" s="466">
        <f>IF(VLOOKUP($B15,'NHG''s optical glass 202608'!$C$7:$KZ$213,184,FALSE)="","",VLOOKUP($B15,'NHG''s optical glass 202608'!$C$7:$KZ$213,184,FALSE))</f>
        <v>1.16</v>
      </c>
      <c r="CB15" s="467"/>
      <c r="CC15" s="467"/>
      <c r="CD15" s="480"/>
      <c r="CE15" s="466" t="str">
        <f>IF(VLOOKUP($B15,'NHG''s optical glass 202608'!$C$7:$KZ$213,185,FALSE)="","",VLOOKUP($B15,'NHG''s optical glass 202608'!$C$7:$KZ$213,185,FALSE))</f>
        <v/>
      </c>
      <c r="CF15" s="467"/>
      <c r="CG15" s="467"/>
      <c r="CH15" s="481">
        <f>IF(VLOOKUP($B15,'NHG''s optical glass 202608'!$C$7:$KZ$213,212,FALSE)="","",VLOOKUP($B15,'NHG''s optical glass 202608'!$C$7:$KZ$213,212,FALSE))</f>
        <v>555</v>
      </c>
      <c r="CI15" s="482"/>
      <c r="CJ15" s="459">
        <f>IF(VLOOKUP($B15,'NHG''s optical glass 202608'!$C$7:$KZ$213,213,FALSE)="","",VLOOKUP($B15,'NHG''s optical glass 202608'!$C$7:$KZ$213,213,FALSE))</f>
        <v>143</v>
      </c>
      <c r="CK15" s="459"/>
      <c r="CL15" s="459"/>
      <c r="CM15" s="453">
        <f>IF(VLOOKUP($B15,'NHG''s optical glass 202608'!$C$7:$KZ$213,218,FALSE)="","",VLOOKUP($B15,'NHG''s optical glass 202608'!$C$7:$KZ$213,218,FALSE))</f>
        <v>2.62</v>
      </c>
      <c r="CN15" s="453"/>
      <c r="CO15" s="453"/>
      <c r="CP15" s="453">
        <f>IF(VLOOKUP($B15,'NHG''s optical glass 202608'!$C$7:$KZ$213,219,FALSE)="","",VLOOKUP($B15,'NHG''s optical glass 202608'!$C$7:$KZ$213,219,FALSE))</f>
        <v>3.05</v>
      </c>
      <c r="CQ15" s="453"/>
      <c r="CR15" s="407" t="str">
        <f t="shared" si="3"/>
        <v>H-ZF50GT</v>
      </c>
      <c r="CS15" s="233"/>
      <c r="CT15" s="233"/>
      <c r="CU15" s="233"/>
      <c r="CV15" s="233"/>
      <c r="CW15" s="233"/>
    </row>
    <row r="16" s="231" customFormat="1" ht="14.45" customHeight="1" spans="2:101">
      <c r="B16" s="405" t="str">
        <f t="shared" si="1"/>
        <v>H-ZF52N</v>
      </c>
      <c r="C16" s="234">
        <f t="shared" si="2"/>
        <v>847238</v>
      </c>
      <c r="D16" s="248">
        <f>IF(VLOOKUP($B16,'NHG''s optical glass 202608'!$C$7:$KZ$213,259,FALSE)="","",VLOOKUP($B16,'NHG''s optical glass 202608'!$C$7:$KZ$213,259,FALSE))</f>
        <v>0.925</v>
      </c>
      <c r="E16" s="248"/>
      <c r="F16" s="248">
        <f>IF(VLOOKUP($B16,'NHG''s optical glass 202608'!$C$7:$KZ$213,263,FALSE)="","",VLOOKUP($B16,'NHG''s optical glass 202608'!$C$7:$KZ$213,263,FALSE))</f>
        <v>0.999</v>
      </c>
      <c r="G16" s="248"/>
      <c r="H16" s="248">
        <f>IF(VLOOKUP($B16,'NHG''s optical glass 202608'!$C$7:$KZ$213,268,FALSE)="","",VLOOKUP($B16,'NHG''s optical glass 202608'!$C$7:$KZ$213,268,FALSE))</f>
        <v>0.999</v>
      </c>
      <c r="I16" s="248"/>
      <c r="J16" s="248"/>
      <c r="K16" s="248"/>
      <c r="L16" s="248"/>
      <c r="M16" s="248">
        <f>IF(VLOOKUP($B16,'NHG''s optical glass 202608'!$C$7:$KZ$213,270,FALSE)="","",VLOOKUP($B16,'NHG''s optical glass 202608'!$C$7:$KZ$213,270,FALSE))</f>
        <v>0.999</v>
      </c>
      <c r="N16" s="248"/>
      <c r="O16" s="248"/>
      <c r="P16" s="248">
        <f>IF(VLOOKUP($B16,'NHG''s optical glass 202608'!$C$7:$KZ$213,273,FALSE)="","",VLOOKUP($B16,'NHG''s optical glass 202608'!$C$7:$KZ$213,273,FALSE))</f>
        <v>0.999</v>
      </c>
      <c r="Q16" s="248"/>
      <c r="R16" s="248"/>
      <c r="S16" s="248">
        <f>IF(VLOOKUP($B16,'NHG''s optical glass 202608'!$C$7:$KZ$213,277,FALSE)="","",VLOOKUP($B16,'NHG''s optical glass 202608'!$C$7:$KZ$213,277,FALSE))</f>
        <v>0.986</v>
      </c>
      <c r="T16" s="248"/>
      <c r="U16" s="248">
        <f>IF(VLOOKUP($B16,'NHG''s optical glass 202608'!$C$7:$KZ$213,279,FALSE)="","",VLOOKUP($B16,'NHG''s optical glass 202608'!$C$7:$KZ$213,279,FALSE))</f>
        <v>0.971</v>
      </c>
      <c r="V16" s="248"/>
      <c r="W16" s="248">
        <f>IF(VLOOKUP($B16,'NHG''s optical glass 202608'!$C$7:$KZ$213,280,FALSE)="","",VLOOKUP($B16,'NHG''s optical glass 202608'!$C$7:$KZ$213,280,FALSE))</f>
        <v>0.954</v>
      </c>
      <c r="X16" s="248"/>
      <c r="Y16" s="248">
        <f>IF(VLOOKUP($B16,'NHG''s optical glass 202608'!$C$7:$KZ$213,281,FALSE)="","",VLOOKUP($B16,'NHG''s optical glass 202608'!$C$7:$KZ$213,281,FALSE))</f>
        <v>0.918</v>
      </c>
      <c r="Z16" s="248"/>
      <c r="AA16" s="248"/>
      <c r="AB16" s="248">
        <f>IF(VLOOKUP($B16,'NHG''s optical glass 202608'!$C$7:$KZ$213,282,FALSE)="","",VLOOKUP($B16,'NHG''s optical glass 202608'!$C$7:$KZ$213,282,FALSE))</f>
        <v>0.83</v>
      </c>
      <c r="AC16" s="248"/>
      <c r="AD16" s="248">
        <f>IF(VLOOKUP($B16,'NHG''s optical glass 202608'!$C$7:$KZ$213,284,FALSE)="","",VLOOKUP($B16,'NHG''s optical glass 202608'!$C$7:$KZ$213,284,FALSE))</f>
        <v>0.45</v>
      </c>
      <c r="AE16" s="248"/>
      <c r="AF16" s="248"/>
      <c r="AG16" s="248">
        <f>IF(VLOOKUP($B16,'NHG''s optical glass 202608'!$C$7:$KZ$213,285,FALSE)="","",VLOOKUP($B16,'NHG''s optical glass 202608'!$C$7:$KZ$213,285,FALSE))</f>
        <v>0.11</v>
      </c>
      <c r="AH16" s="248"/>
      <c r="AI16" s="248"/>
      <c r="AJ16" s="248"/>
      <c r="AK16" s="248" t="str">
        <f>IF(VLOOKUP($B16,'NHG''s optical glass 202608'!$C$7:$KZ$213,286,FALSE)="","",VLOOKUP($B16,'NHG''s optical glass 202608'!$C$7:$KZ$213,286,FALSE))</f>
        <v/>
      </c>
      <c r="AL16" s="248"/>
      <c r="AM16" s="248"/>
      <c r="AN16" s="420" t="str">
        <f>IF(VLOOKUP($B16,'NHG''s optical glass 202608'!$C$7:$KZ$213,221,FALSE)="","",VLOOKUP($B16,'NHG''s optical glass 202608'!$C$7:$KZ$213,221,FALSE))</f>
        <v>398/368</v>
      </c>
      <c r="AO16" s="428"/>
      <c r="AP16" s="428"/>
      <c r="AQ16" s="429"/>
      <c r="AR16" s="234" t="str">
        <f>IF(VLOOKUP($B16,'NHG''s optical glass 202608'!$C$7:$KZ$213,220,FALSE)="","",VLOOKUP($B16,'NHG''s optical glass 202608'!$C$7:$KZ$213,220,FALSE))</f>
        <v>(404)/368</v>
      </c>
      <c r="AS16" s="234"/>
      <c r="AT16" s="234"/>
      <c r="AU16" s="233"/>
      <c r="AV16" s="232"/>
      <c r="AW16" s="262">
        <f>IF(VLOOKUP($B16,'NHG''s optical glass 202608'!$C$7:$KZ$213,170,FALSE)="","",VLOOKUP($B16,'NHG''s optical glass 202608'!$C$7:$KZ$213,170,FALSE))</f>
        <v>1</v>
      </c>
      <c r="AX16" s="262"/>
      <c r="AY16" s="262"/>
      <c r="AZ16" s="262">
        <f>IF(VLOOKUP($B16,'NHG''s optical glass 202608'!$C$7:$KZ$213,171,FALSE)="","",VLOOKUP($B16,'NHG''s optical glass 202608'!$C$7:$KZ$213,171,FALSE))</f>
        <v>1</v>
      </c>
      <c r="BA16" s="262"/>
      <c r="BB16" s="262">
        <f>IF(VLOOKUP($B16,'NHG''s optical glass 202608'!$C$7:$KZ$213,175,FALSE)="","",VLOOKUP($B16,'NHG''s optical glass 202608'!$C$7:$KZ$213,175,FALSE))</f>
        <v>1</v>
      </c>
      <c r="BC16" s="262"/>
      <c r="BD16" s="262"/>
      <c r="BE16" s="262">
        <f>IF(VLOOKUP($B16,'NHG''s optical glass 202608'!$C$7:$KZ$213,174,FALSE)="","",VLOOKUP($B16,'NHG''s optical glass 202608'!$C$7:$KZ$213,174,FALSE))</f>
        <v>1</v>
      </c>
      <c r="BF16" s="262"/>
      <c r="BG16" s="262"/>
      <c r="BH16" s="262">
        <f>IF(VLOOKUP($B16,'NHG''s optical glass 202608'!$C$7:$KZ$213,172,FALSE)="","",VLOOKUP($B16,'NHG''s optical glass 202608'!$C$7:$KZ$213,172,FALSE))</f>
        <v>1</v>
      </c>
      <c r="BI16" s="262"/>
      <c r="BJ16" s="262"/>
      <c r="BK16" s="262"/>
      <c r="BL16" s="442">
        <f>IF(VLOOKUP($B16,'NHG''s optical glass 202608'!$C$7:$KZ$213,173,FALSE)="","",VLOOKUP($B16,'NHG''s optical glass 202608'!$C$7:$KZ$213,173,FALSE))</f>
        <v>1</v>
      </c>
      <c r="BM16" s="442"/>
      <c r="BN16" s="442">
        <f>IF(VLOOKUP($B16,'NHG''s optical glass 202608'!$C$7:$KZ$213,180,FALSE)="","",VLOOKUP($B16,'NHG''s optical glass 202608'!$C$7:$KZ$213,180,FALSE))</f>
        <v>632</v>
      </c>
      <c r="BO16" s="442"/>
      <c r="BP16" s="442"/>
      <c r="BQ16" s="442"/>
      <c r="BR16" s="442">
        <f>IF(VLOOKUP($B16,'NHG''s optical glass 202608'!$C$7:$KZ$213,181,FALSE)="","",VLOOKUP($B16,'NHG''s optical glass 202608'!$C$7:$KZ$213,181,FALSE))</f>
        <v>662</v>
      </c>
      <c r="BS16" s="442"/>
      <c r="BT16" s="442"/>
      <c r="BU16" s="442">
        <f>IF(VLOOKUP($B16,'NHG''s optical glass 202608'!$C$7:$KZ$213,186,FALSE)="","",VLOOKUP($B16,'NHG''s optical glass 202608'!$C$7:$KZ$213,186,FALSE))</f>
        <v>83</v>
      </c>
      <c r="BV16" s="442"/>
      <c r="BW16" s="442"/>
      <c r="BX16" s="442">
        <f>IF(VLOOKUP($B16,'NHG''s optical glass 202608'!$C$7:$KZ$213,187,FALSE)="","",VLOOKUP($B16,'NHG''s optical glass 202608'!$C$7:$KZ$213,187,FALSE))</f>
        <v>101</v>
      </c>
      <c r="BY16" s="442"/>
      <c r="BZ16" s="442"/>
      <c r="CA16" s="235">
        <f>IF(VLOOKUP($B16,'NHG''s optical glass 202608'!$C$7:$KZ$213,184,FALSE)="","",VLOOKUP($B16,'NHG''s optical glass 202608'!$C$7:$KZ$213,184,FALSE))</f>
        <v>1.04</v>
      </c>
      <c r="CB16" s="236"/>
      <c r="CC16" s="236"/>
      <c r="CD16" s="242"/>
      <c r="CE16" s="235" t="str">
        <f>IF(VLOOKUP($B16,'NHG''s optical glass 202608'!$C$7:$KZ$213,185,FALSE)="","",VLOOKUP($B16,'NHG''s optical glass 202608'!$C$7:$KZ$213,185,FALSE))</f>
        <v/>
      </c>
      <c r="CF16" s="236"/>
      <c r="CG16" s="236"/>
      <c r="CH16" s="483">
        <f>IF(VLOOKUP($B16,'NHG''s optical glass 202608'!$C$7:$KZ$213,212,FALSE)="","",VLOOKUP($B16,'NHG''s optical glass 202608'!$C$7:$KZ$213,212,FALSE))</f>
        <v>531</v>
      </c>
      <c r="CI16" s="484"/>
      <c r="CJ16" s="442">
        <f>IF(VLOOKUP($B16,'NHG''s optical glass 202608'!$C$7:$KZ$213,213,FALSE)="","",VLOOKUP($B16,'NHG''s optical glass 202608'!$C$7:$KZ$213,213,FALSE))</f>
        <v>176</v>
      </c>
      <c r="CK16" s="442"/>
      <c r="CL16" s="442"/>
      <c r="CM16" s="416">
        <f>IF(VLOOKUP($B16,'NHG''s optical glass 202608'!$C$7:$KZ$213,218,FALSE)="","",VLOOKUP($B16,'NHG''s optical glass 202608'!$C$7:$KZ$213,218,FALSE))</f>
        <v>2.54</v>
      </c>
      <c r="CN16" s="416"/>
      <c r="CO16" s="416"/>
      <c r="CP16" s="416">
        <f>IF(VLOOKUP($B16,'NHG''s optical glass 202608'!$C$7:$KZ$213,219,FALSE)="","",VLOOKUP($B16,'NHG''s optical glass 202608'!$C$7:$KZ$213,219,FALSE))</f>
        <v>3.54</v>
      </c>
      <c r="CQ16" s="416"/>
      <c r="CR16" s="405" t="str">
        <f t="shared" si="3"/>
        <v>H-ZF52N</v>
      </c>
      <c r="CS16" s="233"/>
      <c r="CT16" s="233"/>
      <c r="CU16" s="233"/>
      <c r="CV16" s="233"/>
      <c r="CW16" s="233"/>
    </row>
    <row r="17" s="231" customFormat="1" ht="14.45" customHeight="1" spans="2:101">
      <c r="B17" s="407" t="str">
        <f t="shared" si="1"/>
        <v>H-ZF52NGT</v>
      </c>
      <c r="C17" s="403">
        <f t="shared" si="2"/>
        <v>847238</v>
      </c>
      <c r="D17" s="409">
        <f>IF(VLOOKUP($B17,'NHG''s optical glass 202608'!$C$7:$KZ$213,259,FALSE)="","",VLOOKUP($B17,'NHG''s optical glass 202608'!$C$7:$KZ$213,259,FALSE))</f>
        <v>0.928</v>
      </c>
      <c r="E17" s="409"/>
      <c r="F17" s="409">
        <f>IF(VLOOKUP($B17,'NHG''s optical glass 202608'!$C$7:$KZ$213,263,FALSE)="","",VLOOKUP($B17,'NHG''s optical glass 202608'!$C$7:$KZ$213,263,FALSE))</f>
        <v>0.994</v>
      </c>
      <c r="G17" s="409"/>
      <c r="H17" s="409">
        <f>IF(VLOOKUP($B17,'NHG''s optical glass 202608'!$C$7:$KZ$213,268,FALSE)="","",VLOOKUP($B17,'NHG''s optical glass 202608'!$C$7:$KZ$213,268,FALSE))</f>
        <v>0.998</v>
      </c>
      <c r="I17" s="409"/>
      <c r="J17" s="409"/>
      <c r="K17" s="409"/>
      <c r="L17" s="409"/>
      <c r="M17" s="409">
        <f>IF(VLOOKUP($B17,'NHG''s optical glass 202608'!$C$7:$KZ$213,270,FALSE)="","",VLOOKUP($B17,'NHG''s optical glass 202608'!$C$7:$KZ$213,270,FALSE))</f>
        <v>0.998</v>
      </c>
      <c r="N17" s="409"/>
      <c r="O17" s="409"/>
      <c r="P17" s="409">
        <f>IF(VLOOKUP($B17,'NHG''s optical glass 202608'!$C$7:$KZ$213,273,FALSE)="","",VLOOKUP($B17,'NHG''s optical glass 202608'!$C$7:$KZ$213,273,FALSE))</f>
        <v>0.997</v>
      </c>
      <c r="Q17" s="409"/>
      <c r="R17" s="409"/>
      <c r="S17" s="409">
        <f>IF(VLOOKUP($B17,'NHG''s optical glass 202608'!$C$7:$KZ$213,277,FALSE)="","",VLOOKUP($B17,'NHG''s optical glass 202608'!$C$7:$KZ$213,277,FALSE))</f>
        <v>0.983</v>
      </c>
      <c r="T17" s="409"/>
      <c r="U17" s="409">
        <f>IF(VLOOKUP($B17,'NHG''s optical glass 202608'!$C$7:$KZ$213,279,FALSE)="","",VLOOKUP($B17,'NHG''s optical glass 202608'!$C$7:$KZ$213,279,FALSE))</f>
        <v>0.97</v>
      </c>
      <c r="V17" s="409"/>
      <c r="W17" s="409">
        <f>IF(VLOOKUP($B17,'NHG''s optical glass 202608'!$C$7:$KZ$213,280,FALSE)="","",VLOOKUP($B17,'NHG''s optical glass 202608'!$C$7:$KZ$213,280,FALSE))</f>
        <v>0.957</v>
      </c>
      <c r="X17" s="409"/>
      <c r="Y17" s="409">
        <f>IF(VLOOKUP($B17,'NHG''s optical glass 202608'!$C$7:$KZ$213,281,FALSE)="","",VLOOKUP($B17,'NHG''s optical glass 202608'!$C$7:$KZ$213,281,FALSE))</f>
        <v>0.93</v>
      </c>
      <c r="Z17" s="409"/>
      <c r="AA17" s="409"/>
      <c r="AB17" s="409">
        <f>IF(VLOOKUP($B17,'NHG''s optical glass 202608'!$C$7:$KZ$213,282,FALSE)="","",VLOOKUP($B17,'NHG''s optical glass 202608'!$C$7:$KZ$213,282,FALSE))</f>
        <v>0.855</v>
      </c>
      <c r="AC17" s="409"/>
      <c r="AD17" s="409">
        <f>IF(VLOOKUP($B17,'NHG''s optical glass 202608'!$C$7:$KZ$213,284,FALSE)="","",VLOOKUP($B17,'NHG''s optical glass 202608'!$C$7:$KZ$213,284,FALSE))</f>
        <v>0.483</v>
      </c>
      <c r="AE17" s="409"/>
      <c r="AF17" s="409"/>
      <c r="AG17" s="409">
        <f>IF(VLOOKUP($B17,'NHG''s optical glass 202608'!$C$7:$KZ$213,285,FALSE)="","",VLOOKUP($B17,'NHG''s optical glass 202608'!$C$7:$KZ$213,285,FALSE))</f>
        <v>0.12</v>
      </c>
      <c r="AH17" s="409"/>
      <c r="AI17" s="409"/>
      <c r="AJ17" s="409"/>
      <c r="AK17" s="409" t="str">
        <f>IF(VLOOKUP($B17,'NHG''s optical glass 202608'!$C$7:$KZ$213,286,FALSE)="","",VLOOKUP($B17,'NHG''s optical glass 202608'!$C$7:$KZ$213,286,FALSE))</f>
        <v/>
      </c>
      <c r="AL17" s="409"/>
      <c r="AM17" s="409"/>
      <c r="AN17" s="419" t="str">
        <f>IF(VLOOKUP($B17,'NHG''s optical glass 202608'!$C$7:$KZ$213,221,FALSE)="","",VLOOKUP($B17,'NHG''s optical glass 202608'!$C$7:$KZ$213,221,FALSE))</f>
        <v>395/368</v>
      </c>
      <c r="AO17" s="426"/>
      <c r="AP17" s="426"/>
      <c r="AQ17" s="427"/>
      <c r="AR17" s="403" t="str">
        <f>IF(VLOOKUP($B17,'NHG''s optical glass 202608'!$C$7:$KZ$213,220,FALSE)="","",VLOOKUP($B17,'NHG''s optical glass 202608'!$C$7:$KZ$213,220,FALSE))</f>
        <v>(399)/369</v>
      </c>
      <c r="AS17" s="403"/>
      <c r="AT17" s="403"/>
      <c r="AU17" s="233"/>
      <c r="AV17" s="232"/>
      <c r="AW17" s="457">
        <f>IF(VLOOKUP($B17,'NHG''s optical glass 202608'!$C$7:$KZ$213,170,FALSE)="","",VLOOKUP($B17,'NHG''s optical glass 202608'!$C$7:$KZ$213,170,FALSE))</f>
        <v>1</v>
      </c>
      <c r="AX17" s="457"/>
      <c r="AY17" s="457"/>
      <c r="AZ17" s="457">
        <f>IF(VLOOKUP($B17,'NHG''s optical glass 202608'!$C$7:$KZ$213,171,FALSE)="","",VLOOKUP($B17,'NHG''s optical glass 202608'!$C$7:$KZ$213,171,FALSE))</f>
        <v>1</v>
      </c>
      <c r="BA17" s="457"/>
      <c r="BB17" s="457">
        <f>IF(VLOOKUP($B17,'NHG''s optical glass 202608'!$C$7:$KZ$213,175,FALSE)="","",VLOOKUP($B17,'NHG''s optical glass 202608'!$C$7:$KZ$213,175,FALSE))</f>
        <v>1</v>
      </c>
      <c r="BC17" s="457"/>
      <c r="BD17" s="457"/>
      <c r="BE17" s="457">
        <f>IF(VLOOKUP($B17,'NHG''s optical glass 202608'!$C$7:$KZ$213,174,FALSE)="","",VLOOKUP($B17,'NHG''s optical glass 202608'!$C$7:$KZ$213,174,FALSE))</f>
        <v>1</v>
      </c>
      <c r="BF17" s="457"/>
      <c r="BG17" s="457"/>
      <c r="BH17" s="457">
        <f>IF(VLOOKUP($B17,'NHG''s optical glass 202608'!$C$7:$KZ$213,172,FALSE)="","",VLOOKUP($B17,'NHG''s optical glass 202608'!$C$7:$KZ$213,172,FALSE))</f>
        <v>1</v>
      </c>
      <c r="BI17" s="457"/>
      <c r="BJ17" s="457"/>
      <c r="BK17" s="457"/>
      <c r="BL17" s="441">
        <f>IF(VLOOKUP($B17,'NHG''s optical glass 202608'!$C$7:$KZ$213,173,FALSE)="","",VLOOKUP($B17,'NHG''s optical glass 202608'!$C$7:$KZ$213,173,FALSE))</f>
        <v>1</v>
      </c>
      <c r="BM17" s="441"/>
      <c r="BN17" s="459">
        <f>IF(VLOOKUP($B17,'NHG''s optical glass 202608'!$C$7:$KZ$213,180,FALSE)="","",VLOOKUP($B17,'NHG''s optical glass 202608'!$C$7:$KZ$213,180,FALSE))</f>
        <v>632</v>
      </c>
      <c r="BO17" s="459"/>
      <c r="BP17" s="459"/>
      <c r="BQ17" s="459"/>
      <c r="BR17" s="459">
        <f>IF(VLOOKUP($B17,'NHG''s optical glass 202608'!$C$7:$KZ$213,181,FALSE)="","",VLOOKUP($B17,'NHG''s optical glass 202608'!$C$7:$KZ$213,181,FALSE))</f>
        <v>662</v>
      </c>
      <c r="BS17" s="459"/>
      <c r="BT17" s="459"/>
      <c r="BU17" s="441">
        <f>IF(VLOOKUP($B17,'NHG''s optical glass 202608'!$C$7:$KZ$213,186,FALSE)="","",VLOOKUP($B17,'NHG''s optical glass 202608'!$C$7:$KZ$213,186,FALSE))</f>
        <v>83</v>
      </c>
      <c r="BV17" s="441"/>
      <c r="BW17" s="441"/>
      <c r="BX17" s="441">
        <f>IF(VLOOKUP($B17,'NHG''s optical glass 202608'!$C$7:$KZ$213,187,FALSE)="","",VLOOKUP($B17,'NHG''s optical glass 202608'!$C$7:$KZ$213,187,FALSE))</f>
        <v>101</v>
      </c>
      <c r="BY17" s="441"/>
      <c r="BZ17" s="441"/>
      <c r="CA17" s="466">
        <f>IF(VLOOKUP($B17,'NHG''s optical glass 202608'!$C$7:$KZ$213,184,FALSE)="","",VLOOKUP($B17,'NHG''s optical glass 202608'!$C$7:$KZ$213,184,FALSE))</f>
        <v>1.04</v>
      </c>
      <c r="CB17" s="467"/>
      <c r="CC17" s="467"/>
      <c r="CD17" s="480"/>
      <c r="CE17" s="466" t="str">
        <f>IF(VLOOKUP($B17,'NHG''s optical glass 202608'!$C$7:$KZ$213,185,FALSE)="","",VLOOKUP($B17,'NHG''s optical glass 202608'!$C$7:$KZ$213,185,FALSE))</f>
        <v/>
      </c>
      <c r="CF17" s="467"/>
      <c r="CG17" s="467"/>
      <c r="CH17" s="485">
        <f>IF(VLOOKUP($B17,'NHG''s optical glass 202608'!$C$7:$KZ$213,212,FALSE)="","",VLOOKUP($B17,'NHG''s optical glass 202608'!$C$7:$KZ$213,212,FALSE))</f>
        <v>531</v>
      </c>
      <c r="CI17" s="486"/>
      <c r="CJ17" s="441">
        <f>IF(VLOOKUP($B17,'NHG''s optical glass 202608'!$C$7:$KZ$213,213,FALSE)="","",VLOOKUP($B17,'NHG''s optical glass 202608'!$C$7:$KZ$213,213,FALSE))</f>
        <v>176</v>
      </c>
      <c r="CK17" s="441"/>
      <c r="CL17" s="441"/>
      <c r="CM17" s="415">
        <f>IF(VLOOKUP($B17,'NHG''s optical glass 202608'!$C$7:$KZ$213,218,FALSE)="","",VLOOKUP($B17,'NHG''s optical glass 202608'!$C$7:$KZ$213,218,FALSE))</f>
        <v>2.54</v>
      </c>
      <c r="CN17" s="415"/>
      <c r="CO17" s="415"/>
      <c r="CP17" s="415">
        <f>IF(VLOOKUP($B17,'NHG''s optical glass 202608'!$C$7:$KZ$213,219,FALSE)="","",VLOOKUP($B17,'NHG''s optical glass 202608'!$C$7:$KZ$213,219,FALSE))</f>
        <v>3.54</v>
      </c>
      <c r="CQ17" s="415"/>
      <c r="CR17" s="407" t="str">
        <f t="shared" si="3"/>
        <v>H-ZF52NGT</v>
      </c>
      <c r="CS17" s="233"/>
      <c r="CT17" s="233"/>
      <c r="CU17" s="233"/>
      <c r="CV17" s="233"/>
      <c r="CW17" s="233"/>
    </row>
    <row r="18" s="231" customFormat="1" ht="14.45" customHeight="1" spans="2:101">
      <c r="B18" s="405" t="str">
        <f t="shared" si="1"/>
        <v>H-ZF56</v>
      </c>
      <c r="C18" s="234">
        <f t="shared" si="2"/>
        <v>855248</v>
      </c>
      <c r="D18" s="248">
        <f>IF(VLOOKUP($B18,'NHG''s optical glass 202608'!$C$7:$KZ$213,259,FALSE)="","",VLOOKUP($B18,'NHG''s optical glass 202608'!$C$7:$KZ$213,259,FALSE))</f>
        <v>0.943</v>
      </c>
      <c r="E18" s="248"/>
      <c r="F18" s="248">
        <f>IF(VLOOKUP($B18,'NHG''s optical glass 202608'!$C$7:$KZ$213,263,FALSE)="","",VLOOKUP($B18,'NHG''s optical glass 202608'!$C$7:$KZ$213,263,FALSE))</f>
        <v>0.995</v>
      </c>
      <c r="G18" s="248"/>
      <c r="H18" s="248">
        <f>IF(VLOOKUP($B18,'NHG''s optical glass 202608'!$C$7:$KZ$213,268,FALSE)="","",VLOOKUP($B18,'NHG''s optical glass 202608'!$C$7:$KZ$213,268,FALSE))</f>
        <v>0.998</v>
      </c>
      <c r="I18" s="248"/>
      <c r="J18" s="248"/>
      <c r="K18" s="248"/>
      <c r="L18" s="248"/>
      <c r="M18" s="248">
        <f>IF(VLOOKUP($B18,'NHG''s optical glass 202608'!$C$7:$KZ$213,270,FALSE)="","",VLOOKUP($B18,'NHG''s optical glass 202608'!$C$7:$KZ$213,270,FALSE))</f>
        <v>0.998</v>
      </c>
      <c r="N18" s="248"/>
      <c r="O18" s="248"/>
      <c r="P18" s="248">
        <f>IF(VLOOKUP($B18,'NHG''s optical glass 202608'!$C$7:$KZ$213,273,FALSE)="","",VLOOKUP($B18,'NHG''s optical glass 202608'!$C$7:$KZ$213,273,FALSE))</f>
        <v>0.997</v>
      </c>
      <c r="Q18" s="248"/>
      <c r="R18" s="248"/>
      <c r="S18" s="248">
        <f>IF(VLOOKUP($B18,'NHG''s optical glass 202608'!$C$7:$KZ$213,277,FALSE)="","",VLOOKUP($B18,'NHG''s optical glass 202608'!$C$7:$KZ$213,277,FALSE))</f>
        <v>0.982</v>
      </c>
      <c r="T18" s="248"/>
      <c r="U18" s="248">
        <f>IF(VLOOKUP($B18,'NHG''s optical glass 202608'!$C$7:$KZ$213,279,FALSE)="","",VLOOKUP($B18,'NHG''s optical glass 202608'!$C$7:$KZ$213,279,FALSE))</f>
        <v>0.967</v>
      </c>
      <c r="V18" s="248"/>
      <c r="W18" s="248">
        <f>IF(VLOOKUP($B18,'NHG''s optical glass 202608'!$C$7:$KZ$213,280,FALSE)="","",VLOOKUP($B18,'NHG''s optical glass 202608'!$C$7:$KZ$213,280,FALSE))</f>
        <v>0.953</v>
      </c>
      <c r="X18" s="248"/>
      <c r="Y18" s="248">
        <f>IF(VLOOKUP($B18,'NHG''s optical glass 202608'!$C$7:$KZ$213,281,FALSE)="","",VLOOKUP($B18,'NHG''s optical glass 202608'!$C$7:$KZ$213,281,FALSE))</f>
        <v>0.924</v>
      </c>
      <c r="Z18" s="248"/>
      <c r="AA18" s="248"/>
      <c r="AB18" s="248">
        <f>IF(VLOOKUP($B18,'NHG''s optical glass 202608'!$C$7:$KZ$213,282,FALSE)="","",VLOOKUP($B18,'NHG''s optical glass 202608'!$C$7:$KZ$213,282,FALSE))</f>
        <v>0.862</v>
      </c>
      <c r="AC18" s="248"/>
      <c r="AD18" s="248">
        <f>IF(VLOOKUP($B18,'NHG''s optical glass 202608'!$C$7:$KZ$213,284,FALSE)="","",VLOOKUP($B18,'NHG''s optical glass 202608'!$C$7:$KZ$213,284,FALSE))</f>
        <v>0.697</v>
      </c>
      <c r="AE18" s="248"/>
      <c r="AF18" s="248"/>
      <c r="AG18" s="248">
        <f>IF(VLOOKUP($B18,'NHG''s optical glass 202608'!$C$7:$KZ$213,285,FALSE)="","",VLOOKUP($B18,'NHG''s optical glass 202608'!$C$7:$KZ$213,285,FALSE))</f>
        <v>0.466</v>
      </c>
      <c r="AH18" s="248"/>
      <c r="AI18" s="248"/>
      <c r="AJ18" s="248"/>
      <c r="AK18" s="248">
        <f>IF(VLOOKUP($B18,'NHG''s optical glass 202608'!$C$7:$KZ$213,286,FALSE)="","",VLOOKUP($B18,'NHG''s optical glass 202608'!$C$7:$KZ$213,286,FALSE))</f>
        <v>0.131</v>
      </c>
      <c r="AL18" s="248"/>
      <c r="AM18" s="248"/>
      <c r="AN18" s="420" t="str">
        <f>IF(VLOOKUP($B18,'NHG''s optical glass 202608'!$C$7:$KZ$213,221,FALSE)="","",VLOOKUP($B18,'NHG''s optical glass 202608'!$C$7:$KZ$213,221,FALSE))</f>
        <v>390/355</v>
      </c>
      <c r="AO18" s="428"/>
      <c r="AP18" s="428"/>
      <c r="AQ18" s="429"/>
      <c r="AR18" s="234" t="str">
        <f>IF(VLOOKUP($B18,'NHG''s optical glass 202608'!$C$7:$KZ$213,220,FALSE)="","",VLOOKUP($B18,'NHG''s optical glass 202608'!$C$7:$KZ$213,220,FALSE))</f>
        <v>(395)/360</v>
      </c>
      <c r="AS18" s="234"/>
      <c r="AT18" s="234"/>
      <c r="AU18" s="233"/>
      <c r="AV18" s="232"/>
      <c r="AW18" s="262">
        <f>IF(VLOOKUP($B18,'NHG''s optical glass 202608'!$C$7:$KZ$213,170,FALSE)="","",VLOOKUP($B18,'NHG''s optical glass 202608'!$C$7:$KZ$213,170,FALSE))</f>
        <v>1</v>
      </c>
      <c r="AX18" s="262"/>
      <c r="AY18" s="262"/>
      <c r="AZ18" s="262">
        <f>IF(VLOOKUP($B18,'NHG''s optical glass 202608'!$C$7:$KZ$213,171,FALSE)="","",VLOOKUP($B18,'NHG''s optical glass 202608'!$C$7:$KZ$213,171,FALSE))</f>
        <v>1</v>
      </c>
      <c r="BA18" s="262"/>
      <c r="BB18" s="262">
        <f>IF(VLOOKUP($B18,'NHG''s optical glass 202608'!$C$7:$KZ$213,175,FALSE)="","",VLOOKUP($B18,'NHG''s optical glass 202608'!$C$7:$KZ$213,175,FALSE))</f>
        <v>1</v>
      </c>
      <c r="BC18" s="262"/>
      <c r="BD18" s="262"/>
      <c r="BE18" s="262">
        <f>IF(VLOOKUP($B18,'NHG''s optical glass 202608'!$C$7:$KZ$213,174,FALSE)="","",VLOOKUP($B18,'NHG''s optical glass 202608'!$C$7:$KZ$213,174,FALSE))</f>
        <v>1</v>
      </c>
      <c r="BF18" s="262"/>
      <c r="BG18" s="262"/>
      <c r="BH18" s="262">
        <f>IF(VLOOKUP($B18,'NHG''s optical glass 202608'!$C$7:$KZ$213,172,FALSE)="","",VLOOKUP($B18,'NHG''s optical glass 202608'!$C$7:$KZ$213,172,FALSE))</f>
        <v>1</v>
      </c>
      <c r="BI18" s="262"/>
      <c r="BJ18" s="262"/>
      <c r="BK18" s="262"/>
      <c r="BL18" s="442">
        <f>IF(VLOOKUP($B18,'NHG''s optical glass 202608'!$C$7:$KZ$213,173,FALSE)="","",VLOOKUP($B18,'NHG''s optical glass 202608'!$C$7:$KZ$213,173,FALSE))</f>
        <v>1</v>
      </c>
      <c r="BM18" s="442"/>
      <c r="BN18" s="442">
        <f>IF(VLOOKUP($B18,'NHG''s optical glass 202608'!$C$7:$KZ$213,180,FALSE)="","",VLOOKUP($B18,'NHG''s optical glass 202608'!$C$7:$KZ$213,180,FALSE))</f>
        <v>585</v>
      </c>
      <c r="BO18" s="442"/>
      <c r="BP18" s="442"/>
      <c r="BQ18" s="442"/>
      <c r="BR18" s="442">
        <f>IF(VLOOKUP($B18,'NHG''s optical glass 202608'!$C$7:$KZ$213,181,FALSE)="","",VLOOKUP($B18,'NHG''s optical glass 202608'!$C$7:$KZ$213,181,FALSE))</f>
        <v>623</v>
      </c>
      <c r="BS18" s="442"/>
      <c r="BT18" s="442"/>
      <c r="BU18" s="442">
        <f>IF(VLOOKUP($B18,'NHG''s optical glass 202608'!$C$7:$KZ$213,186,FALSE)="","",VLOOKUP($B18,'NHG''s optical glass 202608'!$C$7:$KZ$213,186,FALSE))</f>
        <v>76</v>
      </c>
      <c r="BV18" s="442"/>
      <c r="BW18" s="442"/>
      <c r="BX18" s="442">
        <f>IF(VLOOKUP($B18,'NHG''s optical glass 202608'!$C$7:$KZ$213,187,FALSE)="","",VLOOKUP($B18,'NHG''s optical glass 202608'!$C$7:$KZ$213,187,FALSE))</f>
        <v>97</v>
      </c>
      <c r="BY18" s="442"/>
      <c r="BZ18" s="442"/>
      <c r="CA18" s="235">
        <f>IF(VLOOKUP($B18,'NHG''s optical glass 202608'!$C$7:$KZ$213,184,FALSE)="","",VLOOKUP($B18,'NHG''s optical glass 202608'!$C$7:$KZ$213,184,FALSE))</f>
        <v>1.23</v>
      </c>
      <c r="CB18" s="236"/>
      <c r="CC18" s="236"/>
      <c r="CD18" s="242"/>
      <c r="CE18" s="235" t="str">
        <f>IF(VLOOKUP($B18,'NHG''s optical glass 202608'!$C$7:$KZ$213,185,FALSE)="","",VLOOKUP($B18,'NHG''s optical glass 202608'!$C$7:$KZ$213,185,FALSE))</f>
        <v/>
      </c>
      <c r="CF18" s="236"/>
      <c r="CG18" s="236"/>
      <c r="CH18" s="483">
        <f>IF(VLOOKUP($B18,'NHG''s optical glass 202608'!$C$7:$KZ$213,212,FALSE)="","",VLOOKUP($B18,'NHG''s optical glass 202608'!$C$7:$KZ$213,212,FALSE))</f>
        <v>572</v>
      </c>
      <c r="CI18" s="484"/>
      <c r="CJ18" s="442">
        <f>IF(VLOOKUP($B18,'NHG''s optical glass 202608'!$C$7:$KZ$213,213,FALSE)="","",VLOOKUP($B18,'NHG''s optical glass 202608'!$C$7:$KZ$213,213,FALSE))</f>
        <v>201</v>
      </c>
      <c r="CK18" s="442"/>
      <c r="CL18" s="442"/>
      <c r="CM18" s="416">
        <f>IF(VLOOKUP($B18,'NHG''s optical glass 202608'!$C$7:$KZ$213,218,FALSE)="","",VLOOKUP($B18,'NHG''s optical glass 202608'!$C$7:$KZ$213,218,FALSE))</f>
        <v>3.06</v>
      </c>
      <c r="CN18" s="416"/>
      <c r="CO18" s="416"/>
      <c r="CP18" s="416">
        <f>IF(VLOOKUP($B18,'NHG''s optical glass 202608'!$C$7:$KZ$213,219,FALSE)="","",VLOOKUP($B18,'NHG''s optical glass 202608'!$C$7:$KZ$213,219,FALSE))</f>
        <v>3.49</v>
      </c>
      <c r="CQ18" s="416"/>
      <c r="CR18" s="405" t="str">
        <f t="shared" si="3"/>
        <v>H-ZF56</v>
      </c>
      <c r="CS18" s="233"/>
      <c r="CT18" s="233"/>
      <c r="CU18" s="233"/>
      <c r="CV18" s="233"/>
      <c r="CW18" s="233"/>
    </row>
    <row r="19" s="233" customFormat="1" ht="14.45" customHeight="1" spans="2:96">
      <c r="B19" s="407" t="str">
        <f t="shared" si="1"/>
        <v>H-ZF62</v>
      </c>
      <c r="C19" s="403">
        <f t="shared" si="2"/>
        <v>923209</v>
      </c>
      <c r="D19" s="409">
        <f>IF(VLOOKUP($B19,'NHG''s optical glass 202608'!$C$7:$KZ$213,259,FALSE)="","",VLOOKUP($B19,'NHG''s optical glass 202608'!$C$7:$KZ$213,259,FALSE))</f>
        <v>0.916</v>
      </c>
      <c r="E19" s="409"/>
      <c r="F19" s="409">
        <f>IF(VLOOKUP($B19,'NHG''s optical glass 202608'!$C$7:$KZ$213,263,FALSE)="","",VLOOKUP($B19,'NHG''s optical glass 202608'!$C$7:$KZ$213,263,FALSE))</f>
        <v>0.998</v>
      </c>
      <c r="G19" s="409"/>
      <c r="H19" s="409">
        <f>IF(VLOOKUP($B19,'NHG''s optical glass 202608'!$C$7:$KZ$213,268,FALSE)="","",VLOOKUP($B19,'NHG''s optical glass 202608'!$C$7:$KZ$213,268,FALSE))</f>
        <v>0.998</v>
      </c>
      <c r="I19" s="409"/>
      <c r="J19" s="409"/>
      <c r="K19" s="409"/>
      <c r="L19" s="409"/>
      <c r="M19" s="409">
        <f>IF(VLOOKUP($B19,'NHG''s optical glass 202608'!$C$7:$KZ$213,270,FALSE)="","",VLOOKUP($B19,'NHG''s optical glass 202608'!$C$7:$KZ$213,270,FALSE))</f>
        <v>0.998</v>
      </c>
      <c r="N19" s="409"/>
      <c r="O19" s="409"/>
      <c r="P19" s="409">
        <f>IF(VLOOKUP($B19,'NHG''s optical glass 202608'!$C$7:$KZ$213,273,FALSE)="","",VLOOKUP($B19,'NHG''s optical glass 202608'!$C$7:$KZ$213,273,FALSE))</f>
        <v>0.998</v>
      </c>
      <c r="Q19" s="409"/>
      <c r="R19" s="409"/>
      <c r="S19" s="409">
        <f>IF(VLOOKUP($B19,'NHG''s optical glass 202608'!$C$7:$KZ$213,277,FALSE)="","",VLOOKUP($B19,'NHG''s optical glass 202608'!$C$7:$KZ$213,277,FALSE))</f>
        <v>0.965</v>
      </c>
      <c r="T19" s="409"/>
      <c r="U19" s="409">
        <f>IF(VLOOKUP($B19,'NHG''s optical glass 202608'!$C$7:$KZ$213,279,FALSE)="","",VLOOKUP($B19,'NHG''s optical glass 202608'!$C$7:$KZ$213,279,FALSE))</f>
        <v>0.934</v>
      </c>
      <c r="V19" s="409"/>
      <c r="W19" s="409">
        <f>IF(VLOOKUP($B19,'NHG''s optical glass 202608'!$C$7:$KZ$213,280,FALSE)="","",VLOOKUP($B19,'NHG''s optical glass 202608'!$C$7:$KZ$213,280,FALSE))</f>
        <v>0.902</v>
      </c>
      <c r="X19" s="409"/>
      <c r="Y19" s="409">
        <f>IF(VLOOKUP($B19,'NHG''s optical glass 202608'!$C$7:$KZ$213,281,FALSE)="","",VLOOKUP($B19,'NHG''s optical glass 202608'!$C$7:$KZ$213,281,FALSE))</f>
        <v>0.84</v>
      </c>
      <c r="Z19" s="409"/>
      <c r="AA19" s="409"/>
      <c r="AB19" s="409">
        <f>IF(VLOOKUP($B19,'NHG''s optical glass 202608'!$C$7:$KZ$213,282,FALSE)="","",VLOOKUP($B19,'NHG''s optical glass 202608'!$C$7:$KZ$213,282,FALSE))</f>
        <v>0.625</v>
      </c>
      <c r="AC19" s="409"/>
      <c r="AD19" s="409">
        <f>IF(VLOOKUP($B19,'NHG''s optical glass 202608'!$C$7:$KZ$213,284,FALSE)="","",VLOOKUP($B19,'NHG''s optical glass 202608'!$C$7:$KZ$213,284,FALSE))</f>
        <v>0.044</v>
      </c>
      <c r="AE19" s="409"/>
      <c r="AF19" s="409"/>
      <c r="AG19" s="409" t="str">
        <f>IF(VLOOKUP($B19,'NHG''s optical glass 202608'!$C$7:$KZ$213,285,FALSE)="","",VLOOKUP($B19,'NHG''s optical glass 202608'!$C$7:$KZ$213,285,FALSE))</f>
        <v/>
      </c>
      <c r="AH19" s="409"/>
      <c r="AI19" s="409"/>
      <c r="AJ19" s="409"/>
      <c r="AK19" s="409" t="str">
        <f>IF(VLOOKUP($B19,'NHG''s optical glass 202608'!$C$7:$KZ$213,286,FALSE)="","",VLOOKUP($B19,'NHG''s optical glass 202608'!$C$7:$KZ$213,286,FALSE))</f>
        <v/>
      </c>
      <c r="AL19" s="409"/>
      <c r="AM19" s="409"/>
      <c r="AN19" s="419" t="str">
        <f>IF(VLOOKUP($B19,'NHG''s optical glass 202608'!$C$7:$KZ$213,221,FALSE)="","",VLOOKUP($B19,'NHG''s optical glass 202608'!$C$7:$KZ$213,221,FALSE))</f>
        <v>415/382</v>
      </c>
      <c r="AO19" s="426"/>
      <c r="AP19" s="426"/>
      <c r="AQ19" s="427"/>
      <c r="AR19" s="403" t="str">
        <f>IF(VLOOKUP($B19,'NHG''s optical glass 202608'!$C$7:$KZ$213,220,FALSE)="","",VLOOKUP($B19,'NHG''s optical glass 202608'!$C$7:$KZ$213,220,FALSE))</f>
        <v>(435)/385</v>
      </c>
      <c r="AS19" s="403"/>
      <c r="AT19" s="403"/>
      <c r="AV19" s="232"/>
      <c r="AW19" s="457">
        <f>IF(VLOOKUP($B19,'NHG''s optical glass 202608'!$C$7:$KZ$213,170,FALSE)="","",VLOOKUP($B19,'NHG''s optical glass 202608'!$C$7:$KZ$213,170,FALSE))</f>
        <v>1</v>
      </c>
      <c r="AX19" s="457"/>
      <c r="AY19" s="457"/>
      <c r="AZ19" s="457">
        <f>IF(VLOOKUP($B19,'NHG''s optical glass 202608'!$C$7:$KZ$213,171,FALSE)="","",VLOOKUP($B19,'NHG''s optical glass 202608'!$C$7:$KZ$213,171,FALSE))</f>
        <v>1</v>
      </c>
      <c r="BA19" s="457"/>
      <c r="BB19" s="457">
        <f>IF(VLOOKUP($B19,'NHG''s optical glass 202608'!$C$7:$KZ$213,175,FALSE)="","",VLOOKUP($B19,'NHG''s optical glass 202608'!$C$7:$KZ$213,175,FALSE))</f>
        <v>1</v>
      </c>
      <c r="BC19" s="457"/>
      <c r="BD19" s="457"/>
      <c r="BE19" s="457">
        <f>IF(VLOOKUP($B19,'NHG''s optical glass 202608'!$C$7:$KZ$213,174,FALSE)="","",VLOOKUP($B19,'NHG''s optical glass 202608'!$C$7:$KZ$213,174,FALSE))</f>
        <v>1</v>
      </c>
      <c r="BF19" s="457"/>
      <c r="BG19" s="457"/>
      <c r="BH19" s="457">
        <f>IF(VLOOKUP($B19,'NHG''s optical glass 202608'!$C$7:$KZ$213,172,FALSE)="","",VLOOKUP($B19,'NHG''s optical glass 202608'!$C$7:$KZ$213,172,FALSE))</f>
        <v>1</v>
      </c>
      <c r="BI19" s="457"/>
      <c r="BJ19" s="457"/>
      <c r="BK19" s="457"/>
      <c r="BL19" s="441">
        <f>IF(VLOOKUP($B19,'NHG''s optical glass 202608'!$C$7:$KZ$213,173,FALSE)="","",VLOOKUP($B19,'NHG''s optical glass 202608'!$C$7:$KZ$213,173,FALSE))</f>
        <v>1</v>
      </c>
      <c r="BM19" s="441"/>
      <c r="BN19" s="459">
        <f>IF(VLOOKUP($B19,'NHG''s optical glass 202608'!$C$7:$KZ$213,180,FALSE)="","",VLOOKUP($B19,'NHG''s optical glass 202608'!$C$7:$KZ$213,180,FALSE))</f>
        <v>690</v>
      </c>
      <c r="BO19" s="459"/>
      <c r="BP19" s="459"/>
      <c r="BQ19" s="459"/>
      <c r="BR19" s="459">
        <f>IF(VLOOKUP($B19,'NHG''s optical glass 202608'!$C$7:$KZ$213,181,FALSE)="","",VLOOKUP($B19,'NHG''s optical glass 202608'!$C$7:$KZ$213,181,FALSE))</f>
        <v>725</v>
      </c>
      <c r="BS19" s="459"/>
      <c r="BT19" s="459"/>
      <c r="BU19" s="441">
        <f>IF(VLOOKUP($B19,'NHG''s optical glass 202608'!$C$7:$KZ$213,186,FALSE)="","",VLOOKUP($B19,'NHG''s optical glass 202608'!$C$7:$KZ$213,186,FALSE))</f>
        <v>61</v>
      </c>
      <c r="BV19" s="441"/>
      <c r="BW19" s="441"/>
      <c r="BX19" s="441">
        <f>IF(VLOOKUP($B19,'NHG''s optical glass 202608'!$C$7:$KZ$213,187,FALSE)="","",VLOOKUP($B19,'NHG''s optical glass 202608'!$C$7:$KZ$213,187,FALSE))</f>
        <v>74</v>
      </c>
      <c r="BY19" s="441"/>
      <c r="BZ19" s="441"/>
      <c r="CA19" s="466">
        <f>IF(VLOOKUP($B19,'NHG''s optical glass 202608'!$C$7:$KZ$213,184,FALSE)="","",VLOOKUP($B19,'NHG''s optical glass 202608'!$C$7:$KZ$213,184,FALSE))</f>
        <v>0.99</v>
      </c>
      <c r="CB19" s="467"/>
      <c r="CC19" s="467"/>
      <c r="CD19" s="480"/>
      <c r="CE19" s="466" t="str">
        <f>IF(VLOOKUP($B19,'NHG''s optical glass 202608'!$C$7:$KZ$213,185,FALSE)="","",VLOOKUP($B19,'NHG''s optical glass 202608'!$C$7:$KZ$213,185,FALSE))</f>
        <v/>
      </c>
      <c r="CF19" s="467"/>
      <c r="CG19" s="467"/>
      <c r="CH19" s="485">
        <f>IF(VLOOKUP($B19,'NHG''s optical glass 202608'!$C$7:$KZ$213,212,FALSE)="","",VLOOKUP($B19,'NHG''s optical glass 202608'!$C$7:$KZ$213,212,FALSE))</f>
        <v>485</v>
      </c>
      <c r="CI19" s="486"/>
      <c r="CJ19" s="441">
        <f>IF(VLOOKUP($B19,'NHG''s optical glass 202608'!$C$7:$KZ$213,213,FALSE)="","",VLOOKUP($B19,'NHG''s optical glass 202608'!$C$7:$KZ$213,213,FALSE))</f>
        <v>228</v>
      </c>
      <c r="CK19" s="441"/>
      <c r="CL19" s="441"/>
      <c r="CM19" s="415">
        <f>IF(VLOOKUP($B19,'NHG''s optical glass 202608'!$C$7:$KZ$213,218,FALSE)="","",VLOOKUP($B19,'NHG''s optical glass 202608'!$C$7:$KZ$213,218,FALSE))</f>
        <v>2.85</v>
      </c>
      <c r="CN19" s="415"/>
      <c r="CO19" s="415"/>
      <c r="CP19" s="415">
        <f>IF(VLOOKUP($B19,'NHG''s optical glass 202608'!$C$7:$KZ$213,219,FALSE)="","",VLOOKUP($B19,'NHG''s optical glass 202608'!$C$7:$KZ$213,219,FALSE))</f>
        <v>3.93</v>
      </c>
      <c r="CQ19" s="415"/>
      <c r="CR19" s="407" t="str">
        <f t="shared" si="3"/>
        <v>H-ZF62</v>
      </c>
    </row>
    <row r="21" spans="21:21">
      <c r="U21" s="7" t="s">
        <v>1711</v>
      </c>
    </row>
  </sheetData>
  <mergeCells count="456">
    <mergeCell ref="BM2:BX2"/>
    <mergeCell ref="BY2:CF2"/>
    <mergeCell ref="D4:H4"/>
    <mergeCell ref="N4:S4"/>
    <mergeCell ref="W4:Y4"/>
    <mergeCell ref="Z4:AB4"/>
    <mergeCell ref="AC4:AF4"/>
    <mergeCell ref="AG4:AK4"/>
    <mergeCell ref="AL4:AN4"/>
    <mergeCell ref="AO4:AQ4"/>
    <mergeCell ref="AR4:AT4"/>
    <mergeCell ref="AW4:AZ4"/>
    <mergeCell ref="BA4:BC4"/>
    <mergeCell ref="BD4:BF4"/>
    <mergeCell ref="BG4:BI4"/>
    <mergeCell ref="BJ4:BL4"/>
    <mergeCell ref="CG4:CI4"/>
    <mergeCell ref="CJ4:CM4"/>
    <mergeCell ref="CN4:CQ4"/>
    <mergeCell ref="D5:F5"/>
    <mergeCell ref="G5:H5"/>
    <mergeCell ref="I5:M5"/>
    <mergeCell ref="N5:Q5"/>
    <mergeCell ref="R5:S5"/>
    <mergeCell ref="T5:V5"/>
    <mergeCell ref="W5:Y5"/>
    <mergeCell ref="Z5:AB5"/>
    <mergeCell ref="AC5:AF5"/>
    <mergeCell ref="AG5:AK5"/>
    <mergeCell ref="AL5:AN5"/>
    <mergeCell ref="AO5:AQ5"/>
    <mergeCell ref="AR5:AT5"/>
    <mergeCell ref="AW5:AZ5"/>
    <mergeCell ref="BA5:BC5"/>
    <mergeCell ref="BD5:BF5"/>
    <mergeCell ref="BG5:BI5"/>
    <mergeCell ref="BJ5:BL5"/>
    <mergeCell ref="BM5:BO5"/>
    <mergeCell ref="BP5:BS5"/>
    <mergeCell ref="BT5:BV5"/>
    <mergeCell ref="BW5:BX5"/>
    <mergeCell ref="BY5:CA5"/>
    <mergeCell ref="CB5:CF5"/>
    <mergeCell ref="CG5:CI5"/>
    <mergeCell ref="CJ5:CM5"/>
    <mergeCell ref="CN5:CQ5"/>
    <mergeCell ref="D6:F6"/>
    <mergeCell ref="G6:H6"/>
    <mergeCell ref="I6:M6"/>
    <mergeCell ref="N6:Q6"/>
    <mergeCell ref="R6:S6"/>
    <mergeCell ref="T6:V6"/>
    <mergeCell ref="W6:Y6"/>
    <mergeCell ref="Z6:AB6"/>
    <mergeCell ref="AC6:AF6"/>
    <mergeCell ref="AG6:AK6"/>
    <mergeCell ref="AL6:AN6"/>
    <mergeCell ref="AO6:AQ6"/>
    <mergeCell ref="AR6:AT6"/>
    <mergeCell ref="AW6:AZ6"/>
    <mergeCell ref="BA6:BC6"/>
    <mergeCell ref="BD6:BF6"/>
    <mergeCell ref="BG6:BI6"/>
    <mergeCell ref="BJ6:BL6"/>
    <mergeCell ref="BM6:BO6"/>
    <mergeCell ref="BP6:BS6"/>
    <mergeCell ref="BT6:BV6"/>
    <mergeCell ref="BW6:BX6"/>
    <mergeCell ref="BY6:CA6"/>
    <mergeCell ref="CB6:CF6"/>
    <mergeCell ref="CG6:CI6"/>
    <mergeCell ref="CJ6:CM6"/>
    <mergeCell ref="CN6:CQ6"/>
    <mergeCell ref="D7:F7"/>
    <mergeCell ref="G7:H7"/>
    <mergeCell ref="I7:M7"/>
    <mergeCell ref="N7:Q7"/>
    <mergeCell ref="R7:S7"/>
    <mergeCell ref="T7:V7"/>
    <mergeCell ref="W7:Y7"/>
    <mergeCell ref="Z7:AB7"/>
    <mergeCell ref="AC7:AF7"/>
    <mergeCell ref="AG7:AK7"/>
    <mergeCell ref="AL7:AN7"/>
    <mergeCell ref="AO7:AQ7"/>
    <mergeCell ref="AR7:AT7"/>
    <mergeCell ref="AW7:AZ7"/>
    <mergeCell ref="BA7:BC7"/>
    <mergeCell ref="BD7:BF7"/>
    <mergeCell ref="BG7:BI7"/>
    <mergeCell ref="BJ7:BL7"/>
    <mergeCell ref="BM7:BO7"/>
    <mergeCell ref="BP7:BS7"/>
    <mergeCell ref="BT7:BV7"/>
    <mergeCell ref="BW7:BX7"/>
    <mergeCell ref="BY7:CA7"/>
    <mergeCell ref="CB7:CF7"/>
    <mergeCell ref="CG7:CI7"/>
    <mergeCell ref="CJ7:CM7"/>
    <mergeCell ref="CN7:CQ7"/>
    <mergeCell ref="D8:F8"/>
    <mergeCell ref="G8:H8"/>
    <mergeCell ref="I8:M8"/>
    <mergeCell ref="N8:Q8"/>
    <mergeCell ref="R8:S8"/>
    <mergeCell ref="T8:V8"/>
    <mergeCell ref="W8:Y8"/>
    <mergeCell ref="Z8:AB8"/>
    <mergeCell ref="AC8:AF8"/>
    <mergeCell ref="AG8:AK8"/>
    <mergeCell ref="AL8:AN8"/>
    <mergeCell ref="AO8:AQ8"/>
    <mergeCell ref="AR8:AT8"/>
    <mergeCell ref="AW8:AZ8"/>
    <mergeCell ref="BA8:BC8"/>
    <mergeCell ref="BD8:BF8"/>
    <mergeCell ref="BG8:BI8"/>
    <mergeCell ref="BJ8:BL8"/>
    <mergeCell ref="BM8:BO8"/>
    <mergeCell ref="BP8:BS8"/>
    <mergeCell ref="BT8:BV8"/>
    <mergeCell ref="BW8:BX8"/>
    <mergeCell ref="BY8:CA8"/>
    <mergeCell ref="CB8:CF8"/>
    <mergeCell ref="CG8:CI8"/>
    <mergeCell ref="CJ8:CM8"/>
    <mergeCell ref="CN8:CQ8"/>
    <mergeCell ref="D9:F9"/>
    <mergeCell ref="G9:H9"/>
    <mergeCell ref="I9:M9"/>
    <mergeCell ref="N9:Q9"/>
    <mergeCell ref="R9:S9"/>
    <mergeCell ref="T9:V9"/>
    <mergeCell ref="W9:Y9"/>
    <mergeCell ref="Z9:AB9"/>
    <mergeCell ref="AC9:AF9"/>
    <mergeCell ref="AG9:AK9"/>
    <mergeCell ref="AL9:AN9"/>
    <mergeCell ref="AO9:AQ9"/>
    <mergeCell ref="AR9:AT9"/>
    <mergeCell ref="AW9:AZ9"/>
    <mergeCell ref="BA9:BC9"/>
    <mergeCell ref="BD9:BF9"/>
    <mergeCell ref="BG9:BI9"/>
    <mergeCell ref="BJ9:BL9"/>
    <mergeCell ref="BM9:BO9"/>
    <mergeCell ref="BP9:BS9"/>
    <mergeCell ref="BT9:BV9"/>
    <mergeCell ref="BW9:BX9"/>
    <mergeCell ref="BY9:CA9"/>
    <mergeCell ref="CB9:CF9"/>
    <mergeCell ref="CG9:CI9"/>
    <mergeCell ref="CJ9:CM9"/>
    <mergeCell ref="CN9:CQ9"/>
    <mergeCell ref="D10:F10"/>
    <mergeCell ref="G10:H10"/>
    <mergeCell ref="I10:M10"/>
    <mergeCell ref="N10:Q10"/>
    <mergeCell ref="R10:S10"/>
    <mergeCell ref="T10:V10"/>
    <mergeCell ref="W10:Y10"/>
    <mergeCell ref="Z10:AB10"/>
    <mergeCell ref="AC10:AF10"/>
    <mergeCell ref="AG10:AK10"/>
    <mergeCell ref="AL10:AN10"/>
    <mergeCell ref="AO10:AQ10"/>
    <mergeCell ref="AR10:AT10"/>
    <mergeCell ref="AW10:AZ10"/>
    <mergeCell ref="BA10:BC10"/>
    <mergeCell ref="BD10:BF10"/>
    <mergeCell ref="BG10:BI10"/>
    <mergeCell ref="BJ10:BL10"/>
    <mergeCell ref="BM10:BO10"/>
    <mergeCell ref="BP10:BS10"/>
    <mergeCell ref="BT10:BV10"/>
    <mergeCell ref="BW10:BX10"/>
    <mergeCell ref="BY10:CA10"/>
    <mergeCell ref="CB10:CF10"/>
    <mergeCell ref="CG10:CI10"/>
    <mergeCell ref="CJ10:CM10"/>
    <mergeCell ref="CN10:CQ10"/>
    <mergeCell ref="D11:AM11"/>
    <mergeCell ref="AN11:AQ11"/>
    <mergeCell ref="AR11:AT11"/>
    <mergeCell ref="AW11:BG11"/>
    <mergeCell ref="BH11:BM11"/>
    <mergeCell ref="D12:E12"/>
    <mergeCell ref="F12:G12"/>
    <mergeCell ref="H12:L12"/>
    <mergeCell ref="M12:O12"/>
    <mergeCell ref="P12:R12"/>
    <mergeCell ref="S12:T12"/>
    <mergeCell ref="U12:V12"/>
    <mergeCell ref="W12:X12"/>
    <mergeCell ref="Y12:AA12"/>
    <mergeCell ref="AB12:AC12"/>
    <mergeCell ref="AD12:AF12"/>
    <mergeCell ref="AG12:AJ12"/>
    <mergeCell ref="AK12:AM12"/>
    <mergeCell ref="D13:E13"/>
    <mergeCell ref="F13:G13"/>
    <mergeCell ref="H13:L13"/>
    <mergeCell ref="M13:O13"/>
    <mergeCell ref="P13:R13"/>
    <mergeCell ref="S13:T13"/>
    <mergeCell ref="U13:V13"/>
    <mergeCell ref="W13:X13"/>
    <mergeCell ref="Y13:AA13"/>
    <mergeCell ref="AB13:AC13"/>
    <mergeCell ref="AD13:AF13"/>
    <mergeCell ref="AG13:AJ13"/>
    <mergeCell ref="AK13:AM13"/>
    <mergeCell ref="BN13:BQ13"/>
    <mergeCell ref="BR13:BT13"/>
    <mergeCell ref="BU13:BW13"/>
    <mergeCell ref="BX13:BZ13"/>
    <mergeCell ref="CA13:CD13"/>
    <mergeCell ref="CE13:CG13"/>
    <mergeCell ref="CH13:CI13"/>
    <mergeCell ref="CJ13:CL13"/>
    <mergeCell ref="CM13:CO13"/>
    <mergeCell ref="CP13:CQ13"/>
    <mergeCell ref="D14:E14"/>
    <mergeCell ref="F14:G14"/>
    <mergeCell ref="H14:L14"/>
    <mergeCell ref="M14:O14"/>
    <mergeCell ref="P14:R14"/>
    <mergeCell ref="S14:T14"/>
    <mergeCell ref="U14:V14"/>
    <mergeCell ref="W14:X14"/>
    <mergeCell ref="Y14:AA14"/>
    <mergeCell ref="AB14:AC14"/>
    <mergeCell ref="AD14:AF14"/>
    <mergeCell ref="AG14:AJ14"/>
    <mergeCell ref="AK14:AM14"/>
    <mergeCell ref="AN14:AQ14"/>
    <mergeCell ref="AR14:AT14"/>
    <mergeCell ref="AW14:AY14"/>
    <mergeCell ref="AZ14:BA14"/>
    <mergeCell ref="BB14:BD14"/>
    <mergeCell ref="BE14:BG14"/>
    <mergeCell ref="BH14:BK14"/>
    <mergeCell ref="BL14:BM14"/>
    <mergeCell ref="BN14:BQ14"/>
    <mergeCell ref="BR14:BT14"/>
    <mergeCell ref="BU14:BW14"/>
    <mergeCell ref="BX14:BZ14"/>
    <mergeCell ref="CA14:CD14"/>
    <mergeCell ref="CE14:CG14"/>
    <mergeCell ref="CH14:CI14"/>
    <mergeCell ref="CJ14:CL14"/>
    <mergeCell ref="CM14:CO14"/>
    <mergeCell ref="CP14:CQ14"/>
    <mergeCell ref="D15:E15"/>
    <mergeCell ref="F15:G15"/>
    <mergeCell ref="H15:L15"/>
    <mergeCell ref="M15:O15"/>
    <mergeCell ref="P15:R15"/>
    <mergeCell ref="S15:T15"/>
    <mergeCell ref="U15:V15"/>
    <mergeCell ref="W15:X15"/>
    <mergeCell ref="Y15:AA15"/>
    <mergeCell ref="AB15:AC15"/>
    <mergeCell ref="AD15:AF15"/>
    <mergeCell ref="AG15:AJ15"/>
    <mergeCell ref="AK15:AM15"/>
    <mergeCell ref="AN15:AQ15"/>
    <mergeCell ref="AR15:AT15"/>
    <mergeCell ref="AW15:AY15"/>
    <mergeCell ref="AZ15:BA15"/>
    <mergeCell ref="BB15:BD15"/>
    <mergeCell ref="BE15:BG15"/>
    <mergeCell ref="BH15:BK15"/>
    <mergeCell ref="BL15:BM15"/>
    <mergeCell ref="BN15:BQ15"/>
    <mergeCell ref="BR15:BT15"/>
    <mergeCell ref="BU15:BW15"/>
    <mergeCell ref="BX15:BZ15"/>
    <mergeCell ref="CA15:CD15"/>
    <mergeCell ref="CE15:CG15"/>
    <mergeCell ref="CH15:CI15"/>
    <mergeCell ref="CJ15:CL15"/>
    <mergeCell ref="CM15:CO15"/>
    <mergeCell ref="CP15:CQ15"/>
    <mergeCell ref="D16:E16"/>
    <mergeCell ref="F16:G16"/>
    <mergeCell ref="H16:L16"/>
    <mergeCell ref="M16:O16"/>
    <mergeCell ref="P16:R16"/>
    <mergeCell ref="S16:T16"/>
    <mergeCell ref="U16:V16"/>
    <mergeCell ref="W16:X16"/>
    <mergeCell ref="Y16:AA16"/>
    <mergeCell ref="AB16:AC16"/>
    <mergeCell ref="AD16:AF16"/>
    <mergeCell ref="AG16:AJ16"/>
    <mergeCell ref="AK16:AM16"/>
    <mergeCell ref="AN16:AQ16"/>
    <mergeCell ref="AR16:AT16"/>
    <mergeCell ref="AW16:AY16"/>
    <mergeCell ref="AZ16:BA16"/>
    <mergeCell ref="BB16:BD16"/>
    <mergeCell ref="BE16:BG16"/>
    <mergeCell ref="BH16:BK16"/>
    <mergeCell ref="BL16:BM16"/>
    <mergeCell ref="BN16:BQ16"/>
    <mergeCell ref="BR16:BT16"/>
    <mergeCell ref="BU16:BW16"/>
    <mergeCell ref="BX16:BZ16"/>
    <mergeCell ref="CA16:CD16"/>
    <mergeCell ref="CE16:CG16"/>
    <mergeCell ref="CH16:CI16"/>
    <mergeCell ref="CJ16:CL16"/>
    <mergeCell ref="CM16:CO16"/>
    <mergeCell ref="CP16:CQ16"/>
    <mergeCell ref="D17:E17"/>
    <mergeCell ref="F17:G17"/>
    <mergeCell ref="H17:L17"/>
    <mergeCell ref="M17:O17"/>
    <mergeCell ref="P17:R17"/>
    <mergeCell ref="S17:T17"/>
    <mergeCell ref="U17:V17"/>
    <mergeCell ref="W17:X17"/>
    <mergeCell ref="Y17:AA17"/>
    <mergeCell ref="AB17:AC17"/>
    <mergeCell ref="AD17:AF17"/>
    <mergeCell ref="AG17:AJ17"/>
    <mergeCell ref="AK17:AM17"/>
    <mergeCell ref="AN17:AQ17"/>
    <mergeCell ref="AR17:AT17"/>
    <mergeCell ref="AW17:AY17"/>
    <mergeCell ref="AZ17:BA17"/>
    <mergeCell ref="BB17:BD17"/>
    <mergeCell ref="BE17:BG17"/>
    <mergeCell ref="BH17:BK17"/>
    <mergeCell ref="BL17:BM17"/>
    <mergeCell ref="BN17:BQ17"/>
    <mergeCell ref="BR17:BT17"/>
    <mergeCell ref="BU17:BW17"/>
    <mergeCell ref="BX17:BZ17"/>
    <mergeCell ref="CA17:CD17"/>
    <mergeCell ref="CE17:CG17"/>
    <mergeCell ref="CH17:CI17"/>
    <mergeCell ref="CJ17:CL17"/>
    <mergeCell ref="CM17:CO17"/>
    <mergeCell ref="CP17:CQ17"/>
    <mergeCell ref="D18:E18"/>
    <mergeCell ref="F18:G18"/>
    <mergeCell ref="H18:L18"/>
    <mergeCell ref="M18:O18"/>
    <mergeCell ref="P18:R18"/>
    <mergeCell ref="S18:T18"/>
    <mergeCell ref="U18:V18"/>
    <mergeCell ref="W18:X18"/>
    <mergeCell ref="Y18:AA18"/>
    <mergeCell ref="AB18:AC18"/>
    <mergeCell ref="AD18:AF18"/>
    <mergeCell ref="AG18:AJ18"/>
    <mergeCell ref="AK18:AM18"/>
    <mergeCell ref="AN18:AQ18"/>
    <mergeCell ref="AR18:AT18"/>
    <mergeCell ref="AW18:AY18"/>
    <mergeCell ref="AZ18:BA18"/>
    <mergeCell ref="BB18:BD18"/>
    <mergeCell ref="BE18:BG18"/>
    <mergeCell ref="BH18:BK18"/>
    <mergeCell ref="BL18:BM18"/>
    <mergeCell ref="BN18:BQ18"/>
    <mergeCell ref="BR18:BT18"/>
    <mergeCell ref="BU18:BW18"/>
    <mergeCell ref="BX18:BZ18"/>
    <mergeCell ref="CA18:CD18"/>
    <mergeCell ref="CE18:CG18"/>
    <mergeCell ref="CH18:CI18"/>
    <mergeCell ref="CJ18:CL18"/>
    <mergeCell ref="CM18:CO18"/>
    <mergeCell ref="CP18:CQ18"/>
    <mergeCell ref="D19:E19"/>
    <mergeCell ref="F19:G19"/>
    <mergeCell ref="H19:L19"/>
    <mergeCell ref="M19:O19"/>
    <mergeCell ref="P19:R19"/>
    <mergeCell ref="S19:T19"/>
    <mergeCell ref="U19:V19"/>
    <mergeCell ref="W19:X19"/>
    <mergeCell ref="Y19:AA19"/>
    <mergeCell ref="AB19:AC19"/>
    <mergeCell ref="AD19:AF19"/>
    <mergeCell ref="AG19:AJ19"/>
    <mergeCell ref="AK19:AM19"/>
    <mergeCell ref="AN19:AQ19"/>
    <mergeCell ref="AR19:AT19"/>
    <mergeCell ref="AW19:AY19"/>
    <mergeCell ref="AZ19:BA19"/>
    <mergeCell ref="BB19:BD19"/>
    <mergeCell ref="BE19:BG19"/>
    <mergeCell ref="BH19:BK19"/>
    <mergeCell ref="BL19:BM19"/>
    <mergeCell ref="BN19:BQ19"/>
    <mergeCell ref="BR19:BT19"/>
    <mergeCell ref="BU19:BW19"/>
    <mergeCell ref="BX19:BZ19"/>
    <mergeCell ref="CA19:CD19"/>
    <mergeCell ref="CE19:CG19"/>
    <mergeCell ref="CH19:CI19"/>
    <mergeCell ref="CJ19:CL19"/>
    <mergeCell ref="CM19:CO19"/>
    <mergeCell ref="CP19:CQ19"/>
    <mergeCell ref="B2:B4"/>
    <mergeCell ref="B11:B13"/>
    <mergeCell ref="C2:C4"/>
    <mergeCell ref="C11:C13"/>
    <mergeCell ref="CR2:CR4"/>
    <mergeCell ref="CR11:CR13"/>
    <mergeCell ref="D2:F3"/>
    <mergeCell ref="G2:H3"/>
    <mergeCell ref="I2:M4"/>
    <mergeCell ref="N2:Q3"/>
    <mergeCell ref="R2:S3"/>
    <mergeCell ref="T2:V4"/>
    <mergeCell ref="W2:Y3"/>
    <mergeCell ref="Z2:AB3"/>
    <mergeCell ref="AL2:AN3"/>
    <mergeCell ref="AO2:AQ3"/>
    <mergeCell ref="AR2:AT3"/>
    <mergeCell ref="BA2:BC3"/>
    <mergeCell ref="BD2:BF3"/>
    <mergeCell ref="BG2:BI3"/>
    <mergeCell ref="BJ2:BL3"/>
    <mergeCell ref="AC2:AF3"/>
    <mergeCell ref="AW2:AZ3"/>
    <mergeCell ref="AG2:AK3"/>
    <mergeCell ref="CG2:CQ3"/>
    <mergeCell ref="BM3:BO4"/>
    <mergeCell ref="BY3:CA4"/>
    <mergeCell ref="BP3:BS4"/>
    <mergeCell ref="BT3:BV4"/>
    <mergeCell ref="BW3:BX4"/>
    <mergeCell ref="CB3:CF4"/>
    <mergeCell ref="BN11:BQ12"/>
    <mergeCell ref="BR11:BT12"/>
    <mergeCell ref="CJ11:CL12"/>
    <mergeCell ref="CM11:CO12"/>
    <mergeCell ref="BU11:BZ12"/>
    <mergeCell ref="CA11:CD12"/>
    <mergeCell ref="CE11:CG12"/>
    <mergeCell ref="CH11:CI12"/>
    <mergeCell ref="CP11:CQ12"/>
    <mergeCell ref="AN12:AQ13"/>
    <mergeCell ref="BH12:BK13"/>
    <mergeCell ref="AR12:AT13"/>
    <mergeCell ref="AW12:AY13"/>
    <mergeCell ref="AZ12:BA13"/>
    <mergeCell ref="BL12:BM13"/>
    <mergeCell ref="BB12:BD13"/>
    <mergeCell ref="BE12:BG13"/>
  </mergeCells>
  <printOptions horizontalCentered="1" verticalCentered="1"/>
  <pageMargins left="0.078740157480315" right="1.14173228346457" top="0.236220472440945" bottom="0.31496062992126" header="0" footer="0"/>
  <pageSetup paperSize="161" scale="8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W21"/>
  <sheetViews>
    <sheetView zoomScale="130" zoomScaleNormal="130" workbookViewId="0">
      <selection activeCell="AI22" sqref="AI22"/>
    </sheetView>
  </sheetViews>
  <sheetFormatPr defaultColWidth="9" defaultRowHeight="9.6"/>
  <cols>
    <col min="1" max="1" width="2.37962962962963" style="7" customWidth="1"/>
    <col min="2" max="2" width="10.8796296296296" style="7" customWidth="1"/>
    <col min="3" max="3" width="4.62962962962963" style="7" customWidth="1"/>
    <col min="4" max="4" width="1.75" style="7" customWidth="1"/>
    <col min="5" max="5" width="2" style="7" customWidth="1"/>
    <col min="6" max="6" width="1.12962962962963" style="7" customWidth="1"/>
    <col min="7" max="7" width="2.87962962962963" style="7" customWidth="1"/>
    <col min="8" max="8" width="0.62962962962963" style="7" customWidth="1"/>
    <col min="9" max="9" width="1.25" style="7" customWidth="1"/>
    <col min="10" max="10" width="0.37962962962963" style="7" customWidth="1"/>
    <col min="11" max="11" width="1.5" style="7" customWidth="1"/>
    <col min="12" max="12" width="0.25" style="7" customWidth="1"/>
    <col min="13" max="13" width="2" style="7" customWidth="1"/>
    <col min="14" max="14" width="1.12962962962963" style="7" customWidth="1"/>
    <col min="15" max="15" width="0.87962962962963" style="7" customWidth="1"/>
    <col min="16" max="16" width="1.87962962962963" style="7" customWidth="1"/>
    <col min="17" max="17" width="0.62962962962963" style="7" customWidth="1"/>
    <col min="18" max="18" width="1.37962962962963" style="7" customWidth="1"/>
    <col min="19" max="19" width="2.25" style="7" customWidth="1"/>
    <col min="20" max="20" width="1.62962962962963" style="7" customWidth="1"/>
    <col min="21" max="21" width="2" style="7" customWidth="1"/>
    <col min="22" max="22" width="1.5" style="7" customWidth="1"/>
    <col min="23" max="23" width="1.87962962962963" style="7" customWidth="1"/>
    <col min="24" max="24" width="1.75" style="7" customWidth="1"/>
    <col min="25" max="25" width="1.62962962962963" style="7" customWidth="1"/>
    <col min="26" max="26" width="0.75" style="7" customWidth="1"/>
    <col min="27" max="27" width="1.37962962962963" style="7" customWidth="1"/>
    <col min="28" max="28" width="2.62962962962963" style="7" customWidth="1"/>
    <col min="29" max="30" width="1.25" style="7" customWidth="1"/>
    <col min="31" max="31" width="1.5" style="7" customWidth="1"/>
    <col min="32" max="33" width="0.87962962962963" style="7" customWidth="1"/>
    <col min="34" max="34" width="1.25" style="7" customWidth="1"/>
    <col min="35" max="35" width="1.62962962962963" style="7" customWidth="1"/>
    <col min="36" max="36" width="0.5" style="7" customWidth="1"/>
    <col min="37" max="37" width="0.75" style="7" customWidth="1"/>
    <col min="38" max="38" width="1.75" style="7" customWidth="1"/>
    <col min="39" max="39" width="1.62962962962963" style="7" customWidth="1"/>
    <col min="40" max="40" width="1.75" style="7" customWidth="1"/>
    <col min="41" max="42" width="1.5" style="7" customWidth="1"/>
    <col min="43" max="43" width="2.25" style="7" customWidth="1"/>
    <col min="44" max="44" width="1.62962962962963" style="7" customWidth="1"/>
    <col min="45" max="45" width="2.25" style="7" customWidth="1"/>
    <col min="46" max="48" width="2.5" style="7" customWidth="1"/>
    <col min="49" max="49" width="1.37962962962963" style="7" customWidth="1"/>
    <col min="50" max="50" width="1.5" style="7" customWidth="1"/>
    <col min="51" max="51" width="1.25" style="7" customWidth="1"/>
    <col min="52" max="52" width="0.75" style="7" customWidth="1"/>
    <col min="53" max="53" width="3.25" style="7" customWidth="1"/>
    <col min="54" max="54" width="1.25" style="7" customWidth="1"/>
    <col min="55" max="55" width="0.12962962962963" style="7" customWidth="1"/>
    <col min="56" max="56" width="2.87962962962963" style="7" customWidth="1"/>
    <col min="57" max="57" width="1.62962962962963" style="7" customWidth="1"/>
    <col min="58" max="58" width="0.62962962962963" style="7" customWidth="1"/>
    <col min="59" max="59" width="1.62962962962963" style="7" customWidth="1"/>
    <col min="60" max="60" width="1.75" style="7" customWidth="1"/>
    <col min="61" max="61" width="1.37962962962963" style="7" customWidth="1"/>
    <col min="62" max="62" width="0.75" style="7" customWidth="1"/>
    <col min="63" max="63" width="1" style="7" customWidth="1"/>
    <col min="64" max="64" width="2.75" style="7" customWidth="1"/>
    <col min="65" max="65" width="1.37962962962963" style="7" customWidth="1"/>
    <col min="66" max="66" width="1.5" style="7" customWidth="1"/>
    <col min="67" max="67" width="1.75" style="7" customWidth="1"/>
    <col min="68" max="68" width="0.87962962962963" style="7" customWidth="1"/>
    <col min="69" max="69" width="1.5" style="7" customWidth="1"/>
    <col min="70" max="70" width="0.75" style="7" customWidth="1"/>
    <col min="71" max="71" width="1.25" style="7" customWidth="1"/>
    <col min="72" max="72" width="2.62962962962963" style="7" customWidth="1"/>
    <col min="73" max="73" width="0.75" style="7" customWidth="1"/>
    <col min="74" max="74" width="0.87962962962963" style="7" customWidth="1"/>
    <col min="75" max="75" width="3" style="7" customWidth="1"/>
    <col min="76" max="76" width="1.5" style="7" customWidth="1"/>
    <col min="77" max="77" width="2" style="7" customWidth="1"/>
    <col min="78" max="78" width="1.5" style="7" customWidth="1"/>
    <col min="79" max="81" width="0.75" style="7" customWidth="1"/>
    <col min="82" max="82" width="1.24074074074074" style="7" customWidth="1"/>
    <col min="83" max="83" width="0.888888888888889" style="7" customWidth="1"/>
    <col min="84" max="84" width="1" style="7" customWidth="1"/>
    <col min="85" max="85" width="1.87962962962963" style="7" customWidth="1"/>
    <col min="86" max="86" width="2.5" style="7" customWidth="1"/>
    <col min="87" max="87" width="1.5" style="7" customWidth="1"/>
    <col min="88" max="88" width="2.5" style="7" customWidth="1"/>
    <col min="89" max="89" width="1.37962962962963" style="7" customWidth="1"/>
    <col min="90" max="90" width="0.75" style="7" customWidth="1"/>
    <col min="91" max="91" width="1.37962962962963" style="7" customWidth="1"/>
    <col min="92" max="93" width="1.12962962962963" style="7" customWidth="1"/>
    <col min="94" max="94" width="2.37962962962963" style="7" customWidth="1"/>
    <col min="95" max="95" width="1.5" style="7" customWidth="1"/>
    <col min="96" max="96" width="10.8796296296296" style="7" customWidth="1"/>
    <col min="97" max="97" width="6" style="7" customWidth="1"/>
    <col min="98" max="16384" width="9" style="7"/>
  </cols>
  <sheetData>
    <row r="2" s="1" customFormat="1" ht="14.45" customHeight="1" spans="2:96">
      <c r="B2" s="399" t="s">
        <v>1649</v>
      </c>
      <c r="C2" s="399" t="s">
        <v>1650</v>
      </c>
      <c r="D2" s="399" t="s">
        <v>1651</v>
      </c>
      <c r="E2" s="399"/>
      <c r="F2" s="399"/>
      <c r="G2" s="399" t="s">
        <v>1652</v>
      </c>
      <c r="H2" s="399"/>
      <c r="I2" s="399" t="s">
        <v>1653</v>
      </c>
      <c r="J2" s="399"/>
      <c r="K2" s="399"/>
      <c r="L2" s="399"/>
      <c r="M2" s="399"/>
      <c r="N2" s="399" t="s">
        <v>1654</v>
      </c>
      <c r="O2" s="399"/>
      <c r="P2" s="399"/>
      <c r="Q2" s="399"/>
      <c r="R2" s="399" t="s">
        <v>1655</v>
      </c>
      <c r="S2" s="399"/>
      <c r="T2" s="399" t="s">
        <v>1656</v>
      </c>
      <c r="U2" s="399"/>
      <c r="V2" s="399"/>
      <c r="W2" s="399" t="s">
        <v>1657</v>
      </c>
      <c r="X2" s="399"/>
      <c r="Y2" s="399"/>
      <c r="Z2" s="399" t="s">
        <v>1658</v>
      </c>
      <c r="AA2" s="399"/>
      <c r="AB2" s="399"/>
      <c r="AC2" s="399" t="s">
        <v>1659</v>
      </c>
      <c r="AD2" s="399"/>
      <c r="AE2" s="399"/>
      <c r="AF2" s="399"/>
      <c r="AG2" s="399" t="s">
        <v>1660</v>
      </c>
      <c r="AH2" s="399"/>
      <c r="AI2" s="399"/>
      <c r="AJ2" s="399"/>
      <c r="AK2" s="399"/>
      <c r="AL2" s="399" t="s">
        <v>1661</v>
      </c>
      <c r="AM2" s="399"/>
      <c r="AN2" s="399"/>
      <c r="AO2" s="399" t="s">
        <v>1662</v>
      </c>
      <c r="AP2" s="399"/>
      <c r="AQ2" s="399"/>
      <c r="AR2" s="399" t="s">
        <v>1663</v>
      </c>
      <c r="AS2" s="399"/>
      <c r="AT2" s="399"/>
      <c r="AV2" s="2"/>
      <c r="AW2" s="399" t="s">
        <v>1664</v>
      </c>
      <c r="AX2" s="399"/>
      <c r="AY2" s="399"/>
      <c r="AZ2" s="399"/>
      <c r="BA2" s="399" t="s">
        <v>1665</v>
      </c>
      <c r="BB2" s="399"/>
      <c r="BC2" s="399"/>
      <c r="BD2" s="399" t="s">
        <v>1666</v>
      </c>
      <c r="BE2" s="399"/>
      <c r="BF2" s="399"/>
      <c r="BG2" s="399" t="s">
        <v>1667</v>
      </c>
      <c r="BH2" s="399"/>
      <c r="BI2" s="399"/>
      <c r="BJ2" s="399" t="s">
        <v>1668</v>
      </c>
      <c r="BK2" s="399"/>
      <c r="BL2" s="399"/>
      <c r="BM2" s="458" t="s">
        <v>1669</v>
      </c>
      <c r="BN2" s="458"/>
      <c r="BO2" s="458"/>
      <c r="BP2" s="458"/>
      <c r="BQ2" s="458"/>
      <c r="BR2" s="458"/>
      <c r="BS2" s="458"/>
      <c r="BT2" s="458"/>
      <c r="BU2" s="458"/>
      <c r="BV2" s="458"/>
      <c r="BW2" s="458"/>
      <c r="BX2" s="458"/>
      <c r="BY2" s="399" t="s">
        <v>1670</v>
      </c>
      <c r="BZ2" s="399"/>
      <c r="CA2" s="399"/>
      <c r="CB2" s="399"/>
      <c r="CC2" s="399"/>
      <c r="CD2" s="399"/>
      <c r="CE2" s="399"/>
      <c r="CF2" s="399"/>
      <c r="CG2" s="408" t="s">
        <v>1671</v>
      </c>
      <c r="CH2" s="408"/>
      <c r="CI2" s="408"/>
      <c r="CJ2" s="408"/>
      <c r="CK2" s="408"/>
      <c r="CL2" s="408"/>
      <c r="CM2" s="408"/>
      <c r="CN2" s="408"/>
      <c r="CO2" s="408"/>
      <c r="CP2" s="408"/>
      <c r="CQ2" s="408"/>
      <c r="CR2" s="399" t="s">
        <v>1649</v>
      </c>
    </row>
    <row r="3" s="1" customFormat="1" ht="14.45" customHeight="1" spans="2:96"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399"/>
      <c r="AP3" s="399"/>
      <c r="AQ3" s="399"/>
      <c r="AR3" s="399"/>
      <c r="AS3" s="399"/>
      <c r="AT3" s="399"/>
      <c r="AV3" s="2"/>
      <c r="AW3" s="399"/>
      <c r="AX3" s="399"/>
      <c r="AY3" s="399"/>
      <c r="AZ3" s="399"/>
      <c r="BA3" s="399"/>
      <c r="BB3" s="399"/>
      <c r="BC3" s="399"/>
      <c r="BD3" s="399"/>
      <c r="BE3" s="399"/>
      <c r="BF3" s="399"/>
      <c r="BG3" s="399"/>
      <c r="BH3" s="399"/>
      <c r="BI3" s="399"/>
      <c r="BJ3" s="399"/>
      <c r="BK3" s="399"/>
      <c r="BL3" s="399"/>
      <c r="BM3" s="436" t="s">
        <v>1672</v>
      </c>
      <c r="BN3" s="436"/>
      <c r="BO3" s="436"/>
      <c r="BP3" s="436" t="s">
        <v>1673</v>
      </c>
      <c r="BQ3" s="436"/>
      <c r="BR3" s="436"/>
      <c r="BS3" s="436"/>
      <c r="BT3" s="436" t="s">
        <v>1674</v>
      </c>
      <c r="BU3" s="436"/>
      <c r="BV3" s="436"/>
      <c r="BW3" s="436" t="s">
        <v>1675</v>
      </c>
      <c r="BX3" s="436"/>
      <c r="BY3" s="436" t="s">
        <v>1676</v>
      </c>
      <c r="BZ3" s="436"/>
      <c r="CA3" s="436"/>
      <c r="CB3" s="436" t="s">
        <v>1677</v>
      </c>
      <c r="CC3" s="436"/>
      <c r="CD3" s="436"/>
      <c r="CE3" s="436"/>
      <c r="CF3" s="436"/>
      <c r="CG3" s="408"/>
      <c r="CH3" s="408"/>
      <c r="CI3" s="408"/>
      <c r="CJ3" s="408"/>
      <c r="CK3" s="408"/>
      <c r="CL3" s="408"/>
      <c r="CM3" s="408"/>
      <c r="CN3" s="408"/>
      <c r="CO3" s="408"/>
      <c r="CP3" s="408"/>
      <c r="CQ3" s="408"/>
      <c r="CR3" s="399"/>
    </row>
    <row r="4" s="2" customFormat="1" ht="14.45" customHeight="1" spans="2:101">
      <c r="B4" s="399"/>
      <c r="C4" s="399"/>
      <c r="D4" s="399">
        <v>587.56</v>
      </c>
      <c r="E4" s="399"/>
      <c r="F4" s="399"/>
      <c r="G4" s="399"/>
      <c r="H4" s="399"/>
      <c r="I4" s="399"/>
      <c r="J4" s="399"/>
      <c r="K4" s="399"/>
      <c r="L4" s="399"/>
      <c r="M4" s="399"/>
      <c r="N4" s="399">
        <v>546.07</v>
      </c>
      <c r="O4" s="399"/>
      <c r="P4" s="399"/>
      <c r="Q4" s="399"/>
      <c r="R4" s="399"/>
      <c r="S4" s="399"/>
      <c r="T4" s="399"/>
      <c r="U4" s="399"/>
      <c r="V4" s="399"/>
      <c r="W4" s="414">
        <v>1013.98</v>
      </c>
      <c r="X4" s="414"/>
      <c r="Y4" s="414"/>
      <c r="Z4" s="399">
        <v>852.11</v>
      </c>
      <c r="AA4" s="399"/>
      <c r="AB4" s="399"/>
      <c r="AC4" s="399">
        <v>768.19</v>
      </c>
      <c r="AD4" s="399"/>
      <c r="AE4" s="399"/>
      <c r="AF4" s="399"/>
      <c r="AG4" s="399">
        <v>706.52</v>
      </c>
      <c r="AH4" s="399"/>
      <c r="AI4" s="399"/>
      <c r="AJ4" s="399"/>
      <c r="AK4" s="399"/>
      <c r="AL4" s="399">
        <v>656.27</v>
      </c>
      <c r="AM4" s="399"/>
      <c r="AN4" s="399"/>
      <c r="AO4" s="399">
        <v>643.85</v>
      </c>
      <c r="AP4" s="399"/>
      <c r="AQ4" s="399"/>
      <c r="AR4" s="414">
        <v>632.8</v>
      </c>
      <c r="AS4" s="414"/>
      <c r="AT4" s="414"/>
      <c r="AU4" s="1"/>
      <c r="AW4" s="399">
        <v>486.13</v>
      </c>
      <c r="AX4" s="399"/>
      <c r="AY4" s="399"/>
      <c r="AZ4" s="399"/>
      <c r="BA4" s="399">
        <v>479.99</v>
      </c>
      <c r="BB4" s="399"/>
      <c r="BC4" s="399"/>
      <c r="BD4" s="399">
        <v>435.84</v>
      </c>
      <c r="BE4" s="399"/>
      <c r="BF4" s="399"/>
      <c r="BG4" s="399">
        <v>404.56</v>
      </c>
      <c r="BH4" s="399"/>
      <c r="BI4" s="399"/>
      <c r="BJ4" s="399">
        <v>365.01</v>
      </c>
      <c r="BK4" s="399"/>
      <c r="BL4" s="399"/>
      <c r="BM4" s="436"/>
      <c r="BN4" s="436"/>
      <c r="BO4" s="436"/>
      <c r="BP4" s="436"/>
      <c r="BQ4" s="436"/>
      <c r="BR4" s="436"/>
      <c r="BS4" s="436"/>
      <c r="BT4" s="436"/>
      <c r="BU4" s="436"/>
      <c r="BV4" s="436"/>
      <c r="BW4" s="436"/>
      <c r="BX4" s="436"/>
      <c r="BY4" s="436"/>
      <c r="BZ4" s="436"/>
      <c r="CA4" s="436"/>
      <c r="CB4" s="436"/>
      <c r="CC4" s="436"/>
      <c r="CD4" s="436"/>
      <c r="CE4" s="436"/>
      <c r="CF4" s="436"/>
      <c r="CG4" s="446" t="s">
        <v>1678</v>
      </c>
      <c r="CH4" s="446"/>
      <c r="CI4" s="446"/>
      <c r="CJ4" s="452" t="s">
        <v>1679</v>
      </c>
      <c r="CK4" s="452"/>
      <c r="CL4" s="452"/>
      <c r="CM4" s="452"/>
      <c r="CN4" s="452" t="s">
        <v>1680</v>
      </c>
      <c r="CO4" s="452"/>
      <c r="CP4" s="452"/>
      <c r="CQ4" s="452"/>
      <c r="CR4" s="399"/>
      <c r="CS4" s="1"/>
      <c r="CT4" s="1"/>
      <c r="CU4" s="1"/>
      <c r="CV4" s="1"/>
      <c r="CW4" s="1"/>
    </row>
    <row r="5" s="3" customFormat="1" ht="14.45" customHeight="1" spans="2:101">
      <c r="B5" s="400" t="s">
        <v>838</v>
      </c>
      <c r="C5" s="18">
        <f>IF(VLOOKUP($B5,'NHG''s optical glass 202608'!$C$7:$GO$213,2,FALSE)="","",VLOOKUP($B5,'NHG''s optical glass 202608'!$C$7:$GO$213,2,FALSE))</f>
        <v>741278</v>
      </c>
      <c r="D5" s="401">
        <f>IF(VLOOKUP($B5,'NHG''s optical glass 202608'!$C$7:$GO$213,20,FALSE)="","",VLOOKUP($B5,'NHG''s optical glass 202608'!$C$7:$GO$213,20,FALSE))</f>
        <v>1.74077</v>
      </c>
      <c r="E5" s="401"/>
      <c r="F5" s="401"/>
      <c r="G5" s="221">
        <f>IF(VLOOKUP($B5,'NHG''s optical glass 202608'!$C$7:$GO$213,3,FALSE)="","",VLOOKUP($B5,'NHG''s optical glass 202608'!$C$7:$GO$213,3,FALSE))</f>
        <v>27.76</v>
      </c>
      <c r="H5" s="221"/>
      <c r="I5" s="410">
        <f>IF(VLOOKUP($B5,'NHG''s optical glass 202608'!$C$7:$GO$213,5,FALSE)="","",VLOOKUP($B5,'NHG''s optical glass 202608'!$C$7:$GO$213,5,FALSE))</f>
        <v>0.026685</v>
      </c>
      <c r="J5" s="410"/>
      <c r="K5" s="410"/>
      <c r="L5" s="410"/>
      <c r="M5" s="410"/>
      <c r="N5" s="401">
        <f>IF(VLOOKUP($B5,'NHG''s optical glass 202608'!$C$7:$GO$213,21,FALSE)="","",VLOOKUP($B5,'NHG''s optical glass 202608'!$C$7:$GO$213,21,FALSE))</f>
        <v>1.74707</v>
      </c>
      <c r="O5" s="401"/>
      <c r="P5" s="401"/>
      <c r="Q5" s="401"/>
      <c r="R5" s="221">
        <f>IF(VLOOKUP($B5,'NHG''s optical glass 202608'!$C$7:$GO$213,4,FALSE)="","",VLOOKUP($B5,'NHG''s optical glass 202608'!$C$7:$GO$213,4,FALSE))</f>
        <v>27.54</v>
      </c>
      <c r="S5" s="221"/>
      <c r="T5" s="410">
        <f>IF(VLOOKUP($B5,'NHG''s optical glass 202608'!$C$7:$GO$213,6,FALSE)="","",VLOOKUP($B5,'NHG''s optical glass 202608'!$C$7:$GO$213,6,FALSE))</f>
        <v>0.027125</v>
      </c>
      <c r="U5" s="410"/>
      <c r="V5" s="410"/>
      <c r="W5" s="401">
        <f>IF(VLOOKUP($B5,'NHG''s optical glass 202608'!$C$7:$GO$213,12,FALSE)="","",VLOOKUP($B5,'NHG''s optical glass 202608'!$C$7:$GO$213,12,FALSE))</f>
        <v>1.71491</v>
      </c>
      <c r="X5" s="401"/>
      <c r="Y5" s="401"/>
      <c r="Z5" s="401">
        <f>IF(VLOOKUP($B5,'NHG''s optical glass 202608'!$C$7:$GO$213,13,FALSE)="","",VLOOKUP($B5,'NHG''s optical glass 202608'!$C$7:$GO$213,13,FALSE))</f>
        <v>1.7206</v>
      </c>
      <c r="AA5" s="401"/>
      <c r="AB5" s="401"/>
      <c r="AC5" s="401">
        <f>IF(VLOOKUP($B5,'NHG''s optical glass 202608'!$C$7:$GO$213,14,FALSE)="","",VLOOKUP($B5,'NHG''s optical glass 202608'!$C$7:$GO$213,14,FALSE))</f>
        <v>1.72483</v>
      </c>
      <c r="AD5" s="401"/>
      <c r="AE5" s="401"/>
      <c r="AF5" s="401"/>
      <c r="AG5" s="401">
        <f>IF(VLOOKUP($B5,'NHG''s optical glass 202608'!$C$7:$GO$213,15,FALSE)="","",VLOOKUP($B5,'NHG''s optical glass 202608'!$C$7:$GO$213,15,FALSE))</f>
        <v>1.72888</v>
      </c>
      <c r="AH5" s="401"/>
      <c r="AI5" s="401"/>
      <c r="AJ5" s="401"/>
      <c r="AK5" s="401"/>
      <c r="AL5" s="401">
        <f>IF(VLOOKUP($B5,'NHG''s optical glass 202608'!$C$7:$GO$213,16,FALSE)="","",VLOOKUP($B5,'NHG''s optical glass 202608'!$C$7:$GO$213,16,FALSE))</f>
        <v>1.73307</v>
      </c>
      <c r="AM5" s="401"/>
      <c r="AN5" s="401"/>
      <c r="AO5" s="401">
        <f>IF(VLOOKUP($B5,'NHG''s optical glass 202608'!$C$7:$GO$213,17,FALSE)="","",VLOOKUP($B5,'NHG''s optical glass 202608'!$C$7:$GO$213,17,FALSE))</f>
        <v>1.73427</v>
      </c>
      <c r="AP5" s="401"/>
      <c r="AQ5" s="401"/>
      <c r="AR5" s="401">
        <f>IF(VLOOKUP($B5,'NHG''s optical glass 202608'!$C$7:$GO$213,18,FALSE)="","",VLOOKUP($B5,'NHG''s optical glass 202608'!$C$7:$GO$213,18,FALSE))</f>
        <v>1.7354</v>
      </c>
      <c r="AS5" s="401"/>
      <c r="AT5" s="401"/>
      <c r="AU5" s="1"/>
      <c r="AV5" s="2"/>
      <c r="AW5" s="401">
        <f>IF(VLOOKUP($B5,'NHG''s optical glass 202608'!$C$7:$GO$213,22,FALSE)="","",VLOOKUP($B5,'NHG''s optical glass 202608'!$C$7:$GO$213,22,FALSE))</f>
        <v>1.75976</v>
      </c>
      <c r="AX5" s="401"/>
      <c r="AY5" s="401"/>
      <c r="AZ5" s="401"/>
      <c r="BA5" s="401">
        <f>IF(VLOOKUP($B5,'NHG''s optical glass 202608'!$C$7:$GO$213,23,FALSE)="","",VLOOKUP($B5,'NHG''s optical glass 202608'!$C$7:$GO$213,23,FALSE))</f>
        <v>1.76139</v>
      </c>
      <c r="BB5" s="401"/>
      <c r="BC5" s="401"/>
      <c r="BD5" s="401">
        <f>IF(VLOOKUP($B5,'NHG''s optical glass 202608'!$C$7:$GO$213,24,FALSE)="","",VLOOKUP($B5,'NHG''s optical glass 202608'!$C$7:$GO$213,24,FALSE))</f>
        <v>1.77598</v>
      </c>
      <c r="BE5" s="401"/>
      <c r="BF5" s="401"/>
      <c r="BG5" s="401">
        <f>IF(VLOOKUP($B5,'NHG''s optical glass 202608'!$C$7:$GO$213,25,FALSE)="","",VLOOKUP($B5,'NHG''s optical glass 202608'!$C$7:$GO$213,25,FALSE))</f>
        <v>1.79059</v>
      </c>
      <c r="BH5" s="401"/>
      <c r="BI5" s="401"/>
      <c r="BJ5" s="401">
        <f>IF(VLOOKUP($B5,'NHG''s optical glass 202608'!$C$7:$GO$213,26,FALSE)="","",VLOOKUP($B5,'NHG''s optical glass 202608'!$C$7:$GO$213,26,FALSE))</f>
        <v>1.8185</v>
      </c>
      <c r="BK5" s="401"/>
      <c r="BL5" s="401"/>
      <c r="BM5" s="437">
        <f>IF(VLOOKUP($B5,'NHG''s optical glass 202608'!$C$7:$GO$213,33,FALSE)="","",VLOOKUP($B5,'NHG''s optical glass 202608'!$C$7:$GO$213,33,FALSE))</f>
        <v>0.2886</v>
      </c>
      <c r="BN5" s="437"/>
      <c r="BO5" s="437"/>
      <c r="BP5" s="437">
        <f>IF(VLOOKUP($B5,'NHG''s optical glass 202608'!$C$7:$GO$213,35,FALSE)="","",VLOOKUP($B5,'NHG''s optical glass 202608'!$C$7:$GO$213,35,FALSE))</f>
        <v>0.6078</v>
      </c>
      <c r="BQ5" s="437"/>
      <c r="BR5" s="437"/>
      <c r="BS5" s="437"/>
      <c r="BT5" s="437">
        <f>IF(VLOOKUP($B5,'NHG''s optical glass 202608'!$C$7:$GO$213,36,FALSE)="","",VLOOKUP($B5,'NHG''s optical glass 202608'!$C$7:$GO$213,36,FALSE))</f>
        <v>0.2396</v>
      </c>
      <c r="BU5" s="437"/>
      <c r="BV5" s="437"/>
      <c r="BW5" s="437">
        <f>IF(VLOOKUP($B5,'NHG''s optical glass 202608'!$C$7:$GO$213,38,FALSE)="","",VLOOKUP($B5,'NHG''s optical glass 202608'!$C$7:$GO$213,38,FALSE))</f>
        <v>0.5379</v>
      </c>
      <c r="BX5" s="437"/>
      <c r="BY5" s="437">
        <f>IF(VLOOKUP($B5,'NHG''s optical glass 202608'!$C$7:$GO$213,40,FALSE)="","",VLOOKUP($B5,'NHG''s optical glass 202608'!$C$7:$GO$213,40,FALSE))</f>
        <v>0.0103</v>
      </c>
      <c r="BZ5" s="437"/>
      <c r="CA5" s="437"/>
      <c r="CB5" s="437">
        <f>IF(VLOOKUP($B5,'NHG''s optical glass 202608'!$C$7:$GO$213,41,FALSE)="","",VLOOKUP($B5,'NHG''s optical glass 202608'!$C$7:$GO$213,41,FALSE))</f>
        <v>0.0059</v>
      </c>
      <c r="CC5" s="437"/>
      <c r="CD5" s="437"/>
      <c r="CE5" s="437"/>
      <c r="CF5" s="437"/>
      <c r="CG5" s="447">
        <f>IF(VLOOKUP($B5,'NHG''s optical glass 202608'!$C$7:$GO$213,99,FALSE)="","",VLOOKUP($B5,'NHG''s optical glass 202608'!$C$7:$GO$213,99,FALSE))</f>
        <v>2.1</v>
      </c>
      <c r="CH5" s="447"/>
      <c r="CI5" s="447"/>
      <c r="CJ5" s="447">
        <f>IF(VLOOKUP($B5,'NHG''s optical glass 202608'!$C$7:$GO$213,102,FALSE)="","",VLOOKUP($B5,'NHG''s optical glass 202608'!$C$7:$GO$213,102,FALSE))</f>
        <v>2.6</v>
      </c>
      <c r="CK5" s="447"/>
      <c r="CL5" s="447"/>
      <c r="CM5" s="447"/>
      <c r="CN5" s="447">
        <f>IF(VLOOKUP($B5,'NHG''s optical glass 202608'!$C$7:$GO$213,105,FALSE)="","",VLOOKUP($B5,'NHG''s optical glass 202608'!$C$7:$GO$213,105,FALSE))</f>
        <v>3</v>
      </c>
      <c r="CO5" s="447"/>
      <c r="CP5" s="447"/>
      <c r="CQ5" s="447"/>
      <c r="CR5" s="400" t="str">
        <f t="shared" ref="CR5:CR10" si="0">B5</f>
        <v>H-ZF50</v>
      </c>
      <c r="CS5" s="1"/>
      <c r="CT5" s="1"/>
      <c r="CU5" s="1"/>
      <c r="CV5" s="1"/>
      <c r="CW5" s="1"/>
    </row>
    <row r="6" s="231" customFormat="1" ht="14.45" customHeight="1" spans="2:101">
      <c r="B6" s="402" t="s">
        <v>843</v>
      </c>
      <c r="C6" s="403">
        <f>IF(VLOOKUP($B6,'NHG''s optical glass 202608'!$C$7:$GO$213,2,FALSE)="","",VLOOKUP($B6,'NHG''s optical glass 202608'!$C$7:$GO$213,2,FALSE))</f>
        <v>741278</v>
      </c>
      <c r="D6" s="404">
        <f>IF(VLOOKUP($B6,'NHG''s optical glass 202608'!$C$7:$GO$213,20,FALSE)="","",VLOOKUP($B6,'NHG''s optical glass 202608'!$C$7:$GO$213,20,FALSE))</f>
        <v>1.74077</v>
      </c>
      <c r="E6" s="404"/>
      <c r="F6" s="404"/>
      <c r="G6" s="455">
        <f>IF(VLOOKUP($B6,'NHG''s optical glass 202608'!$C$7:$GO$213,3,FALSE)="","",VLOOKUP($B6,'NHG''s optical glass 202608'!$C$7:$GO$213,3,FALSE))</f>
        <v>27.76</v>
      </c>
      <c r="H6" s="455"/>
      <c r="I6" s="411">
        <f>IF(VLOOKUP($B6,'NHG''s optical glass 202608'!$C$7:$GO$213,5,FALSE)="","",VLOOKUP($B6,'NHG''s optical glass 202608'!$C$7:$GO$213,5,FALSE))</f>
        <v>0.026685</v>
      </c>
      <c r="J6" s="411"/>
      <c r="K6" s="411"/>
      <c r="L6" s="411"/>
      <c r="M6" s="411"/>
      <c r="N6" s="404">
        <f>IF(VLOOKUP($B6,'NHG''s optical glass 202608'!$C$7:$GO$213,21,FALSE)="","",VLOOKUP($B6,'NHG''s optical glass 202608'!$C$7:$GO$213,21,FALSE))</f>
        <v>1.74707</v>
      </c>
      <c r="O6" s="404"/>
      <c r="P6" s="404"/>
      <c r="Q6" s="404"/>
      <c r="R6" s="455">
        <f>IF(VLOOKUP($B6,'NHG''s optical glass 202608'!$C$7:$GO$213,4,FALSE)="","",VLOOKUP($B6,'NHG''s optical glass 202608'!$C$7:$GO$213,4,FALSE))</f>
        <v>27.54</v>
      </c>
      <c r="S6" s="455"/>
      <c r="T6" s="411">
        <f>IF(VLOOKUP($B6,'NHG''s optical glass 202608'!$C$7:$GO$213,6,FALSE)="","",VLOOKUP($B6,'NHG''s optical glass 202608'!$C$7:$GO$213,6,FALSE))</f>
        <v>0.027125</v>
      </c>
      <c r="U6" s="411"/>
      <c r="V6" s="411"/>
      <c r="W6" s="404">
        <f>IF(VLOOKUP($B6,'NHG''s optical glass 202608'!$C$7:$GO$213,12,FALSE)="","",VLOOKUP($B6,'NHG''s optical glass 202608'!$C$7:$GO$213,12,FALSE))</f>
        <v>1.71491</v>
      </c>
      <c r="X6" s="404"/>
      <c r="Y6" s="404"/>
      <c r="Z6" s="404">
        <f>IF(VLOOKUP($B6,'NHG''s optical glass 202608'!$C$7:$GO$213,13,FALSE)="","",VLOOKUP($B6,'NHG''s optical glass 202608'!$C$7:$GO$213,13,FALSE))</f>
        <v>1.7206</v>
      </c>
      <c r="AA6" s="404"/>
      <c r="AB6" s="404"/>
      <c r="AC6" s="404">
        <f>IF(VLOOKUP($B6,'NHG''s optical glass 202608'!$C$7:$GO$213,14,FALSE)="","",VLOOKUP($B6,'NHG''s optical glass 202608'!$C$7:$GO$213,14,FALSE))</f>
        <v>1.72483</v>
      </c>
      <c r="AD6" s="404"/>
      <c r="AE6" s="404"/>
      <c r="AF6" s="404"/>
      <c r="AG6" s="404">
        <f>IF(VLOOKUP($B6,'NHG''s optical glass 202608'!$C$7:$GO$213,15,FALSE)="","",VLOOKUP($B6,'NHG''s optical glass 202608'!$C$7:$GO$213,15,FALSE))</f>
        <v>1.72888</v>
      </c>
      <c r="AH6" s="404"/>
      <c r="AI6" s="404"/>
      <c r="AJ6" s="404"/>
      <c r="AK6" s="404"/>
      <c r="AL6" s="404">
        <f>IF(VLOOKUP($B6,'NHG''s optical glass 202608'!$C$7:$GO$213,16,FALSE)="","",VLOOKUP($B6,'NHG''s optical glass 202608'!$C$7:$GO$213,16,FALSE))</f>
        <v>1.73307</v>
      </c>
      <c r="AM6" s="404"/>
      <c r="AN6" s="404"/>
      <c r="AO6" s="404">
        <f>IF(VLOOKUP($B6,'NHG''s optical glass 202608'!$C$7:$GO$213,17,FALSE)="","",VLOOKUP($B6,'NHG''s optical glass 202608'!$C$7:$GO$213,17,FALSE))</f>
        <v>1.73427</v>
      </c>
      <c r="AP6" s="404"/>
      <c r="AQ6" s="404"/>
      <c r="AR6" s="404">
        <f>IF(VLOOKUP($B6,'NHG''s optical glass 202608'!$C$7:$GO$213,18,FALSE)="","",VLOOKUP($B6,'NHG''s optical glass 202608'!$C$7:$GO$213,18,FALSE))</f>
        <v>1.7354</v>
      </c>
      <c r="AS6" s="404"/>
      <c r="AT6" s="404"/>
      <c r="AU6" s="233"/>
      <c r="AV6" s="232"/>
      <c r="AW6" s="404">
        <f>IF(VLOOKUP($B6,'NHG''s optical glass 202608'!$C$7:$GO$213,22,FALSE)="","",VLOOKUP($B6,'NHG''s optical glass 202608'!$C$7:$GO$213,22,FALSE))</f>
        <v>1.75976</v>
      </c>
      <c r="AX6" s="404"/>
      <c r="AY6" s="404"/>
      <c r="AZ6" s="404"/>
      <c r="BA6" s="404">
        <f>IF(VLOOKUP($B6,'NHG''s optical glass 202608'!$C$7:$GO$213,23,FALSE)="","",VLOOKUP($B6,'NHG''s optical glass 202608'!$C$7:$GO$213,23,FALSE))</f>
        <v>1.76139</v>
      </c>
      <c r="BB6" s="404"/>
      <c r="BC6" s="404"/>
      <c r="BD6" s="404">
        <f>IF(VLOOKUP($B6,'NHG''s optical glass 202608'!$C$7:$GO$213,24,FALSE)="","",VLOOKUP($B6,'NHG''s optical glass 202608'!$C$7:$GO$213,24,FALSE))</f>
        <v>1.77598</v>
      </c>
      <c r="BE6" s="404"/>
      <c r="BF6" s="404"/>
      <c r="BG6" s="404">
        <f>IF(VLOOKUP($B6,'NHG''s optical glass 202608'!$C$7:$GO$213,25,FALSE)="","",VLOOKUP($B6,'NHG''s optical glass 202608'!$C$7:$GO$213,25,FALSE))</f>
        <v>1.79059</v>
      </c>
      <c r="BH6" s="404"/>
      <c r="BI6" s="404"/>
      <c r="BJ6" s="404">
        <f>IF(VLOOKUP($B6,'NHG''s optical glass 202608'!$C$7:$GO$213,26,FALSE)="","",VLOOKUP($B6,'NHG''s optical glass 202608'!$C$7:$GO$213,26,FALSE))</f>
        <v>1.8185</v>
      </c>
      <c r="BK6" s="404"/>
      <c r="BL6" s="404"/>
      <c r="BM6" s="438">
        <f>IF(VLOOKUP($B6,'NHG''s optical glass 202608'!$C$7:$GO$213,33,FALSE)="","",VLOOKUP($B6,'NHG''s optical glass 202608'!$C$7:$GO$213,33,FALSE))</f>
        <v>0.2886</v>
      </c>
      <c r="BN6" s="438"/>
      <c r="BO6" s="438"/>
      <c r="BP6" s="438">
        <f>IF(VLOOKUP($B6,'NHG''s optical glass 202608'!$C$7:$GO$213,35,FALSE)="","",VLOOKUP($B6,'NHG''s optical glass 202608'!$C$7:$GO$213,35,FALSE))</f>
        <v>0.6078</v>
      </c>
      <c r="BQ6" s="438"/>
      <c r="BR6" s="438"/>
      <c r="BS6" s="438"/>
      <c r="BT6" s="438">
        <f>IF(VLOOKUP($B6,'NHG''s optical glass 202608'!$C$7:$GO$213,36,FALSE)="","",VLOOKUP($B6,'NHG''s optical glass 202608'!$C$7:$GO$213,36,FALSE))</f>
        <v>0.2396</v>
      </c>
      <c r="BU6" s="438"/>
      <c r="BV6" s="438"/>
      <c r="BW6" s="438">
        <f>IF(VLOOKUP($B6,'NHG''s optical glass 202608'!$C$7:$GO$213,38,FALSE)="","",VLOOKUP($B6,'NHG''s optical glass 202608'!$C$7:$GO$213,38,FALSE))</f>
        <v>0.5379</v>
      </c>
      <c r="BX6" s="438"/>
      <c r="BY6" s="438">
        <f>IF(VLOOKUP($B6,'NHG''s optical glass 202608'!$C$7:$GO$213,40,FALSE)="","",VLOOKUP($B6,'NHG''s optical glass 202608'!$C$7:$GO$213,40,FALSE))</f>
        <v>0.0103</v>
      </c>
      <c r="BZ6" s="438"/>
      <c r="CA6" s="438"/>
      <c r="CB6" s="438">
        <f>IF(VLOOKUP($B6,'NHG''s optical glass 202608'!$C$7:$GO$213,41,FALSE)="","",VLOOKUP($B6,'NHG''s optical glass 202608'!$C$7:$GO$213,41,FALSE))</f>
        <v>0.0059</v>
      </c>
      <c r="CC6" s="438"/>
      <c r="CD6" s="438"/>
      <c r="CE6" s="438"/>
      <c r="CF6" s="438"/>
      <c r="CG6" s="448">
        <f>IF(VLOOKUP($B6,'NHG''s optical glass 202608'!$C$7:$GO$213,99,FALSE)="","",VLOOKUP($B6,'NHG''s optical glass 202608'!$C$7:$GO$213,99,FALSE))</f>
        <v>2.1</v>
      </c>
      <c r="CH6" s="448"/>
      <c r="CI6" s="448"/>
      <c r="CJ6" s="448">
        <f>IF(VLOOKUP($B6,'NHG''s optical glass 202608'!$C$7:$GO$213,102,FALSE)="","",VLOOKUP($B6,'NHG''s optical glass 202608'!$C$7:$GO$213,102,FALSE))</f>
        <v>2.6</v>
      </c>
      <c r="CK6" s="448"/>
      <c r="CL6" s="448"/>
      <c r="CM6" s="448"/>
      <c r="CN6" s="448">
        <f>IF(VLOOKUP($B6,'NHG''s optical glass 202608'!$C$7:$GO$213,105,FALSE)="","",VLOOKUP($B6,'NHG''s optical glass 202608'!$C$7:$GO$213,105,FALSE))</f>
        <v>3</v>
      </c>
      <c r="CO6" s="448"/>
      <c r="CP6" s="448"/>
      <c r="CQ6" s="448"/>
      <c r="CR6" s="407" t="str">
        <f t="shared" si="0"/>
        <v>H-ZF50GT</v>
      </c>
      <c r="CS6" s="233"/>
      <c r="CT6" s="233"/>
      <c r="CU6" s="233"/>
      <c r="CV6" s="233"/>
      <c r="CW6" s="233"/>
    </row>
    <row r="7" s="231" customFormat="1" ht="14.45" customHeight="1" spans="2:101">
      <c r="B7" s="405" t="s">
        <v>844</v>
      </c>
      <c r="C7" s="234">
        <f>IF(VLOOKUP($B7,'NHG''s optical glass 202608'!$C$7:$GO$213,2,FALSE)="","",VLOOKUP($B7,'NHG''s optical glass 202608'!$C$7:$GO$213,2,FALSE))</f>
        <v>847238</v>
      </c>
      <c r="D7" s="406">
        <f>IF(VLOOKUP($B7,'NHG''s optical glass 202608'!$C$7:$GO$213,20,FALSE)="","",VLOOKUP($B7,'NHG''s optical glass 202608'!$C$7:$GO$213,20,FALSE))</f>
        <v>1.84666</v>
      </c>
      <c r="E7" s="406"/>
      <c r="F7" s="406"/>
      <c r="G7" s="456">
        <f>IF(VLOOKUP($B7,'NHG''s optical glass 202608'!$C$7:$GO$213,3,FALSE)="","",VLOOKUP($B7,'NHG''s optical glass 202608'!$C$7:$GO$213,3,FALSE))</f>
        <v>23.78</v>
      </c>
      <c r="H7" s="456"/>
      <c r="I7" s="412">
        <f>IF(VLOOKUP($B7,'NHG''s optical glass 202608'!$C$7:$GO$213,5,FALSE)="","",VLOOKUP($B7,'NHG''s optical glass 202608'!$C$7:$GO$213,5,FALSE))</f>
        <v>0.035608</v>
      </c>
      <c r="J7" s="412"/>
      <c r="K7" s="412"/>
      <c r="L7" s="412"/>
      <c r="M7" s="412"/>
      <c r="N7" s="406">
        <f>IF(VLOOKUP($B7,'NHG''s optical glass 202608'!$C$7:$GO$213,21,FALSE)="","",VLOOKUP($B7,'NHG''s optical glass 202608'!$C$7:$GO$213,21,FALSE))</f>
        <v>1.85504</v>
      </c>
      <c r="O7" s="406"/>
      <c r="P7" s="406"/>
      <c r="Q7" s="406"/>
      <c r="R7" s="456">
        <f>IF(VLOOKUP($B7,'NHG''s optical glass 202608'!$C$7:$GO$213,4,FALSE)="","",VLOOKUP($B7,'NHG''s optical glass 202608'!$C$7:$GO$213,4,FALSE))</f>
        <v>23.59</v>
      </c>
      <c r="S7" s="456"/>
      <c r="T7" s="412">
        <f>IF(VLOOKUP($B7,'NHG''s optical glass 202608'!$C$7:$GO$213,6,FALSE)="","",VLOOKUP($B7,'NHG''s optical glass 202608'!$C$7:$GO$213,6,FALSE))</f>
        <v>0.036247</v>
      </c>
      <c r="U7" s="412"/>
      <c r="V7" s="412"/>
      <c r="W7" s="406">
        <f>IF(VLOOKUP($B7,'NHG''s optical glass 202608'!$C$7:$GO$213,12,FALSE)="","",VLOOKUP($B7,'NHG''s optical glass 202608'!$C$7:$GO$213,12,FALSE))</f>
        <v>1.81304</v>
      </c>
      <c r="X7" s="406"/>
      <c r="Y7" s="406"/>
      <c r="Z7" s="406">
        <f>IF(VLOOKUP($B7,'NHG''s optical glass 202608'!$C$7:$GO$213,13,FALSE)="","",VLOOKUP($B7,'NHG''s optical glass 202608'!$C$7:$GO$213,13,FALSE))</f>
        <v>1.82028</v>
      </c>
      <c r="AA7" s="406"/>
      <c r="AB7" s="406"/>
      <c r="AC7" s="406">
        <f>IF(VLOOKUP($B7,'NHG''s optical glass 202608'!$C$7:$GO$213,14,FALSE)="","",VLOOKUP($B7,'NHG''s optical glass 202608'!$C$7:$GO$213,14,FALSE))</f>
        <v>1.82573</v>
      </c>
      <c r="AD7" s="406"/>
      <c r="AE7" s="406"/>
      <c r="AF7" s="406"/>
      <c r="AG7" s="406">
        <f>IF(VLOOKUP($B7,'NHG''s optical glass 202608'!$C$7:$GO$213,15,FALSE)="","",VLOOKUP($B7,'NHG''s optical glass 202608'!$C$7:$GO$213,15,FALSE))</f>
        <v>1.83101</v>
      </c>
      <c r="AH7" s="406"/>
      <c r="AI7" s="406"/>
      <c r="AJ7" s="406"/>
      <c r="AK7" s="406"/>
      <c r="AL7" s="406">
        <f>IF(VLOOKUP($B7,'NHG''s optical glass 202608'!$C$7:$GO$213,16,FALSE)="","",VLOOKUP($B7,'NHG''s optical glass 202608'!$C$7:$GO$213,16,FALSE))</f>
        <v>1.83649</v>
      </c>
      <c r="AM7" s="406"/>
      <c r="AN7" s="406"/>
      <c r="AO7" s="406">
        <f>IF(VLOOKUP($B7,'NHG''s optical glass 202608'!$C$7:$GO$213,17,FALSE)="","",VLOOKUP($B7,'NHG''s optical glass 202608'!$C$7:$GO$213,17,FALSE))</f>
        <v>1.83807</v>
      </c>
      <c r="AP7" s="406"/>
      <c r="AQ7" s="406"/>
      <c r="AR7" s="406">
        <f>IF(VLOOKUP($B7,'NHG''s optical glass 202608'!$C$7:$GO$213,18,FALSE)="","",VLOOKUP($B7,'NHG''s optical glass 202608'!$C$7:$GO$213,18,FALSE))</f>
        <v>1.83956</v>
      </c>
      <c r="AS7" s="406"/>
      <c r="AT7" s="406"/>
      <c r="AU7" s="233"/>
      <c r="AV7" s="232"/>
      <c r="AW7" s="406">
        <f>IF(VLOOKUP($B7,'NHG''s optical glass 202608'!$C$7:$GO$213,22,FALSE)="","",VLOOKUP($B7,'NHG''s optical glass 202608'!$C$7:$GO$213,22,FALSE))</f>
        <v>1.8721</v>
      </c>
      <c r="AX7" s="406"/>
      <c r="AY7" s="406"/>
      <c r="AZ7" s="406"/>
      <c r="BA7" s="406">
        <f>IF(VLOOKUP($B7,'NHG''s optical glass 202608'!$C$7:$GO$213,23,FALSE)="","",VLOOKUP($B7,'NHG''s optical glass 202608'!$C$7:$GO$213,23,FALSE))</f>
        <v>1.87431</v>
      </c>
      <c r="BB7" s="406"/>
      <c r="BC7" s="406"/>
      <c r="BD7" s="406">
        <f>IF(VLOOKUP($B7,'NHG''s optical glass 202608'!$C$7:$GO$213,24,FALSE)="","",VLOOKUP($B7,'NHG''s optical glass 202608'!$C$7:$GO$213,24,FALSE))</f>
        <v>1.89416</v>
      </c>
      <c r="BE7" s="406"/>
      <c r="BF7" s="406"/>
      <c r="BG7" s="406">
        <f>IF(VLOOKUP($B7,'NHG''s optical glass 202608'!$C$7:$GO$213,25,FALSE)="","",VLOOKUP($B7,'NHG''s optical glass 202608'!$C$7:$GO$213,25,FALSE))</f>
        <v>1.91418</v>
      </c>
      <c r="BH7" s="406"/>
      <c r="BI7" s="406"/>
      <c r="BJ7" s="406">
        <f>IF(VLOOKUP($B7,'NHG''s optical glass 202608'!$C$7:$GO$213,26,FALSE)="","",VLOOKUP($B7,'NHG''s optical glass 202608'!$C$7:$GO$213,26,FALSE))</f>
        <v>1.95237</v>
      </c>
      <c r="BK7" s="406"/>
      <c r="BL7" s="406"/>
      <c r="BM7" s="437">
        <f>IF(VLOOKUP($B7,'NHG''s optical glass 202608'!$C$7:$GO$213,33,FALSE)="","",VLOOKUP($B7,'NHG''s optical glass 202608'!$C$7:$GO$213,33,FALSE))</f>
        <v>0.2856</v>
      </c>
      <c r="BN7" s="437"/>
      <c r="BO7" s="437"/>
      <c r="BP7" s="437">
        <f>IF(VLOOKUP($B7,'NHG''s optical glass 202608'!$C$7:$GO$213,35,FALSE)="","",VLOOKUP($B7,'NHG''s optical glass 202608'!$C$7:$GO$213,35,FALSE))</f>
        <v>0.6195</v>
      </c>
      <c r="BQ7" s="437"/>
      <c r="BR7" s="437"/>
      <c r="BS7" s="437"/>
      <c r="BT7" s="437">
        <f>IF(VLOOKUP($B7,'NHG''s optical glass 202608'!$C$7:$GO$213,36,FALSE)="","",VLOOKUP($B7,'NHG''s optical glass 202608'!$C$7:$GO$213,36,FALSE))</f>
        <v>0.237</v>
      </c>
      <c r="BU7" s="437"/>
      <c r="BV7" s="437"/>
      <c r="BW7" s="437">
        <f>IF(VLOOKUP($B7,'NHG''s optical glass 202608'!$C$7:$GO$213,38,FALSE)="","",VLOOKUP($B7,'NHG''s optical glass 202608'!$C$7:$GO$213,38,FALSE))</f>
        <v>0.5476</v>
      </c>
      <c r="BX7" s="437"/>
      <c r="BY7" s="437">
        <f>IF(VLOOKUP($B7,'NHG''s optical glass 202608'!$C$7:$GO$213,40,FALSE)="","",VLOOKUP($B7,'NHG''s optical glass 202608'!$C$7:$GO$213,40,FALSE))</f>
        <v>0.0154</v>
      </c>
      <c r="BZ7" s="437"/>
      <c r="CA7" s="437"/>
      <c r="CB7" s="437">
        <f>IF(VLOOKUP($B7,'NHG''s optical glass 202608'!$C$7:$GO$213,41,FALSE)="","",VLOOKUP($B7,'NHG''s optical glass 202608'!$C$7:$GO$213,41,FALSE))</f>
        <v>0.0032</v>
      </c>
      <c r="CC7" s="437"/>
      <c r="CD7" s="437"/>
      <c r="CE7" s="437"/>
      <c r="CF7" s="437"/>
      <c r="CG7" s="449">
        <f>IF(VLOOKUP($B7,'NHG''s optical glass 202608'!$C$7:$GO$213,99,FALSE)="","",VLOOKUP($B7,'NHG''s optical glass 202608'!$C$7:$GO$213,99,FALSE))</f>
        <v>0.8</v>
      </c>
      <c r="CH7" s="449"/>
      <c r="CI7" s="449"/>
      <c r="CJ7" s="449">
        <f>IF(VLOOKUP($B7,'NHG''s optical glass 202608'!$C$7:$GO$213,102,FALSE)="","",VLOOKUP($B7,'NHG''s optical glass 202608'!$C$7:$GO$213,102,FALSE))</f>
        <v>1</v>
      </c>
      <c r="CK7" s="449"/>
      <c r="CL7" s="449"/>
      <c r="CM7" s="449"/>
      <c r="CN7" s="449">
        <f>IF(VLOOKUP($B7,'NHG''s optical glass 202608'!$C$7:$GO$213,105,FALSE)="","",VLOOKUP($B7,'NHG''s optical glass 202608'!$C$7:$GO$213,105,FALSE))</f>
        <v>1.3</v>
      </c>
      <c r="CO7" s="449"/>
      <c r="CP7" s="449"/>
      <c r="CQ7" s="449"/>
      <c r="CR7" s="405" t="str">
        <f t="shared" si="0"/>
        <v>H-ZF52N</v>
      </c>
      <c r="CS7" s="233"/>
      <c r="CT7" s="233"/>
      <c r="CU7" s="233"/>
      <c r="CV7" s="233"/>
      <c r="CW7" s="233"/>
    </row>
    <row r="8" s="231" customFormat="1" ht="14.45" customHeight="1" spans="2:101">
      <c r="B8" s="407" t="s">
        <v>853</v>
      </c>
      <c r="C8" s="403">
        <f>IF(VLOOKUP($B8,'NHG''s optical glass 202608'!$C$7:$GO$213,2,FALSE)="","",VLOOKUP($B8,'NHG''s optical glass 202608'!$C$7:$GO$213,2,FALSE))</f>
        <v>847238</v>
      </c>
      <c r="D8" s="404">
        <f>IF(VLOOKUP($B8,'NHG''s optical glass 202608'!$C$7:$GO$213,20,FALSE)="","",VLOOKUP($B8,'NHG''s optical glass 202608'!$C$7:$GO$213,20,FALSE))</f>
        <v>1.84666</v>
      </c>
      <c r="E8" s="404"/>
      <c r="F8" s="404"/>
      <c r="G8" s="455">
        <f>IF(VLOOKUP($B8,'NHG''s optical glass 202608'!$C$7:$GO$213,3,FALSE)="","",VLOOKUP($B8,'NHG''s optical glass 202608'!$C$7:$GO$213,3,FALSE))</f>
        <v>23.78</v>
      </c>
      <c r="H8" s="455"/>
      <c r="I8" s="411">
        <f>IF(VLOOKUP($B8,'NHG''s optical glass 202608'!$C$7:$GO$213,5,FALSE)="","",VLOOKUP($B8,'NHG''s optical glass 202608'!$C$7:$GO$213,5,FALSE))</f>
        <v>0.035608</v>
      </c>
      <c r="J8" s="411"/>
      <c r="K8" s="411"/>
      <c r="L8" s="411"/>
      <c r="M8" s="411"/>
      <c r="N8" s="404">
        <f>IF(VLOOKUP($B8,'NHG''s optical glass 202608'!$C$7:$GO$213,21,FALSE)="","",VLOOKUP($B8,'NHG''s optical glass 202608'!$C$7:$GO$213,21,FALSE))</f>
        <v>1.85504</v>
      </c>
      <c r="O8" s="404"/>
      <c r="P8" s="404"/>
      <c r="Q8" s="404"/>
      <c r="R8" s="455">
        <f>IF(VLOOKUP($B8,'NHG''s optical glass 202608'!$C$7:$GO$213,4,FALSE)="","",VLOOKUP($B8,'NHG''s optical glass 202608'!$C$7:$GO$213,4,FALSE))</f>
        <v>23.59</v>
      </c>
      <c r="S8" s="455"/>
      <c r="T8" s="411">
        <f>IF(VLOOKUP($B8,'NHG''s optical glass 202608'!$C$7:$GO$213,6,FALSE)="","",VLOOKUP($B8,'NHG''s optical glass 202608'!$C$7:$GO$213,6,FALSE))</f>
        <v>0.036247</v>
      </c>
      <c r="U8" s="411"/>
      <c r="V8" s="411"/>
      <c r="W8" s="404">
        <f>IF(VLOOKUP($B8,'NHG''s optical glass 202608'!$C$7:$GO$213,12,FALSE)="","",VLOOKUP($B8,'NHG''s optical glass 202608'!$C$7:$GO$213,12,FALSE))</f>
        <v>1.81304</v>
      </c>
      <c r="X8" s="404"/>
      <c r="Y8" s="404"/>
      <c r="Z8" s="404">
        <f>IF(VLOOKUP($B8,'NHG''s optical glass 202608'!$C$7:$GO$213,13,FALSE)="","",VLOOKUP($B8,'NHG''s optical glass 202608'!$C$7:$GO$213,13,FALSE))</f>
        <v>1.82028</v>
      </c>
      <c r="AA8" s="404"/>
      <c r="AB8" s="404"/>
      <c r="AC8" s="404">
        <f>IF(VLOOKUP($B8,'NHG''s optical glass 202608'!$C$7:$GO$213,14,FALSE)="","",VLOOKUP($B8,'NHG''s optical glass 202608'!$C$7:$GO$213,14,FALSE))</f>
        <v>1.82573</v>
      </c>
      <c r="AD8" s="404"/>
      <c r="AE8" s="404"/>
      <c r="AF8" s="404"/>
      <c r="AG8" s="404">
        <f>IF(VLOOKUP($B8,'NHG''s optical glass 202608'!$C$7:$GO$213,15,FALSE)="","",VLOOKUP($B8,'NHG''s optical glass 202608'!$C$7:$GO$213,15,FALSE))</f>
        <v>1.83101</v>
      </c>
      <c r="AH8" s="404"/>
      <c r="AI8" s="404"/>
      <c r="AJ8" s="404"/>
      <c r="AK8" s="404"/>
      <c r="AL8" s="404">
        <f>IF(VLOOKUP($B8,'NHG''s optical glass 202608'!$C$7:$GO$213,16,FALSE)="","",VLOOKUP($B8,'NHG''s optical glass 202608'!$C$7:$GO$213,16,FALSE))</f>
        <v>1.83649</v>
      </c>
      <c r="AM8" s="404"/>
      <c r="AN8" s="404"/>
      <c r="AO8" s="404">
        <f>IF(VLOOKUP($B8,'NHG''s optical glass 202608'!$C$7:$GO$213,17,FALSE)="","",VLOOKUP($B8,'NHG''s optical glass 202608'!$C$7:$GO$213,17,FALSE))</f>
        <v>1.83807</v>
      </c>
      <c r="AP8" s="404"/>
      <c r="AQ8" s="404"/>
      <c r="AR8" s="404">
        <f>IF(VLOOKUP($B8,'NHG''s optical glass 202608'!$C$7:$GO$213,18,FALSE)="","",VLOOKUP($B8,'NHG''s optical glass 202608'!$C$7:$GO$213,18,FALSE))</f>
        <v>1.83956</v>
      </c>
      <c r="AS8" s="404"/>
      <c r="AT8" s="404"/>
      <c r="AU8" s="233"/>
      <c r="AV8" s="232"/>
      <c r="AW8" s="404">
        <f>IF(VLOOKUP($B8,'NHG''s optical glass 202608'!$C$7:$GO$213,22,FALSE)="","",VLOOKUP($B8,'NHG''s optical glass 202608'!$C$7:$GO$213,22,FALSE))</f>
        <v>1.8721</v>
      </c>
      <c r="AX8" s="404"/>
      <c r="AY8" s="404"/>
      <c r="AZ8" s="404"/>
      <c r="BA8" s="404">
        <f>IF(VLOOKUP($B8,'NHG''s optical glass 202608'!$C$7:$GO$213,23,FALSE)="","",VLOOKUP($B8,'NHG''s optical glass 202608'!$C$7:$GO$213,23,FALSE))</f>
        <v>1.87431</v>
      </c>
      <c r="BB8" s="404"/>
      <c r="BC8" s="404"/>
      <c r="BD8" s="404">
        <f>IF(VLOOKUP($B8,'NHG''s optical glass 202608'!$C$7:$GO$213,24,FALSE)="","",VLOOKUP($B8,'NHG''s optical glass 202608'!$C$7:$GO$213,24,FALSE))</f>
        <v>1.89416</v>
      </c>
      <c r="BE8" s="404"/>
      <c r="BF8" s="404"/>
      <c r="BG8" s="404">
        <f>IF(VLOOKUP($B8,'NHG''s optical glass 202608'!$C$7:$GO$213,25,FALSE)="","",VLOOKUP($B8,'NHG''s optical glass 202608'!$C$7:$GO$213,25,FALSE))</f>
        <v>1.91418</v>
      </c>
      <c r="BH8" s="404"/>
      <c r="BI8" s="404"/>
      <c r="BJ8" s="404">
        <f>IF(VLOOKUP($B8,'NHG''s optical glass 202608'!$C$7:$GO$213,26,FALSE)="","",VLOOKUP($B8,'NHG''s optical glass 202608'!$C$7:$GO$213,26,FALSE))</f>
        <v>1.95237</v>
      </c>
      <c r="BK8" s="404"/>
      <c r="BL8" s="404"/>
      <c r="BM8" s="438">
        <f>IF(VLOOKUP($B8,'NHG''s optical glass 202608'!$C$7:$GO$213,33,FALSE)="","",VLOOKUP($B8,'NHG''s optical glass 202608'!$C$7:$GO$213,33,FALSE))</f>
        <v>0.2856</v>
      </c>
      <c r="BN8" s="438"/>
      <c r="BO8" s="438"/>
      <c r="BP8" s="438">
        <f>IF(VLOOKUP($B8,'NHG''s optical glass 202608'!$C$7:$GO$213,35,FALSE)="","",VLOOKUP($B8,'NHG''s optical glass 202608'!$C$7:$GO$213,35,FALSE))</f>
        <v>0.6195</v>
      </c>
      <c r="BQ8" s="438"/>
      <c r="BR8" s="438"/>
      <c r="BS8" s="438"/>
      <c r="BT8" s="438">
        <f>IF(VLOOKUP($B8,'NHG''s optical glass 202608'!$C$7:$GO$213,36,FALSE)="","",VLOOKUP($B8,'NHG''s optical glass 202608'!$C$7:$GO$213,36,FALSE))</f>
        <v>0.237</v>
      </c>
      <c r="BU8" s="438"/>
      <c r="BV8" s="438"/>
      <c r="BW8" s="438">
        <f>IF(VLOOKUP($B8,'NHG''s optical glass 202608'!$C$7:$GO$213,38,FALSE)="","",VLOOKUP($B8,'NHG''s optical glass 202608'!$C$7:$GO$213,38,FALSE))</f>
        <v>0.5476</v>
      </c>
      <c r="BX8" s="438"/>
      <c r="BY8" s="438">
        <f>IF(VLOOKUP($B8,'NHG''s optical glass 202608'!$C$7:$GO$213,40,FALSE)="","",VLOOKUP($B8,'NHG''s optical glass 202608'!$C$7:$GO$213,40,FALSE))</f>
        <v>0.0154</v>
      </c>
      <c r="BZ8" s="438"/>
      <c r="CA8" s="438"/>
      <c r="CB8" s="438">
        <f>IF(VLOOKUP($B8,'NHG''s optical glass 202608'!$C$7:$GO$213,41,FALSE)="","",VLOOKUP($B8,'NHG''s optical glass 202608'!$C$7:$GO$213,41,FALSE))</f>
        <v>0.0032</v>
      </c>
      <c r="CC8" s="438"/>
      <c r="CD8" s="438"/>
      <c r="CE8" s="438"/>
      <c r="CF8" s="438"/>
      <c r="CG8" s="448">
        <f>IF(VLOOKUP($B8,'NHG''s optical glass 202608'!$C$7:$GO$213,99,FALSE)="","",VLOOKUP($B8,'NHG''s optical glass 202608'!$C$7:$GO$213,99,FALSE))</f>
        <v>0.8</v>
      </c>
      <c r="CH8" s="448"/>
      <c r="CI8" s="448"/>
      <c r="CJ8" s="448">
        <f>IF(VLOOKUP($B8,'NHG''s optical glass 202608'!$C$7:$GO$213,102,FALSE)="","",VLOOKUP($B8,'NHG''s optical glass 202608'!$C$7:$GO$213,102,FALSE))</f>
        <v>1</v>
      </c>
      <c r="CK8" s="448"/>
      <c r="CL8" s="448"/>
      <c r="CM8" s="448"/>
      <c r="CN8" s="448">
        <f>IF(VLOOKUP($B8,'NHG''s optical glass 202608'!$C$7:$GO$213,105,FALSE)="","",VLOOKUP($B8,'NHG''s optical glass 202608'!$C$7:$GO$213,105,FALSE))</f>
        <v>1.3</v>
      </c>
      <c r="CO8" s="448"/>
      <c r="CP8" s="448"/>
      <c r="CQ8" s="448"/>
      <c r="CR8" s="407" t="str">
        <f t="shared" si="0"/>
        <v>H-ZF52NGT</v>
      </c>
      <c r="CS8" s="233"/>
      <c r="CT8" s="233"/>
      <c r="CU8" s="233"/>
      <c r="CV8" s="233"/>
      <c r="CW8" s="233"/>
    </row>
    <row r="9" s="231" customFormat="1" ht="14.45" customHeight="1" spans="2:101">
      <c r="B9" s="405" t="s">
        <v>861</v>
      </c>
      <c r="C9" s="234">
        <f>IF(VLOOKUP($B9,'NHG''s optical glass 202608'!$C$7:$GO$213,2,FALSE)="","",VLOOKUP($B9,'NHG''s optical glass 202608'!$C$7:$GO$213,2,FALSE))</f>
        <v>855248</v>
      </c>
      <c r="D9" s="406">
        <f>IF(VLOOKUP($B9,'NHG''s optical glass 202608'!$C$7:$GO$213,20,FALSE)="","",VLOOKUP($B9,'NHG''s optical glass 202608'!$C$7:$GO$213,20,FALSE))</f>
        <v>1.85478</v>
      </c>
      <c r="E9" s="406"/>
      <c r="F9" s="406"/>
      <c r="G9" s="456">
        <f>IF(VLOOKUP($B9,'NHG''s optical glass 202608'!$C$7:$GO$213,3,FALSE)="","",VLOOKUP($B9,'NHG''s optical glass 202608'!$C$7:$GO$213,3,FALSE))</f>
        <v>24.8</v>
      </c>
      <c r="H9" s="456"/>
      <c r="I9" s="412">
        <f>IF(VLOOKUP($B9,'NHG''s optical glass 202608'!$C$7:$GO$213,5,FALSE)="","",VLOOKUP($B9,'NHG''s optical glass 202608'!$C$7:$GO$213,5,FALSE))</f>
        <v>0.034469</v>
      </c>
      <c r="J9" s="412"/>
      <c r="K9" s="412"/>
      <c r="L9" s="412"/>
      <c r="M9" s="412"/>
      <c r="N9" s="406">
        <f>IF(VLOOKUP($B9,'NHG''s optical glass 202608'!$C$7:$GO$213,21,FALSE)="","",VLOOKUP($B9,'NHG''s optical glass 202608'!$C$7:$GO$213,21,FALSE))</f>
        <v>1.8629</v>
      </c>
      <c r="O9" s="406"/>
      <c r="P9" s="406"/>
      <c r="Q9" s="406"/>
      <c r="R9" s="456">
        <f>IF(VLOOKUP($B9,'NHG''s optical glass 202608'!$C$7:$GO$213,4,FALSE)="","",VLOOKUP($B9,'NHG''s optical glass 202608'!$C$7:$GO$213,4,FALSE))</f>
        <v>24.61</v>
      </c>
      <c r="S9" s="456"/>
      <c r="T9" s="412">
        <f>IF(VLOOKUP($B9,'NHG''s optical glass 202608'!$C$7:$GO$213,6,FALSE)="","",VLOOKUP($B9,'NHG''s optical glass 202608'!$C$7:$GO$213,6,FALSE))</f>
        <v>0.035057</v>
      </c>
      <c r="U9" s="412"/>
      <c r="V9" s="412"/>
      <c r="W9" s="406">
        <f>IF(VLOOKUP($B9,'NHG''s optical glass 202608'!$C$7:$GO$213,12,FALSE)="","",VLOOKUP($B9,'NHG''s optical glass 202608'!$C$7:$GO$213,12,FALSE))</f>
        <v>1.82165</v>
      </c>
      <c r="X9" s="406"/>
      <c r="Y9" s="406"/>
      <c r="Z9" s="406">
        <f>IF(VLOOKUP($B9,'NHG''s optical glass 202608'!$C$7:$GO$213,13,FALSE)="","",VLOOKUP($B9,'NHG''s optical glass 202608'!$C$7:$GO$213,13,FALSE))</f>
        <v>1.82888</v>
      </c>
      <c r="AA9" s="406"/>
      <c r="AB9" s="406"/>
      <c r="AC9" s="406">
        <f>IF(VLOOKUP($B9,'NHG''s optical glass 202608'!$C$7:$GO$213,14,FALSE)="","",VLOOKUP($B9,'NHG''s optical glass 202608'!$C$7:$GO$213,14,FALSE))</f>
        <v>1.83428</v>
      </c>
      <c r="AD9" s="406"/>
      <c r="AE9" s="406"/>
      <c r="AF9" s="406"/>
      <c r="AG9" s="406">
        <f>IF(VLOOKUP($B9,'NHG''s optical glass 202608'!$C$7:$GO$213,15,FALSE)="","",VLOOKUP($B9,'NHG''s optical glass 202608'!$C$7:$GO$213,15,FALSE))</f>
        <v>1.83948</v>
      </c>
      <c r="AH9" s="406"/>
      <c r="AI9" s="406"/>
      <c r="AJ9" s="406"/>
      <c r="AK9" s="406"/>
      <c r="AL9" s="406">
        <f>IF(VLOOKUP($B9,'NHG''s optical glass 202608'!$C$7:$GO$213,16,FALSE)="","",VLOOKUP($B9,'NHG''s optical glass 202608'!$C$7:$GO$213,16,FALSE))</f>
        <v>1.84488</v>
      </c>
      <c r="AM9" s="406"/>
      <c r="AN9" s="406"/>
      <c r="AO9" s="406">
        <f>IF(VLOOKUP($B9,'NHG''s optical glass 202608'!$C$7:$GO$213,17,FALSE)="","",VLOOKUP($B9,'NHG''s optical glass 202608'!$C$7:$GO$213,17,FALSE))</f>
        <v>1.84642</v>
      </c>
      <c r="AP9" s="406"/>
      <c r="AQ9" s="406"/>
      <c r="AR9" s="406">
        <f>IF(VLOOKUP($B9,'NHG''s optical glass 202608'!$C$7:$GO$213,18,FALSE)="","",VLOOKUP($B9,'NHG''s optical glass 202608'!$C$7:$GO$213,18,FALSE))</f>
        <v>1.84787</v>
      </c>
      <c r="AS9" s="406"/>
      <c r="AT9" s="406"/>
      <c r="AU9" s="233"/>
      <c r="AV9" s="232"/>
      <c r="AW9" s="406">
        <f>IF(VLOOKUP($B9,'NHG''s optical glass 202608'!$C$7:$GO$213,22,FALSE)="","",VLOOKUP($B9,'NHG''s optical glass 202608'!$C$7:$GO$213,22,FALSE))</f>
        <v>1.87935</v>
      </c>
      <c r="AX9" s="406"/>
      <c r="AY9" s="406"/>
      <c r="AZ9" s="406"/>
      <c r="BA9" s="406">
        <f>IF(VLOOKUP($B9,'NHG''s optical glass 202608'!$C$7:$GO$213,23,FALSE)="","",VLOOKUP($B9,'NHG''s optical glass 202608'!$C$7:$GO$213,23,FALSE))</f>
        <v>1.88147</v>
      </c>
      <c r="BB9" s="406"/>
      <c r="BC9" s="406"/>
      <c r="BD9" s="406">
        <f>IF(VLOOKUP($B9,'NHG''s optical glass 202608'!$C$7:$GO$213,24,FALSE)="","",VLOOKUP($B9,'NHG''s optical glass 202608'!$C$7:$GO$213,24,FALSE))</f>
        <v>1.90044</v>
      </c>
      <c r="BE9" s="406"/>
      <c r="BF9" s="406"/>
      <c r="BG9" s="406">
        <f>IF(VLOOKUP($B9,'NHG''s optical glass 202608'!$C$7:$GO$213,25,FALSE)="","",VLOOKUP($B9,'NHG''s optical glass 202608'!$C$7:$GO$213,25,FALSE))</f>
        <v>1.91945</v>
      </c>
      <c r="BH9" s="406"/>
      <c r="BI9" s="406"/>
      <c r="BJ9" s="406">
        <f>IF(VLOOKUP($B9,'NHG''s optical glass 202608'!$C$7:$GO$213,26,FALSE)="","",VLOOKUP($B9,'NHG''s optical glass 202608'!$C$7:$GO$213,26,FALSE))</f>
        <v>1.95583</v>
      </c>
      <c r="BK9" s="406"/>
      <c r="BL9" s="406"/>
      <c r="BM9" s="437">
        <f>IF(VLOOKUP($B9,'NHG''s optical glass 202608'!$C$7:$GO$213,33,FALSE)="","",VLOOKUP($B9,'NHG''s optical glass 202608'!$C$7:$GO$213,33,FALSE))</f>
        <v>0.2872</v>
      </c>
      <c r="BN9" s="437"/>
      <c r="BO9" s="437"/>
      <c r="BP9" s="437">
        <f>IF(VLOOKUP($B9,'NHG''s optical glass 202608'!$C$7:$GO$213,35,FALSE)="","",VLOOKUP($B9,'NHG''s optical glass 202608'!$C$7:$GO$213,35,FALSE))</f>
        <v>0.6119</v>
      </c>
      <c r="BQ9" s="437"/>
      <c r="BR9" s="437"/>
      <c r="BS9" s="437"/>
      <c r="BT9" s="437">
        <f>IF(VLOOKUP($B9,'NHG''s optical glass 202608'!$C$7:$GO$213,36,FALSE)="","",VLOOKUP($B9,'NHG''s optical glass 202608'!$C$7:$GO$213,36,FALSE))</f>
        <v>0.2385</v>
      </c>
      <c r="BU9" s="437"/>
      <c r="BV9" s="437"/>
      <c r="BW9" s="437">
        <f>IF(VLOOKUP($B9,'NHG''s optical glass 202608'!$C$7:$GO$213,38,FALSE)="","",VLOOKUP($B9,'NHG''s optical glass 202608'!$C$7:$GO$213,38,FALSE))</f>
        <v>0.5411</v>
      </c>
      <c r="BX9" s="437"/>
      <c r="BY9" s="437">
        <f>IF(VLOOKUP($B9,'NHG''s optical glass 202608'!$C$7:$GO$213,40,FALSE)="","",VLOOKUP($B9,'NHG''s optical glass 202608'!$C$7:$GO$213,40,FALSE))</f>
        <v>0.0094</v>
      </c>
      <c r="BZ9" s="437"/>
      <c r="CA9" s="437"/>
      <c r="CB9" s="437">
        <f>IF(VLOOKUP($B9,'NHG''s optical glass 202608'!$C$7:$GO$213,41,FALSE)="","",VLOOKUP($B9,'NHG''s optical glass 202608'!$C$7:$GO$213,41,FALSE))</f>
        <v>0.0137</v>
      </c>
      <c r="CC9" s="437"/>
      <c r="CD9" s="437"/>
      <c r="CE9" s="437"/>
      <c r="CF9" s="437"/>
      <c r="CG9" s="449">
        <f>IF(VLOOKUP($B9,'NHG''s optical glass 202608'!$C$7:$GO$213,99,FALSE)="","",VLOOKUP($B9,'NHG''s optical glass 202608'!$C$7:$GO$213,99,FALSE))</f>
        <v>2.1</v>
      </c>
      <c r="CH9" s="449"/>
      <c r="CI9" s="449"/>
      <c r="CJ9" s="449">
        <f>IF(VLOOKUP($B9,'NHG''s optical glass 202608'!$C$7:$GO$213,102,FALSE)="","",VLOOKUP($B9,'NHG''s optical glass 202608'!$C$7:$GO$213,102,FALSE))</f>
        <v>2.9</v>
      </c>
      <c r="CK9" s="449"/>
      <c r="CL9" s="449"/>
      <c r="CM9" s="449"/>
      <c r="CN9" s="449">
        <f>IF(VLOOKUP($B9,'NHG''s optical glass 202608'!$C$7:$GO$213,105,FALSE)="","",VLOOKUP($B9,'NHG''s optical glass 202608'!$C$7:$GO$213,105,FALSE))</f>
        <v>3.7</v>
      </c>
      <c r="CO9" s="449"/>
      <c r="CP9" s="449"/>
      <c r="CQ9" s="449"/>
      <c r="CR9" s="405" t="str">
        <f t="shared" si="0"/>
        <v>H-ZF56</v>
      </c>
      <c r="CS9" s="233"/>
      <c r="CT9" s="233"/>
      <c r="CU9" s="233"/>
      <c r="CV9" s="233"/>
      <c r="CW9" s="233"/>
    </row>
    <row r="10" s="232" customFormat="1" ht="14.45" customHeight="1" spans="2:101">
      <c r="B10" s="407" t="s">
        <v>867</v>
      </c>
      <c r="C10" s="403">
        <f>IF(VLOOKUP($B10,'NHG''s optical glass 202608'!$C$7:$GO$213,2,FALSE)="","",VLOOKUP($B10,'NHG''s optical glass 202608'!$C$7:$GO$213,2,FALSE))</f>
        <v>923209</v>
      </c>
      <c r="D10" s="404">
        <f>IF(VLOOKUP($B10,'NHG''s optical glass 202608'!$C$7:$GO$213,20,FALSE)="","",VLOOKUP($B10,'NHG''s optical glass 202608'!$C$7:$GO$213,20,FALSE))</f>
        <v>1.92286</v>
      </c>
      <c r="E10" s="404"/>
      <c r="F10" s="404"/>
      <c r="G10" s="455">
        <f>IF(VLOOKUP($B10,'NHG''s optical glass 202608'!$C$7:$GO$213,3,FALSE)="","",VLOOKUP($B10,'NHG''s optical glass 202608'!$C$7:$GO$213,3,FALSE))</f>
        <v>20.88</v>
      </c>
      <c r="H10" s="455"/>
      <c r="I10" s="411">
        <f>IF(VLOOKUP($B10,'NHG''s optical glass 202608'!$C$7:$GO$213,5,FALSE)="","",VLOOKUP($B10,'NHG''s optical glass 202608'!$C$7:$GO$213,5,FALSE))</f>
        <v>0.044198</v>
      </c>
      <c r="J10" s="411"/>
      <c r="K10" s="411"/>
      <c r="L10" s="411"/>
      <c r="M10" s="411"/>
      <c r="N10" s="404">
        <f>IF(VLOOKUP($B10,'NHG''s optical glass 202608'!$C$7:$GO$213,21,FALSE)="","",VLOOKUP($B10,'NHG''s optical glass 202608'!$C$7:$GO$213,21,FALSE))</f>
        <v>1.93323</v>
      </c>
      <c r="O10" s="404"/>
      <c r="P10" s="404"/>
      <c r="Q10" s="404"/>
      <c r="R10" s="455">
        <f>IF(VLOOKUP($B10,'NHG''s optical glass 202608'!$C$7:$GO$213,4,FALSE)="","",VLOOKUP($B10,'NHG''s optical glass 202608'!$C$7:$GO$213,4,FALSE))</f>
        <v>20.71</v>
      </c>
      <c r="S10" s="455"/>
      <c r="T10" s="411">
        <f>IF(VLOOKUP($B10,'NHG''s optical glass 202608'!$C$7:$GO$213,6,FALSE)="","",VLOOKUP($B10,'NHG''s optical glass 202608'!$C$7:$GO$213,6,FALSE))</f>
        <v>0.045071</v>
      </c>
      <c r="U10" s="411"/>
      <c r="V10" s="411"/>
      <c r="W10" s="404">
        <f>IF(VLOOKUP($B10,'NHG''s optical glass 202608'!$C$7:$GO$213,12,FALSE)="","",VLOOKUP($B10,'NHG''s optical glass 202608'!$C$7:$GO$213,12,FALSE))</f>
        <v>1.88181</v>
      </c>
      <c r="X10" s="404"/>
      <c r="Y10" s="404"/>
      <c r="Z10" s="404">
        <f>IF(VLOOKUP($B10,'NHG''s optical glass 202608'!$C$7:$GO$213,13,FALSE)="","",VLOOKUP($B10,'NHG''s optical glass 202608'!$C$7:$GO$213,13,FALSE))</f>
        <v>1.89061</v>
      </c>
      <c r="AA10" s="404"/>
      <c r="AB10" s="404"/>
      <c r="AC10" s="404">
        <f>IF(VLOOKUP($B10,'NHG''s optical glass 202608'!$C$7:$GO$213,14,FALSE)="","",VLOOKUP($B10,'NHG''s optical glass 202608'!$C$7:$GO$213,14,FALSE))</f>
        <v>1.89723</v>
      </c>
      <c r="AD10" s="404"/>
      <c r="AE10" s="404"/>
      <c r="AF10" s="404"/>
      <c r="AG10" s="404">
        <f>IF(VLOOKUP($B10,'NHG''s optical glass 202608'!$C$7:$GO$213,15,FALSE)="","",VLOOKUP($B10,'NHG''s optical glass 202608'!$C$7:$GO$213,15,FALSE))</f>
        <v>1.90366</v>
      </c>
      <c r="AH10" s="404"/>
      <c r="AI10" s="404"/>
      <c r="AJ10" s="404"/>
      <c r="AK10" s="404"/>
      <c r="AL10" s="404">
        <f>IF(VLOOKUP($B10,'NHG''s optical glass 202608'!$C$7:$GO$213,16,FALSE)="","",VLOOKUP($B10,'NHG''s optical glass 202608'!$C$7:$GO$213,16,FALSE))</f>
        <v>1.91038</v>
      </c>
      <c r="AM10" s="404"/>
      <c r="AN10" s="404"/>
      <c r="AO10" s="404">
        <f>IF(VLOOKUP($B10,'NHG''s optical glass 202608'!$C$7:$GO$213,17,FALSE)="","",VLOOKUP($B10,'NHG''s optical glass 202608'!$C$7:$GO$213,17,FALSE))</f>
        <v>1.91231</v>
      </c>
      <c r="AP10" s="404"/>
      <c r="AQ10" s="404"/>
      <c r="AR10" s="404">
        <f>IF(VLOOKUP($B10,'NHG''s optical glass 202608'!$C$7:$GO$213,18,FALSE)="","",VLOOKUP($B10,'NHG''s optical glass 202608'!$C$7:$GO$213,18,FALSE))</f>
        <v>1.91413</v>
      </c>
      <c r="AS10" s="404"/>
      <c r="AT10" s="404"/>
      <c r="AU10" s="233"/>
      <c r="AW10" s="404">
        <f>IF(VLOOKUP($B10,'NHG''s optical glass 202608'!$C$7:$GO$213,22,FALSE)="","",VLOOKUP($B10,'NHG''s optical glass 202608'!$C$7:$GO$213,22,FALSE))</f>
        <v>1.95457</v>
      </c>
      <c r="AX10" s="404"/>
      <c r="AY10" s="404"/>
      <c r="AZ10" s="404"/>
      <c r="BA10" s="404">
        <f>IF(VLOOKUP($B10,'NHG''s optical glass 202608'!$C$7:$GO$213,23,FALSE)="","",VLOOKUP($B10,'NHG''s optical glass 202608'!$C$7:$GO$213,23,FALSE))</f>
        <v>1.95738</v>
      </c>
      <c r="BB10" s="404"/>
      <c r="BC10" s="404"/>
      <c r="BD10" s="404">
        <f>IF(VLOOKUP($B10,'NHG''s optical glass 202608'!$C$7:$GO$213,24,FALSE)="","",VLOOKUP($B10,'NHG''s optical glass 202608'!$C$7:$GO$213,24,FALSE))</f>
        <v>1.98274</v>
      </c>
      <c r="BE10" s="404"/>
      <c r="BF10" s="404"/>
      <c r="BG10" s="404">
        <f>IF(VLOOKUP($B10,'NHG''s optical glass 202608'!$C$7:$GO$213,25,FALSE)="","",VLOOKUP($B10,'NHG''s optical glass 202608'!$C$7:$GO$213,25,FALSE))</f>
        <v>2.00892</v>
      </c>
      <c r="BH10" s="404"/>
      <c r="BI10" s="404"/>
      <c r="BJ10" s="404" t="str">
        <f>IF(VLOOKUP($B10,'NHG''s optical glass 202608'!$C$7:$GO$213,26,FALSE)="","",VLOOKUP($B10,'NHG''s optical glass 202608'!$C$7:$GO$213,26,FALSE))</f>
        <v/>
      </c>
      <c r="BK10" s="404"/>
      <c r="BL10" s="404"/>
      <c r="BM10" s="438">
        <f>IF(VLOOKUP($B10,'NHG''s optical glass 202608'!$C$7:$GO$213,33,FALSE)="","",VLOOKUP($B10,'NHG''s optical glass 202608'!$C$7:$GO$213,33,FALSE))</f>
        <v>0.2824</v>
      </c>
      <c r="BN10" s="438"/>
      <c r="BO10" s="438"/>
      <c r="BP10" s="438">
        <f>IF(VLOOKUP($B10,'NHG''s optical glass 202608'!$C$7:$GO$213,35,FALSE)="","",VLOOKUP($B10,'NHG''s optical glass 202608'!$C$7:$GO$213,35,FALSE))</f>
        <v>0.6374</v>
      </c>
      <c r="BQ10" s="438"/>
      <c r="BR10" s="438"/>
      <c r="BS10" s="438"/>
      <c r="BT10" s="438">
        <f>IF(VLOOKUP($B10,'NHG''s optical glass 202608'!$C$7:$GO$213,36,FALSE)="","",VLOOKUP($B10,'NHG''s optical glass 202608'!$C$7:$GO$213,36,FALSE))</f>
        <v>0.2341</v>
      </c>
      <c r="BU10" s="438"/>
      <c r="BV10" s="438"/>
      <c r="BW10" s="438">
        <f>IF(VLOOKUP($B10,'NHG''s optical glass 202608'!$C$7:$GO$213,38,FALSE)="","",VLOOKUP($B10,'NHG''s optical glass 202608'!$C$7:$GO$213,38,FALSE))</f>
        <v>0.5627</v>
      </c>
      <c r="BX10" s="438"/>
      <c r="BY10" s="438">
        <f>IF(VLOOKUP($B10,'NHG''s optical glass 202608'!$C$7:$GO$213,40,FALSE)="","",VLOOKUP($B10,'NHG''s optical glass 202608'!$C$7:$GO$213,40,FALSE))</f>
        <v>0.0284</v>
      </c>
      <c r="BZ10" s="438"/>
      <c r="CA10" s="438"/>
      <c r="CB10" s="438">
        <f>IF(VLOOKUP($B10,'NHG''s optical glass 202608'!$C$7:$GO$213,41,FALSE)="","",VLOOKUP($B10,'NHG''s optical glass 202608'!$C$7:$GO$213,41,FALSE))</f>
        <v>0.0051</v>
      </c>
      <c r="CC10" s="438"/>
      <c r="CD10" s="438"/>
      <c r="CE10" s="468"/>
      <c r="CF10" s="468"/>
      <c r="CG10" s="450">
        <f>IF(VLOOKUP($B10,'NHG''s optical glass 202608'!$C$7:$GO$213,99,FALSE)="","",VLOOKUP($B10,'NHG''s optical glass 202608'!$C$7:$GO$213,99,FALSE))</f>
        <v>1.5</v>
      </c>
      <c r="CH10" s="448"/>
      <c r="CI10" s="448"/>
      <c r="CJ10" s="448">
        <f>IF(VLOOKUP($B10,'NHG''s optical glass 202608'!$C$7:$GO$213,102,FALSE)="","",VLOOKUP($B10,'NHG''s optical glass 202608'!$C$7:$GO$213,102,FALSE))</f>
        <v>1.9</v>
      </c>
      <c r="CK10" s="448"/>
      <c r="CL10" s="448"/>
      <c r="CM10" s="448"/>
      <c r="CN10" s="448">
        <f>IF(VLOOKUP($B10,'NHG''s optical glass 202608'!$C$7:$GO$213,105,FALSE)="","",VLOOKUP($B10,'NHG''s optical glass 202608'!$C$7:$GO$213,105,FALSE))</f>
        <v>3</v>
      </c>
      <c r="CO10" s="448"/>
      <c r="CP10" s="448"/>
      <c r="CQ10" s="448"/>
      <c r="CR10" s="407" t="str">
        <f t="shared" si="0"/>
        <v>H-ZF62</v>
      </c>
      <c r="CS10" s="233"/>
      <c r="CT10" s="233"/>
      <c r="CU10" s="233"/>
      <c r="CV10" s="233"/>
      <c r="CW10" s="233"/>
    </row>
    <row r="11" s="1" customFormat="1" ht="14.45" customHeight="1" spans="2:96">
      <c r="B11" s="399" t="s">
        <v>1649</v>
      </c>
      <c r="C11" s="399" t="s">
        <v>1650</v>
      </c>
      <c r="D11" s="399" t="s">
        <v>1681</v>
      </c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 t="s">
        <v>1682</v>
      </c>
      <c r="AO11" s="399"/>
      <c r="AP11" s="399"/>
      <c r="AQ11" s="399"/>
      <c r="AR11" s="399" t="s">
        <v>1683</v>
      </c>
      <c r="AS11" s="399"/>
      <c r="AT11" s="399"/>
      <c r="AV11" s="2"/>
      <c r="AW11" s="399" t="s">
        <v>1684</v>
      </c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99" t="s">
        <v>1685</v>
      </c>
      <c r="BI11" s="399"/>
      <c r="BJ11" s="399"/>
      <c r="BK11" s="399"/>
      <c r="BL11" s="399"/>
      <c r="BM11" s="399"/>
      <c r="BN11" s="408" t="s">
        <v>1686</v>
      </c>
      <c r="BO11" s="399"/>
      <c r="BP11" s="399"/>
      <c r="BQ11" s="399"/>
      <c r="BR11" s="408" t="s">
        <v>1687</v>
      </c>
      <c r="BS11" s="399"/>
      <c r="BT11" s="399"/>
      <c r="BU11" s="408" t="s">
        <v>1688</v>
      </c>
      <c r="BV11" s="408"/>
      <c r="BW11" s="408"/>
      <c r="BX11" s="408"/>
      <c r="BY11" s="408"/>
      <c r="BZ11" s="408"/>
      <c r="CA11" s="460" t="s">
        <v>1689</v>
      </c>
      <c r="CB11" s="461"/>
      <c r="CC11" s="461"/>
      <c r="CD11" s="469"/>
      <c r="CE11" s="460" t="s">
        <v>1690</v>
      </c>
      <c r="CF11" s="461"/>
      <c r="CG11" s="461"/>
      <c r="CH11" s="470" t="s">
        <v>1691</v>
      </c>
      <c r="CI11" s="471"/>
      <c r="CJ11" s="408" t="s">
        <v>1692</v>
      </c>
      <c r="CK11" s="408"/>
      <c r="CL11" s="408"/>
      <c r="CM11" s="408" t="s">
        <v>1693</v>
      </c>
      <c r="CN11" s="408"/>
      <c r="CO11" s="408"/>
      <c r="CP11" s="408" t="s">
        <v>1694</v>
      </c>
      <c r="CQ11" s="408"/>
      <c r="CR11" s="399" t="s">
        <v>1649</v>
      </c>
    </row>
    <row r="12" ht="14.45" customHeight="1" spans="2:96">
      <c r="B12" s="399"/>
      <c r="C12" s="399"/>
      <c r="D12" s="408">
        <v>2400</v>
      </c>
      <c r="E12" s="408"/>
      <c r="F12" s="408">
        <v>1600</v>
      </c>
      <c r="G12" s="408"/>
      <c r="H12" s="408">
        <v>950</v>
      </c>
      <c r="I12" s="408"/>
      <c r="J12" s="408"/>
      <c r="K12" s="408"/>
      <c r="L12" s="408"/>
      <c r="M12" s="408">
        <v>850</v>
      </c>
      <c r="N12" s="408"/>
      <c r="O12" s="408"/>
      <c r="P12" s="413">
        <v>700</v>
      </c>
      <c r="Q12" s="413"/>
      <c r="R12" s="413"/>
      <c r="S12" s="408">
        <v>500</v>
      </c>
      <c r="T12" s="408"/>
      <c r="U12" s="408">
        <v>460</v>
      </c>
      <c r="V12" s="408"/>
      <c r="W12" s="408">
        <v>440</v>
      </c>
      <c r="X12" s="408"/>
      <c r="Y12" s="408">
        <v>420</v>
      </c>
      <c r="Z12" s="408"/>
      <c r="AA12" s="408"/>
      <c r="AB12" s="408">
        <v>400</v>
      </c>
      <c r="AC12" s="408"/>
      <c r="AD12" s="408">
        <v>380</v>
      </c>
      <c r="AE12" s="408"/>
      <c r="AF12" s="408"/>
      <c r="AG12" s="408">
        <v>370</v>
      </c>
      <c r="AH12" s="408"/>
      <c r="AI12" s="408"/>
      <c r="AJ12" s="408"/>
      <c r="AK12" s="408">
        <v>360</v>
      </c>
      <c r="AL12" s="408"/>
      <c r="AM12" s="408"/>
      <c r="AN12" s="417" t="s">
        <v>1695</v>
      </c>
      <c r="AO12" s="421"/>
      <c r="AP12" s="421"/>
      <c r="AQ12" s="422"/>
      <c r="AR12" s="408" t="s">
        <v>1696</v>
      </c>
      <c r="AS12" s="408"/>
      <c r="AT12" s="408"/>
      <c r="AV12" s="423"/>
      <c r="AW12" s="430" t="s">
        <v>1697</v>
      </c>
      <c r="AX12" s="430"/>
      <c r="AY12" s="430"/>
      <c r="AZ12" s="430" t="s">
        <v>1698</v>
      </c>
      <c r="BA12" s="430"/>
      <c r="BB12" s="430" t="s">
        <v>1699</v>
      </c>
      <c r="BC12" s="430"/>
      <c r="BD12" s="430"/>
      <c r="BE12" s="430" t="s">
        <v>1700</v>
      </c>
      <c r="BF12" s="430"/>
      <c r="BG12" s="430"/>
      <c r="BH12" s="430" t="s">
        <v>1701</v>
      </c>
      <c r="BI12" s="430"/>
      <c r="BJ12" s="430"/>
      <c r="BK12" s="430"/>
      <c r="BL12" s="430" t="s">
        <v>1702</v>
      </c>
      <c r="BM12" s="430"/>
      <c r="BN12" s="399"/>
      <c r="BO12" s="399"/>
      <c r="BP12" s="399"/>
      <c r="BQ12" s="399"/>
      <c r="BR12" s="399"/>
      <c r="BS12" s="399"/>
      <c r="BT12" s="399"/>
      <c r="BU12" s="408"/>
      <c r="BV12" s="408"/>
      <c r="BW12" s="408"/>
      <c r="BX12" s="408"/>
      <c r="BY12" s="408"/>
      <c r="BZ12" s="408"/>
      <c r="CA12" s="462"/>
      <c r="CB12" s="463"/>
      <c r="CC12" s="463"/>
      <c r="CD12" s="472"/>
      <c r="CE12" s="462"/>
      <c r="CF12" s="463"/>
      <c r="CG12" s="463"/>
      <c r="CH12" s="473"/>
      <c r="CI12" s="474"/>
      <c r="CJ12" s="408"/>
      <c r="CK12" s="408"/>
      <c r="CL12" s="408"/>
      <c r="CM12" s="408"/>
      <c r="CN12" s="408"/>
      <c r="CO12" s="408"/>
      <c r="CP12" s="408"/>
      <c r="CQ12" s="408"/>
      <c r="CR12" s="399"/>
    </row>
    <row r="13" s="398" customFormat="1" ht="14.45" customHeight="1" spans="2:101">
      <c r="B13" s="399"/>
      <c r="C13" s="399"/>
      <c r="D13" s="408" t="s">
        <v>1703</v>
      </c>
      <c r="E13" s="408"/>
      <c r="F13" s="408" t="s">
        <v>1703</v>
      </c>
      <c r="G13" s="408"/>
      <c r="H13" s="408" t="s">
        <v>1703</v>
      </c>
      <c r="I13" s="408"/>
      <c r="J13" s="408"/>
      <c r="K13" s="408"/>
      <c r="L13" s="408"/>
      <c r="M13" s="408" t="s">
        <v>1703</v>
      </c>
      <c r="N13" s="408"/>
      <c r="O13" s="408"/>
      <c r="P13" s="413" t="s">
        <v>1703</v>
      </c>
      <c r="Q13" s="413"/>
      <c r="R13" s="413"/>
      <c r="S13" s="408" t="s">
        <v>1703</v>
      </c>
      <c r="T13" s="408"/>
      <c r="U13" s="408" t="s">
        <v>1703</v>
      </c>
      <c r="V13" s="408"/>
      <c r="W13" s="408" t="s">
        <v>1703</v>
      </c>
      <c r="X13" s="408"/>
      <c r="Y13" s="408" t="s">
        <v>1703</v>
      </c>
      <c r="Z13" s="408"/>
      <c r="AA13" s="408"/>
      <c r="AB13" s="399" t="s">
        <v>1703</v>
      </c>
      <c r="AC13" s="399"/>
      <c r="AD13" s="408" t="s">
        <v>1703</v>
      </c>
      <c r="AE13" s="408"/>
      <c r="AF13" s="408"/>
      <c r="AG13" s="408" t="s">
        <v>1703</v>
      </c>
      <c r="AH13" s="408"/>
      <c r="AI13" s="408"/>
      <c r="AJ13" s="408"/>
      <c r="AK13" s="408" t="s">
        <v>1703</v>
      </c>
      <c r="AL13" s="408"/>
      <c r="AM13" s="408"/>
      <c r="AN13" s="418"/>
      <c r="AO13" s="424"/>
      <c r="AP13" s="424"/>
      <c r="AQ13" s="425"/>
      <c r="AR13" s="408"/>
      <c r="AS13" s="408"/>
      <c r="AT13" s="408"/>
      <c r="AU13" s="7"/>
      <c r="AV13" s="423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08" t="s">
        <v>1704</v>
      </c>
      <c r="BO13" s="408"/>
      <c r="BP13" s="408"/>
      <c r="BQ13" s="408"/>
      <c r="BR13" s="408" t="s">
        <v>1705</v>
      </c>
      <c r="BS13" s="408"/>
      <c r="BT13" s="408"/>
      <c r="BU13" s="440" t="s">
        <v>1706</v>
      </c>
      <c r="BV13" s="440"/>
      <c r="BW13" s="440"/>
      <c r="BX13" s="440" t="s">
        <v>1707</v>
      </c>
      <c r="BY13" s="440"/>
      <c r="BZ13" s="440"/>
      <c r="CA13" s="464" t="s">
        <v>0</v>
      </c>
      <c r="CB13" s="465"/>
      <c r="CC13" s="465"/>
      <c r="CD13" s="475"/>
      <c r="CE13" s="476" t="s">
        <v>200</v>
      </c>
      <c r="CF13" s="465"/>
      <c r="CG13" s="465"/>
      <c r="CH13" s="464" t="s">
        <v>1708</v>
      </c>
      <c r="CI13" s="475"/>
      <c r="CJ13" s="408" t="s">
        <v>1709</v>
      </c>
      <c r="CK13" s="408"/>
      <c r="CL13" s="408"/>
      <c r="CM13" s="408" t="s">
        <v>303</v>
      </c>
      <c r="CN13" s="408"/>
      <c r="CO13" s="408"/>
      <c r="CP13" s="408" t="s">
        <v>1710</v>
      </c>
      <c r="CQ13" s="408"/>
      <c r="CR13" s="399"/>
      <c r="CS13" s="7"/>
      <c r="CT13" s="7"/>
      <c r="CU13" s="7"/>
      <c r="CV13" s="7"/>
      <c r="CW13" s="7"/>
    </row>
    <row r="14" s="3" customFormat="1" ht="14.45" customHeight="1" spans="2:101">
      <c r="B14" s="400" t="str">
        <f t="shared" ref="B14:B19" si="1">B5</f>
        <v>H-ZF50</v>
      </c>
      <c r="C14" s="18">
        <f t="shared" ref="C14:C19" si="2">C5</f>
        <v>741278</v>
      </c>
      <c r="D14" s="52">
        <f>IF(VLOOKUP($B14,'NHG''s optical glass 202608'!$C$7:$KZ$213,259,FALSE)="","",VLOOKUP($B14,'NHG''s optical glass 202608'!$C$7:$KZ$213,259,FALSE))</f>
        <v>0.908</v>
      </c>
      <c r="E14" s="52"/>
      <c r="F14" s="52">
        <f>IF(VLOOKUP($B14,'NHG''s optical glass 202608'!$C$7:$KZ$213,263,FALSE)="","",VLOOKUP($B14,'NHG''s optical glass 202608'!$C$7:$KZ$213,263,FALSE))</f>
        <v>0.996</v>
      </c>
      <c r="G14" s="52"/>
      <c r="H14" s="52">
        <f>IF(VLOOKUP($B14,'NHG''s optical glass 202608'!$C$7:$KZ$213,268,FALSE)="","",VLOOKUP($B14,'NHG''s optical glass 202608'!$C$7:$KZ$213,268,FALSE))</f>
        <v>0.996</v>
      </c>
      <c r="I14" s="52"/>
      <c r="J14" s="52"/>
      <c r="K14" s="52"/>
      <c r="L14" s="52"/>
      <c r="M14" s="52">
        <f>IF(VLOOKUP($B14,'NHG''s optical glass 202608'!$C$7:$KZ$213,270,FALSE)="","",VLOOKUP($B14,'NHG''s optical glass 202608'!$C$7:$KZ$213,270,FALSE))</f>
        <v>0.996</v>
      </c>
      <c r="N14" s="52"/>
      <c r="O14" s="52"/>
      <c r="P14" s="248">
        <f>IF(VLOOKUP($B14,'NHG''s optical glass 202608'!$C$7:$KZ$213,273,FALSE)="","",VLOOKUP($B14,'NHG''s optical glass 202608'!$C$7:$KZ$213,273,FALSE))</f>
        <v>0.996</v>
      </c>
      <c r="Q14" s="248"/>
      <c r="R14" s="248"/>
      <c r="S14" s="52">
        <f>IF(VLOOKUP($B14,'NHG''s optical glass 202608'!$C$7:$KZ$213,277,FALSE)="","",VLOOKUP($B14,'NHG''s optical glass 202608'!$C$7:$KZ$213,277,FALSE))</f>
        <v>0.99</v>
      </c>
      <c r="T14" s="52"/>
      <c r="U14" s="52">
        <f>IF(VLOOKUP($B14,'NHG''s optical glass 202608'!$C$7:$KZ$213,279,FALSE)="","",VLOOKUP($B14,'NHG''s optical glass 202608'!$C$7:$KZ$213,279,FALSE))</f>
        <v>0.979</v>
      </c>
      <c r="V14" s="52"/>
      <c r="W14" s="52">
        <f>IF(VLOOKUP($B14,'NHG''s optical glass 202608'!$C$7:$KZ$213,280,FALSE)="","",VLOOKUP($B14,'NHG''s optical glass 202608'!$C$7:$KZ$213,280,FALSE))</f>
        <v>0.972</v>
      </c>
      <c r="X14" s="52"/>
      <c r="Y14" s="52">
        <f>IF(VLOOKUP($B14,'NHG''s optical glass 202608'!$C$7:$KZ$213,281,FALSE)="","",VLOOKUP($B14,'NHG''s optical glass 202608'!$C$7:$KZ$213,281,FALSE))</f>
        <v>0.955</v>
      </c>
      <c r="Z14" s="52"/>
      <c r="AA14" s="52"/>
      <c r="AB14" s="52">
        <f>IF(VLOOKUP($B14,'NHG''s optical glass 202608'!$C$7:$KZ$213,282,FALSE)="","",VLOOKUP($B14,'NHG''s optical glass 202608'!$C$7:$KZ$213,282,FALSE))</f>
        <v>0.884</v>
      </c>
      <c r="AC14" s="52"/>
      <c r="AD14" s="52">
        <f>IF(VLOOKUP($B14,'NHG''s optical glass 202608'!$C$7:$KZ$213,284,FALSE)="","",VLOOKUP($B14,'NHG''s optical glass 202608'!$C$7:$KZ$213,284,FALSE))</f>
        <v>0.554</v>
      </c>
      <c r="AE14" s="52"/>
      <c r="AF14" s="52"/>
      <c r="AG14" s="52">
        <f>IF(VLOOKUP($B14,'NHG''s optical glass 202608'!$C$7:$KZ$213,285,FALSE)="","",VLOOKUP($B14,'NHG''s optical glass 202608'!$C$7:$KZ$213,285,FALSE))</f>
        <v>0.185</v>
      </c>
      <c r="AH14" s="52"/>
      <c r="AI14" s="52"/>
      <c r="AJ14" s="52"/>
      <c r="AK14" s="52" t="str">
        <f>IF(VLOOKUP($B14,'NHG''s optical glass 202608'!$C$7:$KZ$213,286,FALSE)="","",VLOOKUP($B14,'NHG''s optical glass 202608'!$C$7:$KZ$213,286,FALSE))</f>
        <v/>
      </c>
      <c r="AL14" s="52"/>
      <c r="AM14" s="52"/>
      <c r="AN14" s="88" t="str">
        <f>IF(VLOOKUP($B14,'NHG''s optical glass 202608'!$C$7:$KZ$213,221,FALSE)="","",VLOOKUP($B14,'NHG''s optical glass 202608'!$C$7:$KZ$213,221,FALSE))</f>
        <v>389/364</v>
      </c>
      <c r="AO14" s="89"/>
      <c r="AP14" s="89"/>
      <c r="AQ14" s="108"/>
      <c r="AR14" s="18" t="str">
        <f>IF(VLOOKUP($B14,'NHG''s optical glass 202608'!$C$7:$KZ$213,220,FALSE)="","",VLOOKUP($B14,'NHG''s optical glass 202608'!$C$7:$KZ$213,220,FALSE))</f>
        <v>410/365</v>
      </c>
      <c r="AS14" s="18"/>
      <c r="AT14" s="18"/>
      <c r="AU14" s="1"/>
      <c r="AV14" s="2"/>
      <c r="AW14" s="172">
        <f>IF(VLOOKUP($B14,'NHG''s optical glass 202608'!$C$7:$KZ$213,170,FALSE)="","",VLOOKUP($B14,'NHG''s optical glass 202608'!$C$7:$KZ$213,170,FALSE))</f>
        <v>1</v>
      </c>
      <c r="AX14" s="172"/>
      <c r="AY14" s="172"/>
      <c r="AZ14" s="172">
        <f>IF(VLOOKUP($B14,'NHG''s optical glass 202608'!$C$7:$KZ$213,171,FALSE)="","",VLOOKUP($B14,'NHG''s optical glass 202608'!$C$7:$KZ$213,171,FALSE))</f>
        <v>1</v>
      </c>
      <c r="BA14" s="172"/>
      <c r="BB14" s="172">
        <f>IF(VLOOKUP($B14,'NHG''s optical glass 202608'!$C$7:$KZ$213,175,FALSE)="","",VLOOKUP($B14,'NHG''s optical glass 202608'!$C$7:$KZ$213,175,FALSE))</f>
        <v>1</v>
      </c>
      <c r="BC14" s="172"/>
      <c r="BD14" s="172"/>
      <c r="BE14" s="172">
        <f>IF(VLOOKUP($B14,'NHG''s optical glass 202608'!$C$7:$KZ$213,174,FALSE)="","",VLOOKUP($B14,'NHG''s optical glass 202608'!$C$7:$KZ$213,174,FALSE))</f>
        <v>1</v>
      </c>
      <c r="BF14" s="172"/>
      <c r="BG14" s="172"/>
      <c r="BH14" s="172">
        <f>IF(VLOOKUP($B14,'NHG''s optical glass 202608'!$C$7:$KZ$213,172,FALSE)="","",VLOOKUP($B14,'NHG''s optical glass 202608'!$C$7:$KZ$213,172,FALSE))</f>
        <v>1</v>
      </c>
      <c r="BI14" s="172"/>
      <c r="BJ14" s="172"/>
      <c r="BK14" s="172"/>
      <c r="BL14" s="181">
        <f>IF(VLOOKUP($B14,'NHG''s optical glass 202608'!$C$7:$KZ$213,173,FALSE)="","",VLOOKUP($B14,'NHG''s optical glass 202608'!$C$7:$KZ$213,173,FALSE))</f>
        <v>1</v>
      </c>
      <c r="BM14" s="181"/>
      <c r="BN14" s="181">
        <f>IF(VLOOKUP($B14,'NHG''s optical glass 202608'!$C$7:$KZ$213,180,FALSE)="","",VLOOKUP($B14,'NHG''s optical glass 202608'!$C$7:$KZ$213,180,FALSE))</f>
        <v>616</v>
      </c>
      <c r="BO14" s="181"/>
      <c r="BP14" s="181"/>
      <c r="BQ14" s="181"/>
      <c r="BR14" s="181">
        <f>IF(VLOOKUP($B14,'NHG''s optical glass 202608'!$C$7:$KZ$213,181,FALSE)="","",VLOOKUP($B14,'NHG''s optical glass 202608'!$C$7:$KZ$213,181,FALSE))</f>
        <v>650</v>
      </c>
      <c r="BS14" s="181"/>
      <c r="BT14" s="181"/>
      <c r="BU14" s="181">
        <f>IF(VLOOKUP($B14,'NHG''s optical glass 202608'!$C$7:$KZ$213,186,FALSE)="","",VLOOKUP($B14,'NHG''s optical glass 202608'!$C$7:$KZ$213,186,FALSE))</f>
        <v>81</v>
      </c>
      <c r="BV14" s="181"/>
      <c r="BW14" s="181"/>
      <c r="BX14" s="181">
        <f>IF(VLOOKUP($B14,'NHG''s optical glass 202608'!$C$7:$KZ$213,187,FALSE)="","",VLOOKUP($B14,'NHG''s optical glass 202608'!$C$7:$KZ$213,187,FALSE))</f>
        <v>101</v>
      </c>
      <c r="BY14" s="181"/>
      <c r="BZ14" s="181"/>
      <c r="CA14" s="19">
        <f>IF(VLOOKUP($B14,'NHG''s optical glass 202608'!$C$7:$KZ$213,184,FALSE)="","",VLOOKUP($B14,'NHG''s optical glass 202608'!$C$7:$KZ$213,184,FALSE))</f>
        <v>1.16</v>
      </c>
      <c r="CB14" s="20"/>
      <c r="CC14" s="20"/>
      <c r="CD14" s="21"/>
      <c r="CE14" s="477" t="str">
        <f>IF(VLOOKUP($B14,'NHG''s optical glass 202608'!$C$7:$KZ$213,185,FALSE)="","",VLOOKUP($B14,'NHG''s optical glass 202608'!$C$7:$KZ$213,185,FALSE))</f>
        <v/>
      </c>
      <c r="CF14" s="20"/>
      <c r="CG14" s="20"/>
      <c r="CH14" s="478">
        <f>IF(VLOOKUP($B14,'NHG''s optical glass 202608'!$C$7:$KZ$213,212,FALSE)="","",VLOOKUP($B14,'NHG''s optical glass 202608'!$C$7:$KZ$213,212,FALSE))</f>
        <v>555</v>
      </c>
      <c r="CI14" s="479"/>
      <c r="CJ14" s="181">
        <f>IF(VLOOKUP($B14,'NHG''s optical glass 202608'!$C$7:$KZ$213,213,FALSE)="","",VLOOKUP($B14,'NHG''s optical glass 202608'!$C$7:$KZ$213,213,FALSE))</f>
        <v>143</v>
      </c>
      <c r="CK14" s="181"/>
      <c r="CL14" s="181"/>
      <c r="CM14" s="122">
        <f>IF(VLOOKUP($B14,'NHG''s optical glass 202608'!$C$7:$KZ$213,218,FALSE)="","",VLOOKUP($B14,'NHG''s optical glass 202608'!$C$7:$KZ$213,218,FALSE))</f>
        <v>2.62</v>
      </c>
      <c r="CN14" s="122"/>
      <c r="CO14" s="122"/>
      <c r="CP14" s="122">
        <f>IF(VLOOKUP($B14,'NHG''s optical glass 202608'!$C$7:$KZ$213,219,FALSE)="","",VLOOKUP($B14,'NHG''s optical glass 202608'!$C$7:$KZ$213,219,FALSE))</f>
        <v>3.05</v>
      </c>
      <c r="CQ14" s="122"/>
      <c r="CR14" s="400" t="str">
        <f t="shared" ref="CR14:CR19" si="3">B14</f>
        <v>H-ZF50</v>
      </c>
      <c r="CS14" s="1"/>
      <c r="CT14" s="1"/>
      <c r="CU14" s="1"/>
      <c r="CV14" s="1"/>
      <c r="CW14" s="1"/>
    </row>
    <row r="15" s="231" customFormat="1" ht="14.45" customHeight="1" spans="2:101">
      <c r="B15" s="407" t="str">
        <f t="shared" si="1"/>
        <v>H-ZF50GT</v>
      </c>
      <c r="C15" s="403">
        <f t="shared" si="2"/>
        <v>741278</v>
      </c>
      <c r="D15" s="409">
        <f>IF(VLOOKUP($B15,'NHG''s optical glass 202608'!$C$7:$KZ$213,259,FALSE)="","",VLOOKUP($B15,'NHG''s optical glass 202608'!$C$7:$KZ$213,259,FALSE))</f>
        <v>0.91</v>
      </c>
      <c r="E15" s="409"/>
      <c r="F15" s="409">
        <f>IF(VLOOKUP($B15,'NHG''s optical glass 202608'!$C$7:$KZ$213,263,FALSE)="","",VLOOKUP($B15,'NHG''s optical glass 202608'!$C$7:$KZ$213,263,FALSE))</f>
        <v>0.996</v>
      </c>
      <c r="G15" s="409"/>
      <c r="H15" s="409">
        <f>IF(VLOOKUP($B15,'NHG''s optical glass 202608'!$C$7:$KZ$213,268,FALSE)="","",VLOOKUP($B15,'NHG''s optical glass 202608'!$C$7:$KZ$213,268,FALSE))</f>
        <v>0.996</v>
      </c>
      <c r="I15" s="409"/>
      <c r="J15" s="409"/>
      <c r="K15" s="409"/>
      <c r="L15" s="409"/>
      <c r="M15" s="409">
        <f>IF(VLOOKUP($B15,'NHG''s optical glass 202608'!$C$7:$KZ$213,270,FALSE)="","",VLOOKUP($B15,'NHG''s optical glass 202608'!$C$7:$KZ$213,270,FALSE))</f>
        <v>0.996</v>
      </c>
      <c r="N15" s="409"/>
      <c r="O15" s="409"/>
      <c r="P15" s="409">
        <f>IF(VLOOKUP($B15,'NHG''s optical glass 202608'!$C$7:$KZ$213,273,FALSE)="","",VLOOKUP($B15,'NHG''s optical glass 202608'!$C$7:$KZ$213,273,FALSE))</f>
        <v>0.996</v>
      </c>
      <c r="Q15" s="409"/>
      <c r="R15" s="409"/>
      <c r="S15" s="409">
        <f>IF(VLOOKUP($B15,'NHG''s optical glass 202608'!$C$7:$KZ$213,277,FALSE)="","",VLOOKUP($B15,'NHG''s optical glass 202608'!$C$7:$KZ$213,277,FALSE))</f>
        <v>0.994</v>
      </c>
      <c r="T15" s="409"/>
      <c r="U15" s="409">
        <f>IF(VLOOKUP($B15,'NHG''s optical glass 202608'!$C$7:$KZ$213,279,FALSE)="","",VLOOKUP($B15,'NHG''s optical glass 202608'!$C$7:$KZ$213,279,FALSE))</f>
        <v>0.988</v>
      </c>
      <c r="V15" s="409"/>
      <c r="W15" s="409">
        <f>IF(VLOOKUP($B15,'NHG''s optical glass 202608'!$C$7:$KZ$213,280,FALSE)="","",VLOOKUP($B15,'NHG''s optical glass 202608'!$C$7:$KZ$213,280,FALSE))</f>
        <v>0.981</v>
      </c>
      <c r="X15" s="409"/>
      <c r="Y15" s="409">
        <f>IF(VLOOKUP($B15,'NHG''s optical glass 202608'!$C$7:$KZ$213,281,FALSE)="","",VLOOKUP($B15,'NHG''s optical glass 202608'!$C$7:$KZ$213,281,FALSE))</f>
        <v>0.965</v>
      </c>
      <c r="Z15" s="409"/>
      <c r="AA15" s="409"/>
      <c r="AB15" s="409">
        <f>IF(VLOOKUP($B15,'NHG''s optical glass 202608'!$C$7:$KZ$213,282,FALSE)="","",VLOOKUP($B15,'NHG''s optical glass 202608'!$C$7:$KZ$213,282,FALSE))</f>
        <v>0.914</v>
      </c>
      <c r="AC15" s="409"/>
      <c r="AD15" s="409">
        <f>IF(VLOOKUP($B15,'NHG''s optical glass 202608'!$C$7:$KZ$213,284,FALSE)="","",VLOOKUP($B15,'NHG''s optical glass 202608'!$C$7:$KZ$213,284,FALSE))</f>
        <v>0.623</v>
      </c>
      <c r="AE15" s="409"/>
      <c r="AF15" s="409"/>
      <c r="AG15" s="409">
        <f>IF(VLOOKUP($B15,'NHG''s optical glass 202608'!$C$7:$KZ$213,285,FALSE)="","",VLOOKUP($B15,'NHG''s optical glass 202608'!$C$7:$KZ$213,285,FALSE))</f>
        <v>0.219</v>
      </c>
      <c r="AH15" s="409"/>
      <c r="AI15" s="409"/>
      <c r="AJ15" s="409"/>
      <c r="AK15" s="409" t="str">
        <f>IF(VLOOKUP($B15,'NHG''s optical glass 202608'!$C$7:$KZ$213,286,FALSE)="","",VLOOKUP($B15,'NHG''s optical glass 202608'!$C$7:$KZ$213,286,FALSE))</f>
        <v/>
      </c>
      <c r="AL15" s="409"/>
      <c r="AM15" s="409"/>
      <c r="AN15" s="419" t="str">
        <f>IF(VLOOKUP($B15,'NHG''s optical glass 202608'!$C$7:$KZ$213,221,FALSE)="","",VLOOKUP($B15,'NHG''s optical glass 202608'!$C$7:$KZ$213,221,FALSE))</f>
        <v>389/364</v>
      </c>
      <c r="AO15" s="426"/>
      <c r="AP15" s="426"/>
      <c r="AQ15" s="427"/>
      <c r="AR15" s="403" t="str">
        <f>IF(VLOOKUP($B15,'NHG''s optical glass 202608'!$C$7:$KZ$213,220,FALSE)="","",VLOOKUP($B15,'NHG''s optical glass 202608'!$C$7:$KZ$213,220,FALSE))</f>
        <v>410/365</v>
      </c>
      <c r="AS15" s="403"/>
      <c r="AT15" s="403"/>
      <c r="AU15" s="233"/>
      <c r="AV15" s="232"/>
      <c r="AW15" s="457">
        <f>IF(VLOOKUP($B15,'NHG''s optical glass 202608'!$C$7:$KZ$213,170,FALSE)="","",VLOOKUP($B15,'NHG''s optical glass 202608'!$C$7:$KZ$213,170,FALSE))</f>
        <v>1</v>
      </c>
      <c r="AX15" s="457"/>
      <c r="AY15" s="457"/>
      <c r="AZ15" s="457">
        <f>IF(VLOOKUP($B15,'NHG''s optical glass 202608'!$C$7:$KZ$213,171,FALSE)="","",VLOOKUP($B15,'NHG''s optical glass 202608'!$C$7:$KZ$213,171,FALSE))</f>
        <v>1</v>
      </c>
      <c r="BA15" s="457"/>
      <c r="BB15" s="457">
        <f>IF(VLOOKUP($B15,'NHG''s optical glass 202608'!$C$7:$KZ$213,175,FALSE)="","",VLOOKUP($B15,'NHG''s optical glass 202608'!$C$7:$KZ$213,175,FALSE))</f>
        <v>1</v>
      </c>
      <c r="BC15" s="457"/>
      <c r="BD15" s="457"/>
      <c r="BE15" s="457">
        <f>IF(VLOOKUP($B15,'NHG''s optical glass 202608'!$C$7:$KZ$213,174,FALSE)="","",VLOOKUP($B15,'NHG''s optical glass 202608'!$C$7:$KZ$213,174,FALSE))</f>
        <v>1</v>
      </c>
      <c r="BF15" s="457"/>
      <c r="BG15" s="457"/>
      <c r="BH15" s="457">
        <f>IF(VLOOKUP($B15,'NHG''s optical glass 202608'!$C$7:$KZ$213,172,FALSE)="","",VLOOKUP($B15,'NHG''s optical glass 202608'!$C$7:$KZ$213,172,FALSE))</f>
        <v>1</v>
      </c>
      <c r="BI15" s="457"/>
      <c r="BJ15" s="457"/>
      <c r="BK15" s="457"/>
      <c r="BL15" s="441">
        <f>IF(VLOOKUP($B15,'NHG''s optical glass 202608'!$C$7:$KZ$213,173,FALSE)="","",VLOOKUP($B15,'NHG''s optical glass 202608'!$C$7:$KZ$213,173,FALSE))</f>
        <v>1</v>
      </c>
      <c r="BM15" s="441"/>
      <c r="BN15" s="459">
        <f>IF(VLOOKUP($B15,'NHG''s optical glass 202608'!$C$7:$KZ$213,180,FALSE)="","",VLOOKUP($B15,'NHG''s optical glass 202608'!$C$7:$KZ$213,180,FALSE))</f>
        <v>616</v>
      </c>
      <c r="BO15" s="459"/>
      <c r="BP15" s="459"/>
      <c r="BQ15" s="459"/>
      <c r="BR15" s="459">
        <f>IF(VLOOKUP($B15,'NHG''s optical glass 202608'!$C$7:$KZ$213,181,FALSE)="","",VLOOKUP($B15,'NHG''s optical glass 202608'!$C$7:$KZ$213,181,FALSE))</f>
        <v>650</v>
      </c>
      <c r="BS15" s="459"/>
      <c r="BT15" s="459"/>
      <c r="BU15" s="441">
        <f>IF(VLOOKUP($B15,'NHG''s optical glass 202608'!$C$7:$KZ$213,186,FALSE)="","",VLOOKUP($B15,'NHG''s optical glass 202608'!$C$7:$KZ$213,186,FALSE))</f>
        <v>81</v>
      </c>
      <c r="BV15" s="441"/>
      <c r="BW15" s="441"/>
      <c r="BX15" s="441">
        <f>IF(VLOOKUP($B15,'NHG''s optical glass 202608'!$C$7:$KZ$213,187,FALSE)="","",VLOOKUP($B15,'NHG''s optical glass 202608'!$C$7:$KZ$213,187,FALSE))</f>
        <v>101</v>
      </c>
      <c r="BY15" s="441"/>
      <c r="BZ15" s="441"/>
      <c r="CA15" s="466">
        <f>IF(VLOOKUP($B15,'NHG''s optical glass 202608'!$C$7:$KZ$213,184,FALSE)="","",VLOOKUP($B15,'NHG''s optical glass 202608'!$C$7:$KZ$213,184,FALSE))</f>
        <v>1.16</v>
      </c>
      <c r="CB15" s="467"/>
      <c r="CC15" s="467"/>
      <c r="CD15" s="480"/>
      <c r="CE15" s="466" t="str">
        <f>IF(VLOOKUP($B15,'NHG''s optical glass 202608'!$C$7:$KZ$213,185,FALSE)="","",VLOOKUP($B15,'NHG''s optical glass 202608'!$C$7:$KZ$213,185,FALSE))</f>
        <v/>
      </c>
      <c r="CF15" s="467"/>
      <c r="CG15" s="467"/>
      <c r="CH15" s="481">
        <f>IF(VLOOKUP($B15,'NHG''s optical glass 202608'!$C$7:$KZ$213,212,FALSE)="","",VLOOKUP($B15,'NHG''s optical glass 202608'!$C$7:$KZ$213,212,FALSE))</f>
        <v>555</v>
      </c>
      <c r="CI15" s="482"/>
      <c r="CJ15" s="459">
        <f>IF(VLOOKUP($B15,'NHG''s optical glass 202608'!$C$7:$KZ$213,213,FALSE)="","",VLOOKUP($B15,'NHG''s optical glass 202608'!$C$7:$KZ$213,213,FALSE))</f>
        <v>143</v>
      </c>
      <c r="CK15" s="459"/>
      <c r="CL15" s="459"/>
      <c r="CM15" s="453">
        <f>IF(VLOOKUP($B15,'NHG''s optical glass 202608'!$C$7:$KZ$213,218,FALSE)="","",VLOOKUP($B15,'NHG''s optical glass 202608'!$C$7:$KZ$213,218,FALSE))</f>
        <v>2.62</v>
      </c>
      <c r="CN15" s="453"/>
      <c r="CO15" s="453"/>
      <c r="CP15" s="453">
        <f>IF(VLOOKUP($B15,'NHG''s optical glass 202608'!$C$7:$KZ$213,219,FALSE)="","",VLOOKUP($B15,'NHG''s optical glass 202608'!$C$7:$KZ$213,219,FALSE))</f>
        <v>3.05</v>
      </c>
      <c r="CQ15" s="453"/>
      <c r="CR15" s="407" t="str">
        <f t="shared" si="3"/>
        <v>H-ZF50GT</v>
      </c>
      <c r="CS15" s="233"/>
      <c r="CT15" s="233"/>
      <c r="CU15" s="233"/>
      <c r="CV15" s="233"/>
      <c r="CW15" s="233"/>
    </row>
    <row r="16" s="231" customFormat="1" ht="14.45" customHeight="1" spans="2:101">
      <c r="B16" s="405" t="str">
        <f t="shared" si="1"/>
        <v>H-ZF52N</v>
      </c>
      <c r="C16" s="234">
        <f t="shared" si="2"/>
        <v>847238</v>
      </c>
      <c r="D16" s="248">
        <f>IF(VLOOKUP($B16,'NHG''s optical glass 202608'!$C$7:$KZ$213,259,FALSE)="","",VLOOKUP($B16,'NHG''s optical glass 202608'!$C$7:$KZ$213,259,FALSE))</f>
        <v>0.925</v>
      </c>
      <c r="E16" s="248"/>
      <c r="F16" s="248">
        <f>IF(VLOOKUP($B16,'NHG''s optical glass 202608'!$C$7:$KZ$213,263,FALSE)="","",VLOOKUP($B16,'NHG''s optical glass 202608'!$C$7:$KZ$213,263,FALSE))</f>
        <v>0.999</v>
      </c>
      <c r="G16" s="248"/>
      <c r="H16" s="248">
        <f>IF(VLOOKUP($B16,'NHG''s optical glass 202608'!$C$7:$KZ$213,268,FALSE)="","",VLOOKUP($B16,'NHG''s optical glass 202608'!$C$7:$KZ$213,268,FALSE))</f>
        <v>0.999</v>
      </c>
      <c r="I16" s="248"/>
      <c r="J16" s="248"/>
      <c r="K16" s="248"/>
      <c r="L16" s="248"/>
      <c r="M16" s="248">
        <f>IF(VLOOKUP($B16,'NHG''s optical glass 202608'!$C$7:$KZ$213,270,FALSE)="","",VLOOKUP($B16,'NHG''s optical glass 202608'!$C$7:$KZ$213,270,FALSE))</f>
        <v>0.999</v>
      </c>
      <c r="N16" s="248"/>
      <c r="O16" s="248"/>
      <c r="P16" s="248">
        <f>IF(VLOOKUP($B16,'NHG''s optical glass 202608'!$C$7:$KZ$213,273,FALSE)="","",VLOOKUP($B16,'NHG''s optical glass 202608'!$C$7:$KZ$213,273,FALSE))</f>
        <v>0.999</v>
      </c>
      <c r="Q16" s="248"/>
      <c r="R16" s="248"/>
      <c r="S16" s="248">
        <f>IF(VLOOKUP($B16,'NHG''s optical glass 202608'!$C$7:$KZ$213,277,FALSE)="","",VLOOKUP($B16,'NHG''s optical glass 202608'!$C$7:$KZ$213,277,FALSE))</f>
        <v>0.986</v>
      </c>
      <c r="T16" s="248"/>
      <c r="U16" s="248">
        <f>IF(VLOOKUP($B16,'NHG''s optical glass 202608'!$C$7:$KZ$213,279,FALSE)="","",VLOOKUP($B16,'NHG''s optical glass 202608'!$C$7:$KZ$213,279,FALSE))</f>
        <v>0.971</v>
      </c>
      <c r="V16" s="248"/>
      <c r="W16" s="248">
        <f>IF(VLOOKUP($B16,'NHG''s optical glass 202608'!$C$7:$KZ$213,280,FALSE)="","",VLOOKUP($B16,'NHG''s optical glass 202608'!$C$7:$KZ$213,280,FALSE))</f>
        <v>0.954</v>
      </c>
      <c r="X16" s="248"/>
      <c r="Y16" s="248">
        <f>IF(VLOOKUP($B16,'NHG''s optical glass 202608'!$C$7:$KZ$213,281,FALSE)="","",VLOOKUP($B16,'NHG''s optical glass 202608'!$C$7:$KZ$213,281,FALSE))</f>
        <v>0.918</v>
      </c>
      <c r="Z16" s="248"/>
      <c r="AA16" s="248"/>
      <c r="AB16" s="248">
        <f>IF(VLOOKUP($B16,'NHG''s optical glass 202608'!$C$7:$KZ$213,282,FALSE)="","",VLOOKUP($B16,'NHG''s optical glass 202608'!$C$7:$KZ$213,282,FALSE))</f>
        <v>0.83</v>
      </c>
      <c r="AC16" s="248"/>
      <c r="AD16" s="248">
        <f>IF(VLOOKUP($B16,'NHG''s optical glass 202608'!$C$7:$KZ$213,284,FALSE)="","",VLOOKUP($B16,'NHG''s optical glass 202608'!$C$7:$KZ$213,284,FALSE))</f>
        <v>0.45</v>
      </c>
      <c r="AE16" s="248"/>
      <c r="AF16" s="248"/>
      <c r="AG16" s="248">
        <f>IF(VLOOKUP($B16,'NHG''s optical glass 202608'!$C$7:$KZ$213,285,FALSE)="","",VLOOKUP($B16,'NHG''s optical glass 202608'!$C$7:$KZ$213,285,FALSE))</f>
        <v>0.11</v>
      </c>
      <c r="AH16" s="248"/>
      <c r="AI16" s="248"/>
      <c r="AJ16" s="248"/>
      <c r="AK16" s="248" t="str">
        <f>IF(VLOOKUP($B16,'NHG''s optical glass 202608'!$C$7:$KZ$213,286,FALSE)="","",VLOOKUP($B16,'NHG''s optical glass 202608'!$C$7:$KZ$213,286,FALSE))</f>
        <v/>
      </c>
      <c r="AL16" s="248"/>
      <c r="AM16" s="248"/>
      <c r="AN16" s="420" t="str">
        <f>IF(VLOOKUP($B16,'NHG''s optical glass 202608'!$C$7:$KZ$213,221,FALSE)="","",VLOOKUP($B16,'NHG''s optical glass 202608'!$C$7:$KZ$213,221,FALSE))</f>
        <v>398/368</v>
      </c>
      <c r="AO16" s="428"/>
      <c r="AP16" s="428"/>
      <c r="AQ16" s="429"/>
      <c r="AR16" s="234" t="str">
        <f>IF(VLOOKUP($B16,'NHG''s optical glass 202608'!$C$7:$KZ$213,220,FALSE)="","",VLOOKUP($B16,'NHG''s optical glass 202608'!$C$7:$KZ$213,220,FALSE))</f>
        <v>(404)/368</v>
      </c>
      <c r="AS16" s="234"/>
      <c r="AT16" s="234"/>
      <c r="AU16" s="233"/>
      <c r="AV16" s="232"/>
      <c r="AW16" s="262">
        <f>IF(VLOOKUP($B16,'NHG''s optical glass 202608'!$C$7:$KZ$213,170,FALSE)="","",VLOOKUP($B16,'NHG''s optical glass 202608'!$C$7:$KZ$213,170,FALSE))</f>
        <v>1</v>
      </c>
      <c r="AX16" s="262"/>
      <c r="AY16" s="262"/>
      <c r="AZ16" s="262">
        <f>IF(VLOOKUP($B16,'NHG''s optical glass 202608'!$C$7:$KZ$213,171,FALSE)="","",VLOOKUP($B16,'NHG''s optical glass 202608'!$C$7:$KZ$213,171,FALSE))</f>
        <v>1</v>
      </c>
      <c r="BA16" s="262"/>
      <c r="BB16" s="262">
        <f>IF(VLOOKUP($B16,'NHG''s optical glass 202608'!$C$7:$KZ$213,175,FALSE)="","",VLOOKUP($B16,'NHG''s optical glass 202608'!$C$7:$KZ$213,175,FALSE))</f>
        <v>1</v>
      </c>
      <c r="BC16" s="262"/>
      <c r="BD16" s="262"/>
      <c r="BE16" s="262">
        <f>IF(VLOOKUP($B16,'NHG''s optical glass 202608'!$C$7:$KZ$213,174,FALSE)="","",VLOOKUP($B16,'NHG''s optical glass 202608'!$C$7:$KZ$213,174,FALSE))</f>
        <v>1</v>
      </c>
      <c r="BF16" s="262"/>
      <c r="BG16" s="262"/>
      <c r="BH16" s="262">
        <f>IF(VLOOKUP($B16,'NHG''s optical glass 202608'!$C$7:$KZ$213,172,FALSE)="","",VLOOKUP($B16,'NHG''s optical glass 202608'!$C$7:$KZ$213,172,FALSE))</f>
        <v>1</v>
      </c>
      <c r="BI16" s="262"/>
      <c r="BJ16" s="262"/>
      <c r="BK16" s="262"/>
      <c r="BL16" s="442">
        <f>IF(VLOOKUP($B16,'NHG''s optical glass 202608'!$C$7:$KZ$213,173,FALSE)="","",VLOOKUP($B16,'NHG''s optical glass 202608'!$C$7:$KZ$213,173,FALSE))</f>
        <v>1</v>
      </c>
      <c r="BM16" s="442"/>
      <c r="BN16" s="442">
        <f>IF(VLOOKUP($B16,'NHG''s optical glass 202608'!$C$7:$KZ$213,180,FALSE)="","",VLOOKUP($B16,'NHG''s optical glass 202608'!$C$7:$KZ$213,180,FALSE))</f>
        <v>632</v>
      </c>
      <c r="BO16" s="442"/>
      <c r="BP16" s="442"/>
      <c r="BQ16" s="442"/>
      <c r="BR16" s="442">
        <f>IF(VLOOKUP($B16,'NHG''s optical glass 202608'!$C$7:$KZ$213,181,FALSE)="","",VLOOKUP($B16,'NHG''s optical glass 202608'!$C$7:$KZ$213,181,FALSE))</f>
        <v>662</v>
      </c>
      <c r="BS16" s="442"/>
      <c r="BT16" s="442"/>
      <c r="BU16" s="442">
        <f>IF(VLOOKUP($B16,'NHG''s optical glass 202608'!$C$7:$KZ$213,186,FALSE)="","",VLOOKUP($B16,'NHG''s optical glass 202608'!$C$7:$KZ$213,186,FALSE))</f>
        <v>83</v>
      </c>
      <c r="BV16" s="442"/>
      <c r="BW16" s="442"/>
      <c r="BX16" s="442">
        <f>IF(VLOOKUP($B16,'NHG''s optical glass 202608'!$C$7:$KZ$213,187,FALSE)="","",VLOOKUP($B16,'NHG''s optical glass 202608'!$C$7:$KZ$213,187,FALSE))</f>
        <v>101</v>
      </c>
      <c r="BY16" s="442"/>
      <c r="BZ16" s="442"/>
      <c r="CA16" s="235">
        <f>IF(VLOOKUP($B16,'NHG''s optical glass 202608'!$C$7:$KZ$213,184,FALSE)="","",VLOOKUP($B16,'NHG''s optical glass 202608'!$C$7:$KZ$213,184,FALSE))</f>
        <v>1.04</v>
      </c>
      <c r="CB16" s="236"/>
      <c r="CC16" s="236"/>
      <c r="CD16" s="242"/>
      <c r="CE16" s="235" t="str">
        <f>IF(VLOOKUP($B16,'NHG''s optical glass 202608'!$C$7:$KZ$213,185,FALSE)="","",VLOOKUP($B16,'NHG''s optical glass 202608'!$C$7:$KZ$213,185,FALSE))</f>
        <v/>
      </c>
      <c r="CF16" s="236"/>
      <c r="CG16" s="236"/>
      <c r="CH16" s="483">
        <f>IF(VLOOKUP($B16,'NHG''s optical glass 202608'!$C$7:$KZ$213,212,FALSE)="","",VLOOKUP($B16,'NHG''s optical glass 202608'!$C$7:$KZ$213,212,FALSE))</f>
        <v>531</v>
      </c>
      <c r="CI16" s="484"/>
      <c r="CJ16" s="442">
        <f>IF(VLOOKUP($B16,'NHG''s optical glass 202608'!$C$7:$KZ$213,213,FALSE)="","",VLOOKUP($B16,'NHG''s optical glass 202608'!$C$7:$KZ$213,213,FALSE))</f>
        <v>176</v>
      </c>
      <c r="CK16" s="442"/>
      <c r="CL16" s="442"/>
      <c r="CM16" s="416">
        <f>IF(VLOOKUP($B16,'NHG''s optical glass 202608'!$C$7:$KZ$213,218,FALSE)="","",VLOOKUP($B16,'NHG''s optical glass 202608'!$C$7:$KZ$213,218,FALSE))</f>
        <v>2.54</v>
      </c>
      <c r="CN16" s="416"/>
      <c r="CO16" s="416"/>
      <c r="CP16" s="416">
        <f>IF(VLOOKUP($B16,'NHG''s optical glass 202608'!$C$7:$KZ$213,219,FALSE)="","",VLOOKUP($B16,'NHG''s optical glass 202608'!$C$7:$KZ$213,219,FALSE))</f>
        <v>3.54</v>
      </c>
      <c r="CQ16" s="416"/>
      <c r="CR16" s="405" t="str">
        <f t="shared" si="3"/>
        <v>H-ZF52N</v>
      </c>
      <c r="CS16" s="233"/>
      <c r="CT16" s="233"/>
      <c r="CU16" s="233"/>
      <c r="CV16" s="233"/>
      <c r="CW16" s="233"/>
    </row>
    <row r="17" s="231" customFormat="1" ht="14.45" customHeight="1" spans="2:101">
      <c r="B17" s="407" t="str">
        <f t="shared" si="1"/>
        <v>H-ZF52NGT</v>
      </c>
      <c r="C17" s="403">
        <f t="shared" si="2"/>
        <v>847238</v>
      </c>
      <c r="D17" s="409">
        <f>IF(VLOOKUP($B17,'NHG''s optical glass 202608'!$C$7:$KZ$213,259,FALSE)="","",VLOOKUP($B17,'NHG''s optical glass 202608'!$C$7:$KZ$213,259,FALSE))</f>
        <v>0.928</v>
      </c>
      <c r="E17" s="409"/>
      <c r="F17" s="409">
        <f>IF(VLOOKUP($B17,'NHG''s optical glass 202608'!$C$7:$KZ$213,263,FALSE)="","",VLOOKUP($B17,'NHG''s optical glass 202608'!$C$7:$KZ$213,263,FALSE))</f>
        <v>0.994</v>
      </c>
      <c r="G17" s="409"/>
      <c r="H17" s="409">
        <f>IF(VLOOKUP($B17,'NHG''s optical glass 202608'!$C$7:$KZ$213,268,FALSE)="","",VLOOKUP($B17,'NHG''s optical glass 202608'!$C$7:$KZ$213,268,FALSE))</f>
        <v>0.998</v>
      </c>
      <c r="I17" s="409"/>
      <c r="J17" s="409"/>
      <c r="K17" s="409"/>
      <c r="L17" s="409"/>
      <c r="M17" s="409">
        <f>IF(VLOOKUP($B17,'NHG''s optical glass 202608'!$C$7:$KZ$213,270,FALSE)="","",VLOOKUP($B17,'NHG''s optical glass 202608'!$C$7:$KZ$213,270,FALSE))</f>
        <v>0.998</v>
      </c>
      <c r="N17" s="409"/>
      <c r="O17" s="409"/>
      <c r="P17" s="409">
        <f>IF(VLOOKUP($B17,'NHG''s optical glass 202608'!$C$7:$KZ$213,273,FALSE)="","",VLOOKUP($B17,'NHG''s optical glass 202608'!$C$7:$KZ$213,273,FALSE))</f>
        <v>0.997</v>
      </c>
      <c r="Q17" s="409"/>
      <c r="R17" s="409"/>
      <c r="S17" s="409">
        <f>IF(VLOOKUP($B17,'NHG''s optical glass 202608'!$C$7:$KZ$213,277,FALSE)="","",VLOOKUP($B17,'NHG''s optical glass 202608'!$C$7:$KZ$213,277,FALSE))</f>
        <v>0.983</v>
      </c>
      <c r="T17" s="409"/>
      <c r="U17" s="409">
        <f>IF(VLOOKUP($B17,'NHG''s optical glass 202608'!$C$7:$KZ$213,279,FALSE)="","",VLOOKUP($B17,'NHG''s optical glass 202608'!$C$7:$KZ$213,279,FALSE))</f>
        <v>0.97</v>
      </c>
      <c r="V17" s="409"/>
      <c r="W17" s="409">
        <f>IF(VLOOKUP($B17,'NHG''s optical glass 202608'!$C$7:$KZ$213,280,FALSE)="","",VLOOKUP($B17,'NHG''s optical glass 202608'!$C$7:$KZ$213,280,FALSE))</f>
        <v>0.957</v>
      </c>
      <c r="X17" s="409"/>
      <c r="Y17" s="409">
        <f>IF(VLOOKUP($B17,'NHG''s optical glass 202608'!$C$7:$KZ$213,281,FALSE)="","",VLOOKUP($B17,'NHG''s optical glass 202608'!$C$7:$KZ$213,281,FALSE))</f>
        <v>0.93</v>
      </c>
      <c r="Z17" s="409"/>
      <c r="AA17" s="409"/>
      <c r="AB17" s="409">
        <f>IF(VLOOKUP($B17,'NHG''s optical glass 202608'!$C$7:$KZ$213,282,FALSE)="","",VLOOKUP($B17,'NHG''s optical glass 202608'!$C$7:$KZ$213,282,FALSE))</f>
        <v>0.855</v>
      </c>
      <c r="AC17" s="409"/>
      <c r="AD17" s="409">
        <f>IF(VLOOKUP($B17,'NHG''s optical glass 202608'!$C$7:$KZ$213,284,FALSE)="","",VLOOKUP($B17,'NHG''s optical glass 202608'!$C$7:$KZ$213,284,FALSE))</f>
        <v>0.483</v>
      </c>
      <c r="AE17" s="409"/>
      <c r="AF17" s="409"/>
      <c r="AG17" s="409">
        <f>IF(VLOOKUP($B17,'NHG''s optical glass 202608'!$C$7:$KZ$213,285,FALSE)="","",VLOOKUP($B17,'NHG''s optical glass 202608'!$C$7:$KZ$213,285,FALSE))</f>
        <v>0.12</v>
      </c>
      <c r="AH17" s="409"/>
      <c r="AI17" s="409"/>
      <c r="AJ17" s="409"/>
      <c r="AK17" s="409" t="str">
        <f>IF(VLOOKUP($B17,'NHG''s optical glass 202608'!$C$7:$KZ$213,286,FALSE)="","",VLOOKUP($B17,'NHG''s optical glass 202608'!$C$7:$KZ$213,286,FALSE))</f>
        <v/>
      </c>
      <c r="AL17" s="409"/>
      <c r="AM17" s="409"/>
      <c r="AN17" s="419" t="str">
        <f>IF(VLOOKUP($B17,'NHG''s optical glass 202608'!$C$7:$KZ$213,221,FALSE)="","",VLOOKUP($B17,'NHG''s optical glass 202608'!$C$7:$KZ$213,221,FALSE))</f>
        <v>395/368</v>
      </c>
      <c r="AO17" s="426"/>
      <c r="AP17" s="426"/>
      <c r="AQ17" s="427"/>
      <c r="AR17" s="403" t="str">
        <f>IF(VLOOKUP($B17,'NHG''s optical glass 202608'!$C$7:$KZ$213,220,FALSE)="","",VLOOKUP($B17,'NHG''s optical glass 202608'!$C$7:$KZ$213,220,FALSE))</f>
        <v>(399)/369</v>
      </c>
      <c r="AS17" s="403"/>
      <c r="AT17" s="403"/>
      <c r="AU17" s="233"/>
      <c r="AV17" s="232"/>
      <c r="AW17" s="457">
        <f>IF(VLOOKUP($B17,'NHG''s optical glass 202608'!$C$7:$KZ$213,170,FALSE)="","",VLOOKUP($B17,'NHG''s optical glass 202608'!$C$7:$KZ$213,170,FALSE))</f>
        <v>1</v>
      </c>
      <c r="AX17" s="457"/>
      <c r="AY17" s="457"/>
      <c r="AZ17" s="457">
        <f>IF(VLOOKUP($B17,'NHG''s optical glass 202608'!$C$7:$KZ$213,171,FALSE)="","",VLOOKUP($B17,'NHG''s optical glass 202608'!$C$7:$KZ$213,171,FALSE))</f>
        <v>1</v>
      </c>
      <c r="BA17" s="457"/>
      <c r="BB17" s="457">
        <f>IF(VLOOKUP($B17,'NHG''s optical glass 202608'!$C$7:$KZ$213,175,FALSE)="","",VLOOKUP($B17,'NHG''s optical glass 202608'!$C$7:$KZ$213,175,FALSE))</f>
        <v>1</v>
      </c>
      <c r="BC17" s="457"/>
      <c r="BD17" s="457"/>
      <c r="BE17" s="457">
        <f>IF(VLOOKUP($B17,'NHG''s optical glass 202608'!$C$7:$KZ$213,174,FALSE)="","",VLOOKUP($B17,'NHG''s optical glass 202608'!$C$7:$KZ$213,174,FALSE))</f>
        <v>1</v>
      </c>
      <c r="BF17" s="457"/>
      <c r="BG17" s="457"/>
      <c r="BH17" s="457">
        <f>IF(VLOOKUP($B17,'NHG''s optical glass 202608'!$C$7:$KZ$213,172,FALSE)="","",VLOOKUP($B17,'NHG''s optical glass 202608'!$C$7:$KZ$213,172,FALSE))</f>
        <v>1</v>
      </c>
      <c r="BI17" s="457"/>
      <c r="BJ17" s="457"/>
      <c r="BK17" s="457"/>
      <c r="BL17" s="441">
        <f>IF(VLOOKUP($B17,'NHG''s optical glass 202608'!$C$7:$KZ$213,173,FALSE)="","",VLOOKUP($B17,'NHG''s optical glass 202608'!$C$7:$KZ$213,173,FALSE))</f>
        <v>1</v>
      </c>
      <c r="BM17" s="441"/>
      <c r="BN17" s="459">
        <f>IF(VLOOKUP($B17,'NHG''s optical glass 202608'!$C$7:$KZ$213,180,FALSE)="","",VLOOKUP($B17,'NHG''s optical glass 202608'!$C$7:$KZ$213,180,FALSE))</f>
        <v>632</v>
      </c>
      <c r="BO17" s="459"/>
      <c r="BP17" s="459"/>
      <c r="BQ17" s="459"/>
      <c r="BR17" s="459">
        <f>IF(VLOOKUP($B17,'NHG''s optical glass 202608'!$C$7:$KZ$213,181,FALSE)="","",VLOOKUP($B17,'NHG''s optical glass 202608'!$C$7:$KZ$213,181,FALSE))</f>
        <v>662</v>
      </c>
      <c r="BS17" s="459"/>
      <c r="BT17" s="459"/>
      <c r="BU17" s="441">
        <f>IF(VLOOKUP($B17,'NHG''s optical glass 202608'!$C$7:$KZ$213,186,FALSE)="","",VLOOKUP($B17,'NHG''s optical glass 202608'!$C$7:$KZ$213,186,FALSE))</f>
        <v>83</v>
      </c>
      <c r="BV17" s="441"/>
      <c r="BW17" s="441"/>
      <c r="BX17" s="441">
        <f>IF(VLOOKUP($B17,'NHG''s optical glass 202608'!$C$7:$KZ$213,187,FALSE)="","",VLOOKUP($B17,'NHG''s optical glass 202608'!$C$7:$KZ$213,187,FALSE))</f>
        <v>101</v>
      </c>
      <c r="BY17" s="441"/>
      <c r="BZ17" s="441"/>
      <c r="CA17" s="466">
        <f>IF(VLOOKUP($B17,'NHG''s optical glass 202608'!$C$7:$KZ$213,184,FALSE)="","",VLOOKUP($B17,'NHG''s optical glass 202608'!$C$7:$KZ$213,184,FALSE))</f>
        <v>1.04</v>
      </c>
      <c r="CB17" s="467"/>
      <c r="CC17" s="467"/>
      <c r="CD17" s="480"/>
      <c r="CE17" s="466" t="str">
        <f>IF(VLOOKUP($B17,'NHG''s optical glass 202608'!$C$7:$KZ$213,185,FALSE)="","",VLOOKUP($B17,'NHG''s optical glass 202608'!$C$7:$KZ$213,185,FALSE))</f>
        <v/>
      </c>
      <c r="CF17" s="467"/>
      <c r="CG17" s="467"/>
      <c r="CH17" s="485">
        <f>IF(VLOOKUP($B17,'NHG''s optical glass 202608'!$C$7:$KZ$213,212,FALSE)="","",VLOOKUP($B17,'NHG''s optical glass 202608'!$C$7:$KZ$213,212,FALSE))</f>
        <v>531</v>
      </c>
      <c r="CI17" s="486"/>
      <c r="CJ17" s="441">
        <f>IF(VLOOKUP($B17,'NHG''s optical glass 202608'!$C$7:$KZ$213,213,FALSE)="","",VLOOKUP($B17,'NHG''s optical glass 202608'!$C$7:$KZ$213,213,FALSE))</f>
        <v>176</v>
      </c>
      <c r="CK17" s="441"/>
      <c r="CL17" s="441"/>
      <c r="CM17" s="415">
        <f>IF(VLOOKUP($B17,'NHG''s optical glass 202608'!$C$7:$KZ$213,218,FALSE)="","",VLOOKUP($B17,'NHG''s optical glass 202608'!$C$7:$KZ$213,218,FALSE))</f>
        <v>2.54</v>
      </c>
      <c r="CN17" s="415"/>
      <c r="CO17" s="415"/>
      <c r="CP17" s="415">
        <f>IF(VLOOKUP($B17,'NHG''s optical glass 202608'!$C$7:$KZ$213,219,FALSE)="","",VLOOKUP($B17,'NHG''s optical glass 202608'!$C$7:$KZ$213,219,FALSE))</f>
        <v>3.54</v>
      </c>
      <c r="CQ17" s="415"/>
      <c r="CR17" s="407" t="str">
        <f t="shared" si="3"/>
        <v>H-ZF52NGT</v>
      </c>
      <c r="CS17" s="233"/>
      <c r="CT17" s="233"/>
      <c r="CU17" s="233"/>
      <c r="CV17" s="233"/>
      <c r="CW17" s="233"/>
    </row>
    <row r="18" s="231" customFormat="1" ht="14.45" customHeight="1" spans="2:101">
      <c r="B18" s="405" t="str">
        <f t="shared" si="1"/>
        <v>H-ZF56</v>
      </c>
      <c r="C18" s="234">
        <f t="shared" si="2"/>
        <v>855248</v>
      </c>
      <c r="D18" s="248">
        <f>IF(VLOOKUP($B18,'NHG''s optical glass 202608'!$C$7:$KZ$213,259,FALSE)="","",VLOOKUP($B18,'NHG''s optical glass 202608'!$C$7:$KZ$213,259,FALSE))</f>
        <v>0.943</v>
      </c>
      <c r="E18" s="248"/>
      <c r="F18" s="248">
        <f>IF(VLOOKUP($B18,'NHG''s optical glass 202608'!$C$7:$KZ$213,263,FALSE)="","",VLOOKUP($B18,'NHG''s optical glass 202608'!$C$7:$KZ$213,263,FALSE))</f>
        <v>0.995</v>
      </c>
      <c r="G18" s="248"/>
      <c r="H18" s="248">
        <f>IF(VLOOKUP($B18,'NHG''s optical glass 202608'!$C$7:$KZ$213,268,FALSE)="","",VLOOKUP($B18,'NHG''s optical glass 202608'!$C$7:$KZ$213,268,FALSE))</f>
        <v>0.998</v>
      </c>
      <c r="I18" s="248"/>
      <c r="J18" s="248"/>
      <c r="K18" s="248"/>
      <c r="L18" s="248"/>
      <c r="M18" s="248">
        <f>IF(VLOOKUP($B18,'NHG''s optical glass 202608'!$C$7:$KZ$213,270,FALSE)="","",VLOOKUP($B18,'NHG''s optical glass 202608'!$C$7:$KZ$213,270,FALSE))</f>
        <v>0.998</v>
      </c>
      <c r="N18" s="248"/>
      <c r="O18" s="248"/>
      <c r="P18" s="248">
        <f>IF(VLOOKUP($B18,'NHG''s optical glass 202608'!$C$7:$KZ$213,273,FALSE)="","",VLOOKUP($B18,'NHG''s optical glass 202608'!$C$7:$KZ$213,273,FALSE))</f>
        <v>0.997</v>
      </c>
      <c r="Q18" s="248"/>
      <c r="R18" s="248"/>
      <c r="S18" s="248">
        <f>IF(VLOOKUP($B18,'NHG''s optical glass 202608'!$C$7:$KZ$213,277,FALSE)="","",VLOOKUP($B18,'NHG''s optical glass 202608'!$C$7:$KZ$213,277,FALSE))</f>
        <v>0.982</v>
      </c>
      <c r="T18" s="248"/>
      <c r="U18" s="248">
        <f>IF(VLOOKUP($B18,'NHG''s optical glass 202608'!$C$7:$KZ$213,279,FALSE)="","",VLOOKUP($B18,'NHG''s optical glass 202608'!$C$7:$KZ$213,279,FALSE))</f>
        <v>0.967</v>
      </c>
      <c r="V18" s="248"/>
      <c r="W18" s="248">
        <f>IF(VLOOKUP($B18,'NHG''s optical glass 202608'!$C$7:$KZ$213,280,FALSE)="","",VLOOKUP($B18,'NHG''s optical glass 202608'!$C$7:$KZ$213,280,FALSE))</f>
        <v>0.953</v>
      </c>
      <c r="X18" s="248"/>
      <c r="Y18" s="248">
        <f>IF(VLOOKUP($B18,'NHG''s optical glass 202608'!$C$7:$KZ$213,281,FALSE)="","",VLOOKUP($B18,'NHG''s optical glass 202608'!$C$7:$KZ$213,281,FALSE))</f>
        <v>0.924</v>
      </c>
      <c r="Z18" s="248"/>
      <c r="AA18" s="248"/>
      <c r="AB18" s="248">
        <f>IF(VLOOKUP($B18,'NHG''s optical glass 202608'!$C$7:$KZ$213,282,FALSE)="","",VLOOKUP($B18,'NHG''s optical glass 202608'!$C$7:$KZ$213,282,FALSE))</f>
        <v>0.862</v>
      </c>
      <c r="AC18" s="248"/>
      <c r="AD18" s="248">
        <f>IF(VLOOKUP($B18,'NHG''s optical glass 202608'!$C$7:$KZ$213,284,FALSE)="","",VLOOKUP($B18,'NHG''s optical glass 202608'!$C$7:$KZ$213,284,FALSE))</f>
        <v>0.697</v>
      </c>
      <c r="AE18" s="248"/>
      <c r="AF18" s="248"/>
      <c r="AG18" s="248">
        <f>IF(VLOOKUP($B18,'NHG''s optical glass 202608'!$C$7:$KZ$213,285,FALSE)="","",VLOOKUP($B18,'NHG''s optical glass 202608'!$C$7:$KZ$213,285,FALSE))</f>
        <v>0.466</v>
      </c>
      <c r="AH18" s="248"/>
      <c r="AI18" s="248"/>
      <c r="AJ18" s="248"/>
      <c r="AK18" s="248">
        <f>IF(VLOOKUP($B18,'NHG''s optical glass 202608'!$C$7:$KZ$213,286,FALSE)="","",VLOOKUP($B18,'NHG''s optical glass 202608'!$C$7:$KZ$213,286,FALSE))</f>
        <v>0.131</v>
      </c>
      <c r="AL18" s="248"/>
      <c r="AM18" s="248"/>
      <c r="AN18" s="420" t="str">
        <f>IF(VLOOKUP($B18,'NHG''s optical glass 202608'!$C$7:$KZ$213,221,FALSE)="","",VLOOKUP($B18,'NHG''s optical glass 202608'!$C$7:$KZ$213,221,FALSE))</f>
        <v>390/355</v>
      </c>
      <c r="AO18" s="428"/>
      <c r="AP18" s="428"/>
      <c r="AQ18" s="429"/>
      <c r="AR18" s="234" t="str">
        <f>IF(VLOOKUP($B18,'NHG''s optical glass 202608'!$C$7:$KZ$213,220,FALSE)="","",VLOOKUP($B18,'NHG''s optical glass 202608'!$C$7:$KZ$213,220,FALSE))</f>
        <v>(395)/360</v>
      </c>
      <c r="AS18" s="234"/>
      <c r="AT18" s="234"/>
      <c r="AU18" s="233"/>
      <c r="AV18" s="232"/>
      <c r="AW18" s="262">
        <f>IF(VLOOKUP($B18,'NHG''s optical glass 202608'!$C$7:$KZ$213,170,FALSE)="","",VLOOKUP($B18,'NHG''s optical glass 202608'!$C$7:$KZ$213,170,FALSE))</f>
        <v>1</v>
      </c>
      <c r="AX18" s="262"/>
      <c r="AY18" s="262"/>
      <c r="AZ18" s="262">
        <f>IF(VLOOKUP($B18,'NHG''s optical glass 202608'!$C$7:$KZ$213,171,FALSE)="","",VLOOKUP($B18,'NHG''s optical glass 202608'!$C$7:$KZ$213,171,FALSE))</f>
        <v>1</v>
      </c>
      <c r="BA18" s="262"/>
      <c r="BB18" s="262">
        <f>IF(VLOOKUP($B18,'NHG''s optical glass 202608'!$C$7:$KZ$213,175,FALSE)="","",VLOOKUP($B18,'NHG''s optical glass 202608'!$C$7:$KZ$213,175,FALSE))</f>
        <v>1</v>
      </c>
      <c r="BC18" s="262"/>
      <c r="BD18" s="262"/>
      <c r="BE18" s="262">
        <f>IF(VLOOKUP($B18,'NHG''s optical glass 202608'!$C$7:$KZ$213,174,FALSE)="","",VLOOKUP($B18,'NHG''s optical glass 202608'!$C$7:$KZ$213,174,FALSE))</f>
        <v>1</v>
      </c>
      <c r="BF18" s="262"/>
      <c r="BG18" s="262"/>
      <c r="BH18" s="262">
        <f>IF(VLOOKUP($B18,'NHG''s optical glass 202608'!$C$7:$KZ$213,172,FALSE)="","",VLOOKUP($B18,'NHG''s optical glass 202608'!$C$7:$KZ$213,172,FALSE))</f>
        <v>1</v>
      </c>
      <c r="BI18" s="262"/>
      <c r="BJ18" s="262"/>
      <c r="BK18" s="262"/>
      <c r="BL18" s="442">
        <f>IF(VLOOKUP($B18,'NHG''s optical glass 202608'!$C$7:$KZ$213,173,FALSE)="","",VLOOKUP($B18,'NHG''s optical glass 202608'!$C$7:$KZ$213,173,FALSE))</f>
        <v>1</v>
      </c>
      <c r="BM18" s="442"/>
      <c r="BN18" s="442">
        <f>IF(VLOOKUP($B18,'NHG''s optical glass 202608'!$C$7:$KZ$213,180,FALSE)="","",VLOOKUP($B18,'NHG''s optical glass 202608'!$C$7:$KZ$213,180,FALSE))</f>
        <v>585</v>
      </c>
      <c r="BO18" s="442"/>
      <c r="BP18" s="442"/>
      <c r="BQ18" s="442"/>
      <c r="BR18" s="442">
        <f>IF(VLOOKUP($B18,'NHG''s optical glass 202608'!$C$7:$KZ$213,181,FALSE)="","",VLOOKUP($B18,'NHG''s optical glass 202608'!$C$7:$KZ$213,181,FALSE))</f>
        <v>623</v>
      </c>
      <c r="BS18" s="442"/>
      <c r="BT18" s="442"/>
      <c r="BU18" s="442">
        <f>IF(VLOOKUP($B18,'NHG''s optical glass 202608'!$C$7:$KZ$213,186,FALSE)="","",VLOOKUP($B18,'NHG''s optical glass 202608'!$C$7:$KZ$213,186,FALSE))</f>
        <v>76</v>
      </c>
      <c r="BV18" s="442"/>
      <c r="BW18" s="442"/>
      <c r="BX18" s="442">
        <f>IF(VLOOKUP($B18,'NHG''s optical glass 202608'!$C$7:$KZ$213,187,FALSE)="","",VLOOKUP($B18,'NHG''s optical glass 202608'!$C$7:$KZ$213,187,FALSE))</f>
        <v>97</v>
      </c>
      <c r="BY18" s="442"/>
      <c r="BZ18" s="442"/>
      <c r="CA18" s="235">
        <f>IF(VLOOKUP($B18,'NHG''s optical glass 202608'!$C$7:$KZ$213,184,FALSE)="","",VLOOKUP($B18,'NHG''s optical glass 202608'!$C$7:$KZ$213,184,FALSE))</f>
        <v>1.23</v>
      </c>
      <c r="CB18" s="236"/>
      <c r="CC18" s="236"/>
      <c r="CD18" s="242"/>
      <c r="CE18" s="235" t="str">
        <f>IF(VLOOKUP($B18,'NHG''s optical glass 202608'!$C$7:$KZ$213,185,FALSE)="","",VLOOKUP($B18,'NHG''s optical glass 202608'!$C$7:$KZ$213,185,FALSE))</f>
        <v/>
      </c>
      <c r="CF18" s="236"/>
      <c r="CG18" s="236"/>
      <c r="CH18" s="483">
        <f>IF(VLOOKUP($B18,'NHG''s optical glass 202608'!$C$7:$KZ$213,212,FALSE)="","",VLOOKUP($B18,'NHG''s optical glass 202608'!$C$7:$KZ$213,212,FALSE))</f>
        <v>572</v>
      </c>
      <c r="CI18" s="484"/>
      <c r="CJ18" s="442">
        <f>IF(VLOOKUP($B18,'NHG''s optical glass 202608'!$C$7:$KZ$213,213,FALSE)="","",VLOOKUP($B18,'NHG''s optical glass 202608'!$C$7:$KZ$213,213,FALSE))</f>
        <v>201</v>
      </c>
      <c r="CK18" s="442"/>
      <c r="CL18" s="442"/>
      <c r="CM18" s="416">
        <f>IF(VLOOKUP($B18,'NHG''s optical glass 202608'!$C$7:$KZ$213,218,FALSE)="","",VLOOKUP($B18,'NHG''s optical glass 202608'!$C$7:$KZ$213,218,FALSE))</f>
        <v>3.06</v>
      </c>
      <c r="CN18" s="416"/>
      <c r="CO18" s="416"/>
      <c r="CP18" s="416">
        <f>IF(VLOOKUP($B18,'NHG''s optical glass 202608'!$C$7:$KZ$213,219,FALSE)="","",VLOOKUP($B18,'NHG''s optical glass 202608'!$C$7:$KZ$213,219,FALSE))</f>
        <v>3.49</v>
      </c>
      <c r="CQ18" s="416"/>
      <c r="CR18" s="405" t="str">
        <f t="shared" si="3"/>
        <v>H-ZF56</v>
      </c>
      <c r="CS18" s="233"/>
      <c r="CT18" s="233"/>
      <c r="CU18" s="233"/>
      <c r="CV18" s="233"/>
      <c r="CW18" s="233"/>
    </row>
    <row r="19" s="233" customFormat="1" ht="14.45" customHeight="1" spans="2:96">
      <c r="B19" s="407" t="str">
        <f t="shared" si="1"/>
        <v>H-ZF62</v>
      </c>
      <c r="C19" s="403">
        <f t="shared" si="2"/>
        <v>923209</v>
      </c>
      <c r="D19" s="409">
        <f>IF(VLOOKUP($B19,'NHG''s optical glass 202608'!$C$7:$KZ$213,259,FALSE)="","",VLOOKUP($B19,'NHG''s optical glass 202608'!$C$7:$KZ$213,259,FALSE))</f>
        <v>0.916</v>
      </c>
      <c r="E19" s="409"/>
      <c r="F19" s="409">
        <f>IF(VLOOKUP($B19,'NHG''s optical glass 202608'!$C$7:$KZ$213,263,FALSE)="","",VLOOKUP($B19,'NHG''s optical glass 202608'!$C$7:$KZ$213,263,FALSE))</f>
        <v>0.998</v>
      </c>
      <c r="G19" s="409"/>
      <c r="H19" s="409">
        <f>IF(VLOOKUP($B19,'NHG''s optical glass 202608'!$C$7:$KZ$213,268,FALSE)="","",VLOOKUP($B19,'NHG''s optical glass 202608'!$C$7:$KZ$213,268,FALSE))</f>
        <v>0.998</v>
      </c>
      <c r="I19" s="409"/>
      <c r="J19" s="409"/>
      <c r="K19" s="409"/>
      <c r="L19" s="409"/>
      <c r="M19" s="409">
        <f>IF(VLOOKUP($B19,'NHG''s optical glass 202608'!$C$7:$KZ$213,270,FALSE)="","",VLOOKUP($B19,'NHG''s optical glass 202608'!$C$7:$KZ$213,270,FALSE))</f>
        <v>0.998</v>
      </c>
      <c r="N19" s="409"/>
      <c r="O19" s="409"/>
      <c r="P19" s="409">
        <f>IF(VLOOKUP($B19,'NHG''s optical glass 202608'!$C$7:$KZ$213,273,FALSE)="","",VLOOKUP($B19,'NHG''s optical glass 202608'!$C$7:$KZ$213,273,FALSE))</f>
        <v>0.998</v>
      </c>
      <c r="Q19" s="409"/>
      <c r="R19" s="409"/>
      <c r="S19" s="409">
        <f>IF(VLOOKUP($B19,'NHG''s optical glass 202608'!$C$7:$KZ$213,277,FALSE)="","",VLOOKUP($B19,'NHG''s optical glass 202608'!$C$7:$KZ$213,277,FALSE))</f>
        <v>0.965</v>
      </c>
      <c r="T19" s="409"/>
      <c r="U19" s="409">
        <f>IF(VLOOKUP($B19,'NHG''s optical glass 202608'!$C$7:$KZ$213,279,FALSE)="","",VLOOKUP($B19,'NHG''s optical glass 202608'!$C$7:$KZ$213,279,FALSE))</f>
        <v>0.934</v>
      </c>
      <c r="V19" s="409"/>
      <c r="W19" s="409">
        <f>IF(VLOOKUP($B19,'NHG''s optical glass 202608'!$C$7:$KZ$213,280,FALSE)="","",VLOOKUP($B19,'NHG''s optical glass 202608'!$C$7:$KZ$213,280,FALSE))</f>
        <v>0.902</v>
      </c>
      <c r="X19" s="409"/>
      <c r="Y19" s="409">
        <f>IF(VLOOKUP($B19,'NHG''s optical glass 202608'!$C$7:$KZ$213,281,FALSE)="","",VLOOKUP($B19,'NHG''s optical glass 202608'!$C$7:$KZ$213,281,FALSE))</f>
        <v>0.84</v>
      </c>
      <c r="Z19" s="409"/>
      <c r="AA19" s="409"/>
      <c r="AB19" s="409">
        <f>IF(VLOOKUP($B19,'NHG''s optical glass 202608'!$C$7:$KZ$213,282,FALSE)="","",VLOOKUP($B19,'NHG''s optical glass 202608'!$C$7:$KZ$213,282,FALSE))</f>
        <v>0.625</v>
      </c>
      <c r="AC19" s="409"/>
      <c r="AD19" s="409">
        <f>IF(VLOOKUP($B19,'NHG''s optical glass 202608'!$C$7:$KZ$213,284,FALSE)="","",VLOOKUP($B19,'NHG''s optical glass 202608'!$C$7:$KZ$213,284,FALSE))</f>
        <v>0.044</v>
      </c>
      <c r="AE19" s="409"/>
      <c r="AF19" s="409"/>
      <c r="AG19" s="409" t="str">
        <f>IF(VLOOKUP($B19,'NHG''s optical glass 202608'!$C$7:$KZ$213,285,FALSE)="","",VLOOKUP($B19,'NHG''s optical glass 202608'!$C$7:$KZ$213,285,FALSE))</f>
        <v/>
      </c>
      <c r="AH19" s="409"/>
      <c r="AI19" s="409"/>
      <c r="AJ19" s="409"/>
      <c r="AK19" s="409" t="str">
        <f>IF(VLOOKUP($B19,'NHG''s optical glass 202608'!$C$7:$KZ$213,286,FALSE)="","",VLOOKUP($B19,'NHG''s optical glass 202608'!$C$7:$KZ$213,286,FALSE))</f>
        <v/>
      </c>
      <c r="AL19" s="409"/>
      <c r="AM19" s="409"/>
      <c r="AN19" s="419" t="str">
        <f>IF(VLOOKUP($B19,'NHG''s optical glass 202608'!$C$7:$KZ$213,221,FALSE)="","",VLOOKUP($B19,'NHG''s optical glass 202608'!$C$7:$KZ$213,221,FALSE))</f>
        <v>415/382</v>
      </c>
      <c r="AO19" s="426"/>
      <c r="AP19" s="426"/>
      <c r="AQ19" s="427"/>
      <c r="AR19" s="403" t="str">
        <f>IF(VLOOKUP($B19,'NHG''s optical glass 202608'!$C$7:$KZ$213,220,FALSE)="","",VLOOKUP($B19,'NHG''s optical glass 202608'!$C$7:$KZ$213,220,FALSE))</f>
        <v>(435)/385</v>
      </c>
      <c r="AS19" s="403"/>
      <c r="AT19" s="403"/>
      <c r="AV19" s="232"/>
      <c r="AW19" s="457">
        <f>IF(VLOOKUP($B19,'NHG''s optical glass 202608'!$C$7:$KZ$213,170,FALSE)="","",VLOOKUP($B19,'NHG''s optical glass 202608'!$C$7:$KZ$213,170,FALSE))</f>
        <v>1</v>
      </c>
      <c r="AX19" s="457"/>
      <c r="AY19" s="457"/>
      <c r="AZ19" s="457">
        <f>IF(VLOOKUP($B19,'NHG''s optical glass 202608'!$C$7:$KZ$213,171,FALSE)="","",VLOOKUP($B19,'NHG''s optical glass 202608'!$C$7:$KZ$213,171,FALSE))</f>
        <v>1</v>
      </c>
      <c r="BA19" s="457"/>
      <c r="BB19" s="457">
        <f>IF(VLOOKUP($B19,'NHG''s optical glass 202608'!$C$7:$KZ$213,175,FALSE)="","",VLOOKUP($B19,'NHG''s optical glass 202608'!$C$7:$KZ$213,175,FALSE))</f>
        <v>1</v>
      </c>
      <c r="BC19" s="457"/>
      <c r="BD19" s="457"/>
      <c r="BE19" s="457">
        <f>IF(VLOOKUP($B19,'NHG''s optical glass 202608'!$C$7:$KZ$213,174,FALSE)="","",VLOOKUP($B19,'NHG''s optical glass 202608'!$C$7:$KZ$213,174,FALSE))</f>
        <v>1</v>
      </c>
      <c r="BF19" s="457"/>
      <c r="BG19" s="457"/>
      <c r="BH19" s="457">
        <f>IF(VLOOKUP($B19,'NHG''s optical glass 202608'!$C$7:$KZ$213,172,FALSE)="","",VLOOKUP($B19,'NHG''s optical glass 202608'!$C$7:$KZ$213,172,FALSE))</f>
        <v>1</v>
      </c>
      <c r="BI19" s="457"/>
      <c r="BJ19" s="457"/>
      <c r="BK19" s="457"/>
      <c r="BL19" s="441">
        <f>IF(VLOOKUP($B19,'NHG''s optical glass 202608'!$C$7:$KZ$213,173,FALSE)="","",VLOOKUP($B19,'NHG''s optical glass 202608'!$C$7:$KZ$213,173,FALSE))</f>
        <v>1</v>
      </c>
      <c r="BM19" s="441"/>
      <c r="BN19" s="459">
        <f>IF(VLOOKUP($B19,'NHG''s optical glass 202608'!$C$7:$KZ$213,180,FALSE)="","",VLOOKUP($B19,'NHG''s optical glass 202608'!$C$7:$KZ$213,180,FALSE))</f>
        <v>690</v>
      </c>
      <c r="BO19" s="459"/>
      <c r="BP19" s="459"/>
      <c r="BQ19" s="459"/>
      <c r="BR19" s="459">
        <f>IF(VLOOKUP($B19,'NHG''s optical glass 202608'!$C$7:$KZ$213,181,FALSE)="","",VLOOKUP($B19,'NHG''s optical glass 202608'!$C$7:$KZ$213,181,FALSE))</f>
        <v>725</v>
      </c>
      <c r="BS19" s="459"/>
      <c r="BT19" s="459"/>
      <c r="BU19" s="441">
        <f>IF(VLOOKUP($B19,'NHG''s optical glass 202608'!$C$7:$KZ$213,186,FALSE)="","",VLOOKUP($B19,'NHG''s optical glass 202608'!$C$7:$KZ$213,186,FALSE))</f>
        <v>61</v>
      </c>
      <c r="BV19" s="441"/>
      <c r="BW19" s="441"/>
      <c r="BX19" s="441">
        <f>IF(VLOOKUP($B19,'NHG''s optical glass 202608'!$C$7:$KZ$213,187,FALSE)="","",VLOOKUP($B19,'NHG''s optical glass 202608'!$C$7:$KZ$213,187,FALSE))</f>
        <v>74</v>
      </c>
      <c r="BY19" s="441"/>
      <c r="BZ19" s="441"/>
      <c r="CA19" s="466">
        <f>IF(VLOOKUP($B19,'NHG''s optical glass 202608'!$C$7:$KZ$213,184,FALSE)="","",VLOOKUP($B19,'NHG''s optical glass 202608'!$C$7:$KZ$213,184,FALSE))</f>
        <v>0.99</v>
      </c>
      <c r="CB19" s="467"/>
      <c r="CC19" s="467"/>
      <c r="CD19" s="480"/>
      <c r="CE19" s="466" t="str">
        <f>IF(VLOOKUP($B19,'NHG''s optical glass 202608'!$C$7:$KZ$213,185,FALSE)="","",VLOOKUP($B19,'NHG''s optical glass 202608'!$C$7:$KZ$213,185,FALSE))</f>
        <v/>
      </c>
      <c r="CF19" s="467"/>
      <c r="CG19" s="467"/>
      <c r="CH19" s="485">
        <f>IF(VLOOKUP($B19,'NHG''s optical glass 202608'!$C$7:$KZ$213,212,FALSE)="","",VLOOKUP($B19,'NHG''s optical glass 202608'!$C$7:$KZ$213,212,FALSE))</f>
        <v>485</v>
      </c>
      <c r="CI19" s="486"/>
      <c r="CJ19" s="441">
        <f>IF(VLOOKUP($B19,'NHG''s optical glass 202608'!$C$7:$KZ$213,213,FALSE)="","",VLOOKUP($B19,'NHG''s optical glass 202608'!$C$7:$KZ$213,213,FALSE))</f>
        <v>228</v>
      </c>
      <c r="CK19" s="441"/>
      <c r="CL19" s="441"/>
      <c r="CM19" s="415">
        <f>IF(VLOOKUP($B19,'NHG''s optical glass 202608'!$C$7:$KZ$213,218,FALSE)="","",VLOOKUP($B19,'NHG''s optical glass 202608'!$C$7:$KZ$213,218,FALSE))</f>
        <v>2.85</v>
      </c>
      <c r="CN19" s="415"/>
      <c r="CO19" s="415"/>
      <c r="CP19" s="415">
        <f>IF(VLOOKUP($B19,'NHG''s optical glass 202608'!$C$7:$KZ$213,219,FALSE)="","",VLOOKUP($B19,'NHG''s optical glass 202608'!$C$7:$KZ$213,219,FALSE))</f>
        <v>3.93</v>
      </c>
      <c r="CQ19" s="415"/>
      <c r="CR19" s="407" t="str">
        <f t="shared" si="3"/>
        <v>H-ZF62</v>
      </c>
    </row>
    <row r="21" spans="21:21">
      <c r="U21" s="7" t="s">
        <v>1711</v>
      </c>
    </row>
  </sheetData>
  <mergeCells count="456">
    <mergeCell ref="BM2:BX2"/>
    <mergeCell ref="BY2:CF2"/>
    <mergeCell ref="D4:H4"/>
    <mergeCell ref="N4:S4"/>
    <mergeCell ref="W4:Y4"/>
    <mergeCell ref="Z4:AB4"/>
    <mergeCell ref="AC4:AF4"/>
    <mergeCell ref="AG4:AK4"/>
    <mergeCell ref="AL4:AN4"/>
    <mergeCell ref="AO4:AQ4"/>
    <mergeCell ref="AR4:AT4"/>
    <mergeCell ref="AW4:AZ4"/>
    <mergeCell ref="BA4:BC4"/>
    <mergeCell ref="BD4:BF4"/>
    <mergeCell ref="BG4:BI4"/>
    <mergeCell ref="BJ4:BL4"/>
    <mergeCell ref="CG4:CI4"/>
    <mergeCell ref="CJ4:CM4"/>
    <mergeCell ref="CN4:CQ4"/>
    <mergeCell ref="D5:F5"/>
    <mergeCell ref="G5:H5"/>
    <mergeCell ref="I5:M5"/>
    <mergeCell ref="N5:Q5"/>
    <mergeCell ref="R5:S5"/>
    <mergeCell ref="T5:V5"/>
    <mergeCell ref="W5:Y5"/>
    <mergeCell ref="Z5:AB5"/>
    <mergeCell ref="AC5:AF5"/>
    <mergeCell ref="AG5:AK5"/>
    <mergeCell ref="AL5:AN5"/>
    <mergeCell ref="AO5:AQ5"/>
    <mergeCell ref="AR5:AT5"/>
    <mergeCell ref="AW5:AZ5"/>
    <mergeCell ref="BA5:BC5"/>
    <mergeCell ref="BD5:BF5"/>
    <mergeCell ref="BG5:BI5"/>
    <mergeCell ref="BJ5:BL5"/>
    <mergeCell ref="BM5:BO5"/>
    <mergeCell ref="BP5:BS5"/>
    <mergeCell ref="BT5:BV5"/>
    <mergeCell ref="BW5:BX5"/>
    <mergeCell ref="BY5:CA5"/>
    <mergeCell ref="CB5:CF5"/>
    <mergeCell ref="CG5:CI5"/>
    <mergeCell ref="CJ5:CM5"/>
    <mergeCell ref="CN5:CQ5"/>
    <mergeCell ref="D6:F6"/>
    <mergeCell ref="G6:H6"/>
    <mergeCell ref="I6:M6"/>
    <mergeCell ref="N6:Q6"/>
    <mergeCell ref="R6:S6"/>
    <mergeCell ref="T6:V6"/>
    <mergeCell ref="W6:Y6"/>
    <mergeCell ref="Z6:AB6"/>
    <mergeCell ref="AC6:AF6"/>
    <mergeCell ref="AG6:AK6"/>
    <mergeCell ref="AL6:AN6"/>
    <mergeCell ref="AO6:AQ6"/>
    <mergeCell ref="AR6:AT6"/>
    <mergeCell ref="AW6:AZ6"/>
    <mergeCell ref="BA6:BC6"/>
    <mergeCell ref="BD6:BF6"/>
    <mergeCell ref="BG6:BI6"/>
    <mergeCell ref="BJ6:BL6"/>
    <mergeCell ref="BM6:BO6"/>
    <mergeCell ref="BP6:BS6"/>
    <mergeCell ref="BT6:BV6"/>
    <mergeCell ref="BW6:BX6"/>
    <mergeCell ref="BY6:CA6"/>
    <mergeCell ref="CB6:CF6"/>
    <mergeCell ref="CG6:CI6"/>
    <mergeCell ref="CJ6:CM6"/>
    <mergeCell ref="CN6:CQ6"/>
    <mergeCell ref="D7:F7"/>
    <mergeCell ref="G7:H7"/>
    <mergeCell ref="I7:M7"/>
    <mergeCell ref="N7:Q7"/>
    <mergeCell ref="R7:S7"/>
    <mergeCell ref="T7:V7"/>
    <mergeCell ref="W7:Y7"/>
    <mergeCell ref="Z7:AB7"/>
    <mergeCell ref="AC7:AF7"/>
    <mergeCell ref="AG7:AK7"/>
    <mergeCell ref="AL7:AN7"/>
    <mergeCell ref="AO7:AQ7"/>
    <mergeCell ref="AR7:AT7"/>
    <mergeCell ref="AW7:AZ7"/>
    <mergeCell ref="BA7:BC7"/>
    <mergeCell ref="BD7:BF7"/>
    <mergeCell ref="BG7:BI7"/>
    <mergeCell ref="BJ7:BL7"/>
    <mergeCell ref="BM7:BO7"/>
    <mergeCell ref="BP7:BS7"/>
    <mergeCell ref="BT7:BV7"/>
    <mergeCell ref="BW7:BX7"/>
    <mergeCell ref="BY7:CA7"/>
    <mergeCell ref="CB7:CF7"/>
    <mergeCell ref="CG7:CI7"/>
    <mergeCell ref="CJ7:CM7"/>
    <mergeCell ref="CN7:CQ7"/>
    <mergeCell ref="D8:F8"/>
    <mergeCell ref="G8:H8"/>
    <mergeCell ref="I8:M8"/>
    <mergeCell ref="N8:Q8"/>
    <mergeCell ref="R8:S8"/>
    <mergeCell ref="T8:V8"/>
    <mergeCell ref="W8:Y8"/>
    <mergeCell ref="Z8:AB8"/>
    <mergeCell ref="AC8:AF8"/>
    <mergeCell ref="AG8:AK8"/>
    <mergeCell ref="AL8:AN8"/>
    <mergeCell ref="AO8:AQ8"/>
    <mergeCell ref="AR8:AT8"/>
    <mergeCell ref="AW8:AZ8"/>
    <mergeCell ref="BA8:BC8"/>
    <mergeCell ref="BD8:BF8"/>
    <mergeCell ref="BG8:BI8"/>
    <mergeCell ref="BJ8:BL8"/>
    <mergeCell ref="BM8:BO8"/>
    <mergeCell ref="BP8:BS8"/>
    <mergeCell ref="BT8:BV8"/>
    <mergeCell ref="BW8:BX8"/>
    <mergeCell ref="BY8:CA8"/>
    <mergeCell ref="CB8:CF8"/>
    <mergeCell ref="CG8:CI8"/>
    <mergeCell ref="CJ8:CM8"/>
    <mergeCell ref="CN8:CQ8"/>
    <mergeCell ref="D9:F9"/>
    <mergeCell ref="G9:H9"/>
    <mergeCell ref="I9:M9"/>
    <mergeCell ref="N9:Q9"/>
    <mergeCell ref="R9:S9"/>
    <mergeCell ref="T9:V9"/>
    <mergeCell ref="W9:Y9"/>
    <mergeCell ref="Z9:AB9"/>
    <mergeCell ref="AC9:AF9"/>
    <mergeCell ref="AG9:AK9"/>
    <mergeCell ref="AL9:AN9"/>
    <mergeCell ref="AO9:AQ9"/>
    <mergeCell ref="AR9:AT9"/>
    <mergeCell ref="AW9:AZ9"/>
    <mergeCell ref="BA9:BC9"/>
    <mergeCell ref="BD9:BF9"/>
    <mergeCell ref="BG9:BI9"/>
    <mergeCell ref="BJ9:BL9"/>
    <mergeCell ref="BM9:BO9"/>
    <mergeCell ref="BP9:BS9"/>
    <mergeCell ref="BT9:BV9"/>
    <mergeCell ref="BW9:BX9"/>
    <mergeCell ref="BY9:CA9"/>
    <mergeCell ref="CB9:CF9"/>
    <mergeCell ref="CG9:CI9"/>
    <mergeCell ref="CJ9:CM9"/>
    <mergeCell ref="CN9:CQ9"/>
    <mergeCell ref="D10:F10"/>
    <mergeCell ref="G10:H10"/>
    <mergeCell ref="I10:M10"/>
    <mergeCell ref="N10:Q10"/>
    <mergeCell ref="R10:S10"/>
    <mergeCell ref="T10:V10"/>
    <mergeCell ref="W10:Y10"/>
    <mergeCell ref="Z10:AB10"/>
    <mergeCell ref="AC10:AF10"/>
    <mergeCell ref="AG10:AK10"/>
    <mergeCell ref="AL10:AN10"/>
    <mergeCell ref="AO10:AQ10"/>
    <mergeCell ref="AR10:AT10"/>
    <mergeCell ref="AW10:AZ10"/>
    <mergeCell ref="BA10:BC10"/>
    <mergeCell ref="BD10:BF10"/>
    <mergeCell ref="BG10:BI10"/>
    <mergeCell ref="BJ10:BL10"/>
    <mergeCell ref="BM10:BO10"/>
    <mergeCell ref="BP10:BS10"/>
    <mergeCell ref="BT10:BV10"/>
    <mergeCell ref="BW10:BX10"/>
    <mergeCell ref="BY10:CA10"/>
    <mergeCell ref="CB10:CF10"/>
    <mergeCell ref="CG10:CI10"/>
    <mergeCell ref="CJ10:CM10"/>
    <mergeCell ref="CN10:CQ10"/>
    <mergeCell ref="D11:AM11"/>
    <mergeCell ref="AN11:AQ11"/>
    <mergeCell ref="AR11:AT11"/>
    <mergeCell ref="AW11:BG11"/>
    <mergeCell ref="BH11:BM11"/>
    <mergeCell ref="D12:E12"/>
    <mergeCell ref="F12:G12"/>
    <mergeCell ref="H12:L12"/>
    <mergeCell ref="M12:O12"/>
    <mergeCell ref="P12:R12"/>
    <mergeCell ref="S12:T12"/>
    <mergeCell ref="U12:V12"/>
    <mergeCell ref="W12:X12"/>
    <mergeCell ref="Y12:AA12"/>
    <mergeCell ref="AB12:AC12"/>
    <mergeCell ref="AD12:AF12"/>
    <mergeCell ref="AG12:AJ12"/>
    <mergeCell ref="AK12:AM12"/>
    <mergeCell ref="D13:E13"/>
    <mergeCell ref="F13:G13"/>
    <mergeCell ref="H13:L13"/>
    <mergeCell ref="M13:O13"/>
    <mergeCell ref="P13:R13"/>
    <mergeCell ref="S13:T13"/>
    <mergeCell ref="U13:V13"/>
    <mergeCell ref="W13:X13"/>
    <mergeCell ref="Y13:AA13"/>
    <mergeCell ref="AB13:AC13"/>
    <mergeCell ref="AD13:AF13"/>
    <mergeCell ref="AG13:AJ13"/>
    <mergeCell ref="AK13:AM13"/>
    <mergeCell ref="BN13:BQ13"/>
    <mergeCell ref="BR13:BT13"/>
    <mergeCell ref="BU13:BW13"/>
    <mergeCell ref="BX13:BZ13"/>
    <mergeCell ref="CA13:CD13"/>
    <mergeCell ref="CE13:CG13"/>
    <mergeCell ref="CH13:CI13"/>
    <mergeCell ref="CJ13:CL13"/>
    <mergeCell ref="CM13:CO13"/>
    <mergeCell ref="CP13:CQ13"/>
    <mergeCell ref="D14:E14"/>
    <mergeCell ref="F14:G14"/>
    <mergeCell ref="H14:L14"/>
    <mergeCell ref="M14:O14"/>
    <mergeCell ref="P14:R14"/>
    <mergeCell ref="S14:T14"/>
    <mergeCell ref="U14:V14"/>
    <mergeCell ref="W14:X14"/>
    <mergeCell ref="Y14:AA14"/>
    <mergeCell ref="AB14:AC14"/>
    <mergeCell ref="AD14:AF14"/>
    <mergeCell ref="AG14:AJ14"/>
    <mergeCell ref="AK14:AM14"/>
    <mergeCell ref="AN14:AQ14"/>
    <mergeCell ref="AR14:AT14"/>
    <mergeCell ref="AW14:AY14"/>
    <mergeCell ref="AZ14:BA14"/>
    <mergeCell ref="BB14:BD14"/>
    <mergeCell ref="BE14:BG14"/>
    <mergeCell ref="BH14:BK14"/>
    <mergeCell ref="BL14:BM14"/>
    <mergeCell ref="BN14:BQ14"/>
    <mergeCell ref="BR14:BT14"/>
    <mergeCell ref="BU14:BW14"/>
    <mergeCell ref="BX14:BZ14"/>
    <mergeCell ref="CA14:CD14"/>
    <mergeCell ref="CE14:CG14"/>
    <mergeCell ref="CH14:CI14"/>
    <mergeCell ref="CJ14:CL14"/>
    <mergeCell ref="CM14:CO14"/>
    <mergeCell ref="CP14:CQ14"/>
    <mergeCell ref="D15:E15"/>
    <mergeCell ref="F15:G15"/>
    <mergeCell ref="H15:L15"/>
    <mergeCell ref="M15:O15"/>
    <mergeCell ref="P15:R15"/>
    <mergeCell ref="S15:T15"/>
    <mergeCell ref="U15:V15"/>
    <mergeCell ref="W15:X15"/>
    <mergeCell ref="Y15:AA15"/>
    <mergeCell ref="AB15:AC15"/>
    <mergeCell ref="AD15:AF15"/>
    <mergeCell ref="AG15:AJ15"/>
    <mergeCell ref="AK15:AM15"/>
    <mergeCell ref="AN15:AQ15"/>
    <mergeCell ref="AR15:AT15"/>
    <mergeCell ref="AW15:AY15"/>
    <mergeCell ref="AZ15:BA15"/>
    <mergeCell ref="BB15:BD15"/>
    <mergeCell ref="BE15:BG15"/>
    <mergeCell ref="BH15:BK15"/>
    <mergeCell ref="BL15:BM15"/>
    <mergeCell ref="BN15:BQ15"/>
    <mergeCell ref="BR15:BT15"/>
    <mergeCell ref="BU15:BW15"/>
    <mergeCell ref="BX15:BZ15"/>
    <mergeCell ref="CA15:CD15"/>
    <mergeCell ref="CE15:CG15"/>
    <mergeCell ref="CH15:CI15"/>
    <mergeCell ref="CJ15:CL15"/>
    <mergeCell ref="CM15:CO15"/>
    <mergeCell ref="CP15:CQ15"/>
    <mergeCell ref="D16:E16"/>
    <mergeCell ref="F16:G16"/>
    <mergeCell ref="H16:L16"/>
    <mergeCell ref="M16:O16"/>
    <mergeCell ref="P16:R16"/>
    <mergeCell ref="S16:T16"/>
    <mergeCell ref="U16:V16"/>
    <mergeCell ref="W16:X16"/>
    <mergeCell ref="Y16:AA16"/>
    <mergeCell ref="AB16:AC16"/>
    <mergeCell ref="AD16:AF16"/>
    <mergeCell ref="AG16:AJ16"/>
    <mergeCell ref="AK16:AM16"/>
    <mergeCell ref="AN16:AQ16"/>
    <mergeCell ref="AR16:AT16"/>
    <mergeCell ref="AW16:AY16"/>
    <mergeCell ref="AZ16:BA16"/>
    <mergeCell ref="BB16:BD16"/>
    <mergeCell ref="BE16:BG16"/>
    <mergeCell ref="BH16:BK16"/>
    <mergeCell ref="BL16:BM16"/>
    <mergeCell ref="BN16:BQ16"/>
    <mergeCell ref="BR16:BT16"/>
    <mergeCell ref="BU16:BW16"/>
    <mergeCell ref="BX16:BZ16"/>
    <mergeCell ref="CA16:CD16"/>
    <mergeCell ref="CE16:CG16"/>
    <mergeCell ref="CH16:CI16"/>
    <mergeCell ref="CJ16:CL16"/>
    <mergeCell ref="CM16:CO16"/>
    <mergeCell ref="CP16:CQ16"/>
    <mergeCell ref="D17:E17"/>
    <mergeCell ref="F17:G17"/>
    <mergeCell ref="H17:L17"/>
    <mergeCell ref="M17:O17"/>
    <mergeCell ref="P17:R17"/>
    <mergeCell ref="S17:T17"/>
    <mergeCell ref="U17:V17"/>
    <mergeCell ref="W17:X17"/>
    <mergeCell ref="Y17:AA17"/>
    <mergeCell ref="AB17:AC17"/>
    <mergeCell ref="AD17:AF17"/>
    <mergeCell ref="AG17:AJ17"/>
    <mergeCell ref="AK17:AM17"/>
    <mergeCell ref="AN17:AQ17"/>
    <mergeCell ref="AR17:AT17"/>
    <mergeCell ref="AW17:AY17"/>
    <mergeCell ref="AZ17:BA17"/>
    <mergeCell ref="BB17:BD17"/>
    <mergeCell ref="BE17:BG17"/>
    <mergeCell ref="BH17:BK17"/>
    <mergeCell ref="BL17:BM17"/>
    <mergeCell ref="BN17:BQ17"/>
    <mergeCell ref="BR17:BT17"/>
    <mergeCell ref="BU17:BW17"/>
    <mergeCell ref="BX17:BZ17"/>
    <mergeCell ref="CA17:CD17"/>
    <mergeCell ref="CE17:CG17"/>
    <mergeCell ref="CH17:CI17"/>
    <mergeCell ref="CJ17:CL17"/>
    <mergeCell ref="CM17:CO17"/>
    <mergeCell ref="CP17:CQ17"/>
    <mergeCell ref="D18:E18"/>
    <mergeCell ref="F18:G18"/>
    <mergeCell ref="H18:L18"/>
    <mergeCell ref="M18:O18"/>
    <mergeCell ref="P18:R18"/>
    <mergeCell ref="S18:T18"/>
    <mergeCell ref="U18:V18"/>
    <mergeCell ref="W18:X18"/>
    <mergeCell ref="Y18:AA18"/>
    <mergeCell ref="AB18:AC18"/>
    <mergeCell ref="AD18:AF18"/>
    <mergeCell ref="AG18:AJ18"/>
    <mergeCell ref="AK18:AM18"/>
    <mergeCell ref="AN18:AQ18"/>
    <mergeCell ref="AR18:AT18"/>
    <mergeCell ref="AW18:AY18"/>
    <mergeCell ref="AZ18:BA18"/>
    <mergeCell ref="BB18:BD18"/>
    <mergeCell ref="BE18:BG18"/>
    <mergeCell ref="BH18:BK18"/>
    <mergeCell ref="BL18:BM18"/>
    <mergeCell ref="BN18:BQ18"/>
    <mergeCell ref="BR18:BT18"/>
    <mergeCell ref="BU18:BW18"/>
    <mergeCell ref="BX18:BZ18"/>
    <mergeCell ref="CA18:CD18"/>
    <mergeCell ref="CE18:CG18"/>
    <mergeCell ref="CH18:CI18"/>
    <mergeCell ref="CJ18:CL18"/>
    <mergeCell ref="CM18:CO18"/>
    <mergeCell ref="CP18:CQ18"/>
    <mergeCell ref="D19:E19"/>
    <mergeCell ref="F19:G19"/>
    <mergeCell ref="H19:L19"/>
    <mergeCell ref="M19:O19"/>
    <mergeCell ref="P19:R19"/>
    <mergeCell ref="S19:T19"/>
    <mergeCell ref="U19:V19"/>
    <mergeCell ref="W19:X19"/>
    <mergeCell ref="Y19:AA19"/>
    <mergeCell ref="AB19:AC19"/>
    <mergeCell ref="AD19:AF19"/>
    <mergeCell ref="AG19:AJ19"/>
    <mergeCell ref="AK19:AM19"/>
    <mergeCell ref="AN19:AQ19"/>
    <mergeCell ref="AR19:AT19"/>
    <mergeCell ref="AW19:AY19"/>
    <mergeCell ref="AZ19:BA19"/>
    <mergeCell ref="BB19:BD19"/>
    <mergeCell ref="BE19:BG19"/>
    <mergeCell ref="BH19:BK19"/>
    <mergeCell ref="BL19:BM19"/>
    <mergeCell ref="BN19:BQ19"/>
    <mergeCell ref="BR19:BT19"/>
    <mergeCell ref="BU19:BW19"/>
    <mergeCell ref="BX19:BZ19"/>
    <mergeCell ref="CA19:CD19"/>
    <mergeCell ref="CE19:CG19"/>
    <mergeCell ref="CH19:CI19"/>
    <mergeCell ref="CJ19:CL19"/>
    <mergeCell ref="CM19:CO19"/>
    <mergeCell ref="CP19:CQ19"/>
    <mergeCell ref="B2:B4"/>
    <mergeCell ref="B11:B13"/>
    <mergeCell ref="C2:C4"/>
    <mergeCell ref="C11:C13"/>
    <mergeCell ref="CR2:CR4"/>
    <mergeCell ref="CR11:CR13"/>
    <mergeCell ref="D2:F3"/>
    <mergeCell ref="G2:H3"/>
    <mergeCell ref="I2:M4"/>
    <mergeCell ref="N2:Q3"/>
    <mergeCell ref="R2:S3"/>
    <mergeCell ref="T2:V4"/>
    <mergeCell ref="W2:Y3"/>
    <mergeCell ref="Z2:AB3"/>
    <mergeCell ref="AL2:AN3"/>
    <mergeCell ref="AO2:AQ3"/>
    <mergeCell ref="AR2:AT3"/>
    <mergeCell ref="BA2:BC3"/>
    <mergeCell ref="BD2:BF3"/>
    <mergeCell ref="BG2:BI3"/>
    <mergeCell ref="BJ2:BL3"/>
    <mergeCell ref="AC2:AF3"/>
    <mergeCell ref="AW2:AZ3"/>
    <mergeCell ref="AG2:AK3"/>
    <mergeCell ref="CG2:CQ3"/>
    <mergeCell ref="BM3:BO4"/>
    <mergeCell ref="BY3:CA4"/>
    <mergeCell ref="BP3:BS4"/>
    <mergeCell ref="BT3:BV4"/>
    <mergeCell ref="BW3:BX4"/>
    <mergeCell ref="CB3:CF4"/>
    <mergeCell ref="BN11:BQ12"/>
    <mergeCell ref="BR11:BT12"/>
    <mergeCell ref="CJ11:CL12"/>
    <mergeCell ref="CM11:CO12"/>
    <mergeCell ref="BU11:BZ12"/>
    <mergeCell ref="CH11:CI12"/>
    <mergeCell ref="CP11:CQ12"/>
    <mergeCell ref="AN12:AQ13"/>
    <mergeCell ref="BH12:BK13"/>
    <mergeCell ref="AR12:AT13"/>
    <mergeCell ref="AW12:AY13"/>
    <mergeCell ref="AZ12:BA13"/>
    <mergeCell ref="BL12:BM13"/>
    <mergeCell ref="BB12:BD13"/>
    <mergeCell ref="BE12:BG13"/>
    <mergeCell ref="CA11:CD12"/>
    <mergeCell ref="CE11:CG12"/>
  </mergeCells>
  <printOptions horizontalCentered="1" verticalCentered="1"/>
  <pageMargins left="0.078740157480315" right="1.14173228346457" top="0.236220472440945" bottom="0.31496062992126" header="0" footer="0"/>
  <pageSetup paperSize="161" scale="8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X21"/>
  <sheetViews>
    <sheetView workbookViewId="0">
      <selection activeCell="AI22" sqref="AI22"/>
    </sheetView>
  </sheetViews>
  <sheetFormatPr defaultColWidth="9" defaultRowHeight="9.6"/>
  <cols>
    <col min="1" max="1" width="2.37962962962963" style="7" customWidth="1"/>
    <col min="2" max="2" width="11.25" style="7" customWidth="1"/>
    <col min="3" max="3" width="4.5" style="7" customWidth="1"/>
    <col min="4" max="4" width="1.75" style="7" customWidth="1"/>
    <col min="5" max="5" width="2" style="7" customWidth="1"/>
    <col min="6" max="6" width="1.12962962962963" style="7" customWidth="1"/>
    <col min="7" max="7" width="2.87962962962963" style="7" customWidth="1"/>
    <col min="8" max="8" width="0.62962962962963" style="7" customWidth="1"/>
    <col min="9" max="9" width="1.25" style="7" customWidth="1"/>
    <col min="10" max="10" width="0.37962962962963" style="7" customWidth="1"/>
    <col min="11" max="11" width="1.5" style="7" customWidth="1"/>
    <col min="12" max="12" width="0.25" style="7" customWidth="1"/>
    <col min="13" max="13" width="1.87962962962963" style="7" customWidth="1"/>
    <col min="14" max="14" width="1.12962962962963" style="7" customWidth="1"/>
    <col min="15" max="15" width="0.87962962962963" style="7" customWidth="1"/>
    <col min="16" max="16" width="1.87962962962963" style="7" customWidth="1"/>
    <col min="17" max="17" width="0.62962962962963" style="7" customWidth="1"/>
    <col min="18" max="18" width="1.37962962962963" style="7" customWidth="1"/>
    <col min="19" max="19" width="2.25" style="7" customWidth="1"/>
    <col min="20" max="20" width="1.62962962962963" style="7" customWidth="1"/>
    <col min="21" max="21" width="2" style="7" customWidth="1"/>
    <col min="22" max="22" width="1.5" style="7" customWidth="1"/>
    <col min="23" max="23" width="1.87962962962963" style="7" customWidth="1"/>
    <col min="24" max="24" width="1.75" style="7" customWidth="1"/>
    <col min="25" max="25" width="1.62962962962963" style="7" customWidth="1"/>
    <col min="26" max="26" width="0.75" style="7" customWidth="1"/>
    <col min="27" max="27" width="1.37962962962963" style="7" customWidth="1"/>
    <col min="28" max="28" width="2.62962962962963" style="7" customWidth="1"/>
    <col min="29" max="30" width="1.25" style="7" customWidth="1"/>
    <col min="31" max="31" width="1.5" style="7" customWidth="1"/>
    <col min="32" max="33" width="0.87962962962963" style="7" customWidth="1"/>
    <col min="34" max="34" width="1.25" style="7" customWidth="1"/>
    <col min="35" max="35" width="1.62962962962963" style="7" customWidth="1"/>
    <col min="36" max="36" width="0.5" style="7" customWidth="1"/>
    <col min="37" max="37" width="0.75" style="7" customWidth="1"/>
    <col min="38" max="38" width="1.75" style="7" customWidth="1"/>
    <col min="39" max="39" width="1.62962962962963" style="7" customWidth="1"/>
    <col min="40" max="40" width="1.75" style="7" customWidth="1"/>
    <col min="41" max="41" width="1.5" style="7" customWidth="1"/>
    <col min="42" max="42" width="1.62962962962963" style="7" customWidth="1"/>
    <col min="43" max="43" width="2.25" style="7" customWidth="1"/>
    <col min="44" max="44" width="1.62962962962963" style="7" customWidth="1"/>
    <col min="45" max="45" width="2.25" style="7" customWidth="1"/>
    <col min="46" max="47" width="2.5" style="7" customWidth="1"/>
    <col min="48" max="48" width="2.75" style="7" customWidth="1"/>
    <col min="49" max="49" width="1.37962962962963" style="7" customWidth="1"/>
    <col min="50" max="50" width="1.5" style="7" customWidth="1"/>
    <col min="51" max="51" width="1.25" style="7" customWidth="1"/>
    <col min="52" max="52" width="0.75" style="7" customWidth="1"/>
    <col min="53" max="53" width="3.25" style="7" customWidth="1"/>
    <col min="54" max="54" width="1.25" style="7" customWidth="1"/>
    <col min="55" max="55" width="0.12962962962963" style="7" customWidth="1"/>
    <col min="56" max="56" width="2.62962962962963" style="7" customWidth="1"/>
    <col min="57" max="57" width="1.62962962962963" style="7" customWidth="1"/>
    <col min="58" max="58" width="0.62962962962963" style="7" customWidth="1"/>
    <col min="59" max="59" width="1.62962962962963" style="7" customWidth="1"/>
    <col min="60" max="60" width="1.75" style="7" customWidth="1"/>
    <col min="61" max="61" width="1.37962962962963" style="7" customWidth="1"/>
    <col min="62" max="62" width="0.75" style="7" customWidth="1"/>
    <col min="63" max="63" width="1" style="7" customWidth="1"/>
    <col min="64" max="64" width="2.75" style="7" customWidth="1"/>
    <col min="65" max="65" width="1.37962962962963" style="7" customWidth="1"/>
    <col min="66" max="67" width="1.5" style="7" customWidth="1"/>
    <col min="68" max="68" width="0.87962962962963" style="7" customWidth="1"/>
    <col min="69" max="69" width="1.5" style="7" customWidth="1"/>
    <col min="70" max="70" width="0.75" style="7" customWidth="1"/>
    <col min="71" max="71" width="1.25" style="7" customWidth="1"/>
    <col min="72" max="72" width="2.62962962962963" style="7" customWidth="1"/>
    <col min="73" max="73" width="0.75" style="7" customWidth="1"/>
    <col min="74" max="74" width="0.87962962962963" style="7" customWidth="1"/>
    <col min="75" max="75" width="1.87962962962963" style="7" customWidth="1"/>
    <col min="76" max="76" width="1.62962962962963" style="7" customWidth="1"/>
    <col min="77" max="77" width="1" style="7" customWidth="1"/>
    <col min="78" max="78" width="2.12962962962963" style="7" customWidth="1"/>
    <col min="79" max="79" width="1.5" style="7" customWidth="1"/>
    <col min="80" max="83" width="0.75" style="7" customWidth="1"/>
    <col min="84" max="84" width="1.37962962962963" style="7" customWidth="1"/>
    <col min="85" max="85" width="1.62962962962963" style="7" customWidth="1"/>
    <col min="86" max="86" width="2" style="7" customWidth="1"/>
    <col min="87" max="87" width="2.25" style="7" customWidth="1"/>
    <col min="88" max="88" width="1.25" style="7" customWidth="1"/>
    <col min="89" max="89" width="2.5" style="7" customWidth="1"/>
    <col min="90" max="90" width="1.37962962962963" style="7" customWidth="1"/>
    <col min="91" max="91" width="0.75" style="7" customWidth="1"/>
    <col min="92" max="94" width="1.12962962962963" style="7" customWidth="1"/>
    <col min="95" max="95" width="3.12962962962963" style="7" customWidth="1"/>
    <col min="96" max="96" width="0.75" style="7" customWidth="1"/>
    <col min="97" max="97" width="11.25" style="7" customWidth="1"/>
    <col min="98" max="98" width="6" style="7" customWidth="1"/>
    <col min="99" max="16384" width="9" style="7"/>
  </cols>
  <sheetData>
    <row r="2" s="1" customFormat="1" ht="14.45" customHeight="1" spans="2:97">
      <c r="B2" s="399" t="s">
        <v>1649</v>
      </c>
      <c r="C2" s="399" t="s">
        <v>1650</v>
      </c>
      <c r="D2" s="399" t="s">
        <v>1651</v>
      </c>
      <c r="E2" s="399"/>
      <c r="F2" s="399"/>
      <c r="G2" s="399" t="s">
        <v>1652</v>
      </c>
      <c r="H2" s="399"/>
      <c r="I2" s="399" t="s">
        <v>1653</v>
      </c>
      <c r="J2" s="399"/>
      <c r="K2" s="399"/>
      <c r="L2" s="399"/>
      <c r="M2" s="399"/>
      <c r="N2" s="399" t="s">
        <v>1654</v>
      </c>
      <c r="O2" s="399"/>
      <c r="P2" s="399"/>
      <c r="Q2" s="399"/>
      <c r="R2" s="399" t="s">
        <v>1655</v>
      </c>
      <c r="S2" s="399"/>
      <c r="T2" s="399" t="s">
        <v>1656</v>
      </c>
      <c r="U2" s="399"/>
      <c r="V2" s="399"/>
      <c r="W2" s="399" t="s">
        <v>1657</v>
      </c>
      <c r="X2" s="399"/>
      <c r="Y2" s="399"/>
      <c r="Z2" s="399" t="s">
        <v>1658</v>
      </c>
      <c r="AA2" s="399"/>
      <c r="AB2" s="399"/>
      <c r="AC2" s="399" t="s">
        <v>1659</v>
      </c>
      <c r="AD2" s="399"/>
      <c r="AE2" s="399"/>
      <c r="AF2" s="399"/>
      <c r="AG2" s="399" t="s">
        <v>1660</v>
      </c>
      <c r="AH2" s="399"/>
      <c r="AI2" s="399"/>
      <c r="AJ2" s="399"/>
      <c r="AK2" s="399"/>
      <c r="AL2" s="399" t="s">
        <v>1661</v>
      </c>
      <c r="AM2" s="399"/>
      <c r="AN2" s="399"/>
      <c r="AO2" s="399" t="s">
        <v>1662</v>
      </c>
      <c r="AP2" s="399"/>
      <c r="AQ2" s="399"/>
      <c r="AR2" s="399" t="s">
        <v>1663</v>
      </c>
      <c r="AS2" s="399"/>
      <c r="AT2" s="399"/>
      <c r="AV2" s="2"/>
      <c r="AW2" s="399" t="s">
        <v>1664</v>
      </c>
      <c r="AX2" s="399"/>
      <c r="AY2" s="399"/>
      <c r="AZ2" s="399"/>
      <c r="BA2" s="399" t="s">
        <v>1665</v>
      </c>
      <c r="BB2" s="399"/>
      <c r="BC2" s="399"/>
      <c r="BD2" s="399" t="s">
        <v>1666</v>
      </c>
      <c r="BE2" s="399"/>
      <c r="BF2" s="399"/>
      <c r="BG2" s="399" t="s">
        <v>1667</v>
      </c>
      <c r="BH2" s="399"/>
      <c r="BI2" s="399"/>
      <c r="BJ2" s="399" t="s">
        <v>1668</v>
      </c>
      <c r="BK2" s="399"/>
      <c r="BL2" s="399"/>
      <c r="BM2" s="433" t="s">
        <v>1669</v>
      </c>
      <c r="BN2" s="434"/>
      <c r="BO2" s="434"/>
      <c r="BP2" s="434"/>
      <c r="BQ2" s="434"/>
      <c r="BR2" s="434"/>
      <c r="BS2" s="435"/>
      <c r="BT2" s="399" t="s">
        <v>1670</v>
      </c>
      <c r="BU2" s="399"/>
      <c r="BV2" s="399"/>
      <c r="BW2" s="399"/>
      <c r="BX2" s="399"/>
      <c r="BY2" s="399"/>
      <c r="BZ2" s="408" t="s">
        <v>1688</v>
      </c>
      <c r="CA2" s="408"/>
      <c r="CB2" s="408"/>
      <c r="CC2" s="408"/>
      <c r="CD2" s="408"/>
      <c r="CE2" s="408"/>
      <c r="CF2" s="408"/>
      <c r="CG2" s="408"/>
      <c r="CH2" s="408" t="s">
        <v>1671</v>
      </c>
      <c r="CI2" s="408"/>
      <c r="CJ2" s="408"/>
      <c r="CK2" s="408"/>
      <c r="CL2" s="408"/>
      <c r="CM2" s="408"/>
      <c r="CN2" s="408"/>
      <c r="CO2" s="408"/>
      <c r="CP2" s="408"/>
      <c r="CQ2" s="408"/>
      <c r="CR2" s="408"/>
      <c r="CS2" s="454" t="s">
        <v>1649</v>
      </c>
    </row>
    <row r="3" s="1" customFormat="1" ht="14.45" customHeight="1" spans="2:97"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399"/>
      <c r="AP3" s="399"/>
      <c r="AQ3" s="399"/>
      <c r="AR3" s="399"/>
      <c r="AS3" s="399"/>
      <c r="AT3" s="399"/>
      <c r="AV3" s="2"/>
      <c r="AW3" s="399"/>
      <c r="AX3" s="399"/>
      <c r="AY3" s="399"/>
      <c r="AZ3" s="399"/>
      <c r="BA3" s="399"/>
      <c r="BB3" s="399"/>
      <c r="BC3" s="399"/>
      <c r="BD3" s="399"/>
      <c r="BE3" s="399"/>
      <c r="BF3" s="399"/>
      <c r="BG3" s="399"/>
      <c r="BH3" s="399"/>
      <c r="BI3" s="399"/>
      <c r="BJ3" s="399"/>
      <c r="BK3" s="399"/>
      <c r="BL3" s="399"/>
      <c r="BM3" s="436" t="s">
        <v>1672</v>
      </c>
      <c r="BN3" s="436"/>
      <c r="BO3" s="436"/>
      <c r="BP3" s="436" t="s">
        <v>1673</v>
      </c>
      <c r="BQ3" s="436"/>
      <c r="BR3" s="436"/>
      <c r="BS3" s="436"/>
      <c r="BT3" s="436" t="s">
        <v>1676</v>
      </c>
      <c r="BU3" s="436"/>
      <c r="BV3" s="436"/>
      <c r="BW3" s="436" t="s">
        <v>1677</v>
      </c>
      <c r="BX3" s="436"/>
      <c r="BY3" s="436"/>
      <c r="BZ3" s="408"/>
      <c r="CA3" s="408"/>
      <c r="CB3" s="408"/>
      <c r="CC3" s="408"/>
      <c r="CD3" s="408"/>
      <c r="CE3" s="408"/>
      <c r="CF3" s="408"/>
      <c r="CG3" s="408"/>
      <c r="CH3" s="408"/>
      <c r="CI3" s="408"/>
      <c r="CJ3" s="408"/>
      <c r="CK3" s="408"/>
      <c r="CL3" s="408"/>
      <c r="CM3" s="408"/>
      <c r="CN3" s="408"/>
      <c r="CO3" s="408"/>
      <c r="CP3" s="408"/>
      <c r="CQ3" s="408"/>
      <c r="CR3" s="408"/>
      <c r="CS3" s="454"/>
    </row>
    <row r="4" s="2" customFormat="1" ht="14.45" customHeight="1" spans="2:102">
      <c r="B4" s="399"/>
      <c r="C4" s="399"/>
      <c r="D4" s="399">
        <v>587.56</v>
      </c>
      <c r="E4" s="399"/>
      <c r="F4" s="399"/>
      <c r="G4" s="399"/>
      <c r="H4" s="399"/>
      <c r="I4" s="399"/>
      <c r="J4" s="399"/>
      <c r="K4" s="399"/>
      <c r="L4" s="399"/>
      <c r="M4" s="399"/>
      <c r="N4" s="399">
        <v>546.07</v>
      </c>
      <c r="O4" s="399"/>
      <c r="P4" s="399"/>
      <c r="Q4" s="399"/>
      <c r="R4" s="399"/>
      <c r="S4" s="399"/>
      <c r="T4" s="399"/>
      <c r="U4" s="399"/>
      <c r="V4" s="399"/>
      <c r="W4" s="414">
        <v>1013.98</v>
      </c>
      <c r="X4" s="414"/>
      <c r="Y4" s="414"/>
      <c r="Z4" s="399">
        <v>852.11</v>
      </c>
      <c r="AA4" s="399"/>
      <c r="AB4" s="399"/>
      <c r="AC4" s="399">
        <v>768.19</v>
      </c>
      <c r="AD4" s="399"/>
      <c r="AE4" s="399"/>
      <c r="AF4" s="399"/>
      <c r="AG4" s="399">
        <v>706.52</v>
      </c>
      <c r="AH4" s="399"/>
      <c r="AI4" s="399"/>
      <c r="AJ4" s="399"/>
      <c r="AK4" s="399"/>
      <c r="AL4" s="399">
        <v>656.27</v>
      </c>
      <c r="AM4" s="399"/>
      <c r="AN4" s="399"/>
      <c r="AO4" s="399">
        <v>643.85</v>
      </c>
      <c r="AP4" s="399"/>
      <c r="AQ4" s="399"/>
      <c r="AR4" s="414">
        <v>632.8</v>
      </c>
      <c r="AS4" s="414"/>
      <c r="AT4" s="414"/>
      <c r="AU4" s="1"/>
      <c r="AW4" s="399">
        <v>486.13</v>
      </c>
      <c r="AX4" s="399"/>
      <c r="AY4" s="399"/>
      <c r="AZ4" s="399"/>
      <c r="BA4" s="399">
        <v>479.99</v>
      </c>
      <c r="BB4" s="399"/>
      <c r="BC4" s="399"/>
      <c r="BD4" s="399">
        <v>435.84</v>
      </c>
      <c r="BE4" s="399"/>
      <c r="BF4" s="399"/>
      <c r="BG4" s="399">
        <v>404.56</v>
      </c>
      <c r="BH4" s="399"/>
      <c r="BI4" s="399"/>
      <c r="BJ4" s="399">
        <v>365.01</v>
      </c>
      <c r="BK4" s="399"/>
      <c r="BL4" s="399"/>
      <c r="BM4" s="436"/>
      <c r="BN4" s="436"/>
      <c r="BO4" s="436"/>
      <c r="BP4" s="436"/>
      <c r="BQ4" s="436"/>
      <c r="BR4" s="436"/>
      <c r="BS4" s="436"/>
      <c r="BT4" s="436"/>
      <c r="BU4" s="436"/>
      <c r="BV4" s="436"/>
      <c r="BW4" s="436"/>
      <c r="BX4" s="436"/>
      <c r="BY4" s="436"/>
      <c r="BZ4" s="440" t="s">
        <v>1706</v>
      </c>
      <c r="CA4" s="440"/>
      <c r="CB4" s="440"/>
      <c r="CC4" s="440" t="s">
        <v>1707</v>
      </c>
      <c r="CD4" s="440"/>
      <c r="CE4" s="440"/>
      <c r="CF4" s="440"/>
      <c r="CG4" s="440"/>
      <c r="CH4" s="446" t="s">
        <v>1678</v>
      </c>
      <c r="CI4" s="446"/>
      <c r="CJ4" s="446"/>
      <c r="CK4" s="452" t="s">
        <v>1679</v>
      </c>
      <c r="CL4" s="452"/>
      <c r="CM4" s="452"/>
      <c r="CN4" s="452"/>
      <c r="CO4" s="452" t="s">
        <v>1680</v>
      </c>
      <c r="CP4" s="452"/>
      <c r="CQ4" s="452"/>
      <c r="CR4" s="452"/>
      <c r="CS4" s="454"/>
      <c r="CT4" s="1"/>
      <c r="CU4" s="1"/>
      <c r="CV4" s="1"/>
      <c r="CW4" s="1"/>
      <c r="CX4" s="1"/>
    </row>
    <row r="5" s="3" customFormat="1" ht="14.45" customHeight="1" spans="2:102">
      <c r="B5" s="400" t="s">
        <v>1447</v>
      </c>
      <c r="C5" s="18">
        <f>IF(VLOOKUP($B5,'NHG''s optical glass 202608'!$C$7:$GO$213,2,FALSE)="","",VLOOKUP($B5,'NHG''s optical glass 202608'!$C$7:$GO$213,2,FALSE))</f>
        <v>774494</v>
      </c>
      <c r="D5" s="401">
        <f>IF(VLOOKUP($B5,'NHG''s optical glass 202608'!$C$7:$GO$213,20,FALSE)="","",VLOOKUP($B5,'NHG''s optical glass 202608'!$C$7:$GO$213,20,FALSE))</f>
        <v>1.7742</v>
      </c>
      <c r="E5" s="401"/>
      <c r="F5" s="401"/>
      <c r="G5" s="18">
        <f>IF(VLOOKUP($B5,'NHG''s optical glass 202608'!$C$7:$GO$213,3,FALSE)="","",VLOOKUP($B5,'NHG''s optical glass 202608'!$C$7:$GO$213,3,FALSE))</f>
        <v>49.41</v>
      </c>
      <c r="H5" s="18"/>
      <c r="I5" s="410">
        <f>IF(VLOOKUP($B5,'NHG''s optical glass 202608'!$C$7:$GO$213,5,FALSE)="","",VLOOKUP($B5,'NHG''s optical glass 202608'!$C$7:$GO$213,5,FALSE))</f>
        <v>0.01567</v>
      </c>
      <c r="J5" s="410"/>
      <c r="K5" s="410"/>
      <c r="L5" s="410"/>
      <c r="M5" s="410"/>
      <c r="N5" s="401">
        <f>IF(VLOOKUP($B5,'NHG''s optical glass 202608'!$C$7:$GO$213,21,FALSE)="","",VLOOKUP($B5,'NHG''s optical glass 202608'!$C$7:$GO$213,21,FALSE))</f>
        <v>1.77793</v>
      </c>
      <c r="O5" s="401"/>
      <c r="P5" s="401"/>
      <c r="Q5" s="401"/>
      <c r="R5" s="122">
        <f>IF(VLOOKUP($B5,'NHG''s optical glass 202608'!$C$7:$GO$213,4,FALSE)="","",VLOOKUP($B5,'NHG''s optical glass 202608'!$C$7:$GO$213,4,FALSE))</f>
        <v>49.17</v>
      </c>
      <c r="S5" s="122"/>
      <c r="T5" s="410">
        <f>IF(VLOOKUP($B5,'NHG''s optical glass 202608'!$C$7:$GO$213,6,FALSE)="","",VLOOKUP($B5,'NHG''s optical glass 202608'!$C$7:$GO$213,6,FALSE))</f>
        <v>0.01582</v>
      </c>
      <c r="U5" s="410"/>
      <c r="V5" s="410"/>
      <c r="W5" s="401">
        <f>IF(VLOOKUP($B5,'NHG''s optical glass 202608'!$C$7:$GO$213,12,FALSE)="","",VLOOKUP($B5,'NHG''s optical glass 202608'!$C$7:$GO$213,12,FALSE))</f>
        <v>1.75714</v>
      </c>
      <c r="X5" s="401"/>
      <c r="Y5" s="401"/>
      <c r="Z5" s="401">
        <f>IF(VLOOKUP($B5,'NHG''s optical glass 202608'!$C$7:$GO$213,13,FALSE)="","",VLOOKUP($B5,'NHG''s optical glass 202608'!$C$7:$GO$213,13,FALSE))</f>
        <v>1.76129</v>
      </c>
      <c r="AA5" s="401"/>
      <c r="AB5" s="401"/>
      <c r="AC5" s="401">
        <f>IF(VLOOKUP($B5,'NHG''s optical glass 202608'!$C$7:$GO$213,14,FALSE)="","",VLOOKUP($B5,'NHG''s optical glass 202608'!$C$7:$GO$213,14,FALSE))</f>
        <v>1.76416</v>
      </c>
      <c r="AD5" s="401"/>
      <c r="AE5" s="401"/>
      <c r="AF5" s="401"/>
      <c r="AG5" s="401">
        <f>IF(VLOOKUP($B5,'NHG''s optical glass 202608'!$C$7:$GO$213,15,FALSE)="","",VLOOKUP($B5,'NHG''s optical glass 202608'!$C$7:$GO$213,15,FALSE))</f>
        <v>1.76681</v>
      </c>
      <c r="AH5" s="401"/>
      <c r="AI5" s="401"/>
      <c r="AJ5" s="401"/>
      <c r="AK5" s="401"/>
      <c r="AL5" s="401">
        <f>IF(VLOOKUP($B5,'NHG''s optical glass 202608'!$C$7:$GO$213,16,FALSE)="","",VLOOKUP($B5,'NHG''s optical glass 202608'!$C$7:$GO$213,16,FALSE))</f>
        <v>1.76947</v>
      </c>
      <c r="AM5" s="401"/>
      <c r="AN5" s="401"/>
      <c r="AO5" s="401">
        <f>IF(VLOOKUP($B5,'NHG''s optical glass 202608'!$C$7:$GO$213,17,FALSE)="","",VLOOKUP($B5,'NHG''s optical glass 202608'!$C$7:$GO$213,17,FALSE))</f>
        <v>1.77022</v>
      </c>
      <c r="AP5" s="401"/>
      <c r="AQ5" s="401"/>
      <c r="AR5" s="401">
        <f>IF(VLOOKUP($B5,'NHG''s optical glass 202608'!$C$7:$GO$213,18,FALSE)="","",VLOOKUP($B5,'NHG''s optical glass 202608'!$C$7:$GO$213,18,FALSE))</f>
        <v>1.77092</v>
      </c>
      <c r="AS5" s="401"/>
      <c r="AT5" s="401"/>
      <c r="AU5" s="1"/>
      <c r="AV5" s="2"/>
      <c r="AW5" s="401">
        <f>IF(VLOOKUP($B5,'NHG''s optical glass 202608'!$C$7:$GO$213,22,FALSE)="","",VLOOKUP($B5,'NHG''s optical glass 202608'!$C$7:$GO$213,22,FALSE))</f>
        <v>1.78514</v>
      </c>
      <c r="AX5" s="401"/>
      <c r="AY5" s="401"/>
      <c r="AZ5" s="401"/>
      <c r="BA5" s="401">
        <f>IF(VLOOKUP($B5,'NHG''s optical glass 202608'!$C$7:$GO$213,23,FALSE)="","",VLOOKUP($B5,'NHG''s optical glass 202608'!$C$7:$GO$213,23,FALSE))</f>
        <v>1.78604</v>
      </c>
      <c r="BB5" s="401"/>
      <c r="BC5" s="401"/>
      <c r="BD5" s="401">
        <f>IF(VLOOKUP($B5,'NHG''s optical glass 202608'!$C$7:$GO$213,24,FALSE)="","",VLOOKUP($B5,'NHG''s optical glass 202608'!$C$7:$GO$213,24,FALSE))</f>
        <v>1.79377</v>
      </c>
      <c r="BE5" s="401"/>
      <c r="BF5" s="401"/>
      <c r="BG5" s="401">
        <f>IF(VLOOKUP($B5,'NHG''s optical glass 202608'!$C$7:$GO$213,25,FALSE)="","",VLOOKUP($B5,'NHG''s optical glass 202608'!$C$7:$GO$213,25,FALSE))</f>
        <v>1.80098</v>
      </c>
      <c r="BH5" s="401"/>
      <c r="BI5" s="401"/>
      <c r="BJ5" s="401">
        <f>IF(VLOOKUP($B5,'NHG''s optical glass 202608'!$C$7:$GO$213,26,FALSE)="","",VLOOKUP($B5,'NHG''s optical glass 202608'!$C$7:$GO$213,26,FALSE))</f>
        <v>1.81346</v>
      </c>
      <c r="BK5" s="401"/>
      <c r="BL5" s="401"/>
      <c r="BM5" s="437">
        <f>IF(VLOOKUP($B5,'NHG''s optical glass 202608'!$C$7:$GO$213,33,FALSE)="","",VLOOKUP($B5,'NHG''s optical glass 202608'!$C$7:$GO$213,33,FALSE))</f>
        <v>0.3019</v>
      </c>
      <c r="BN5" s="437"/>
      <c r="BO5" s="437"/>
      <c r="BP5" s="437">
        <f>IF(VLOOKUP($B5,'NHG''s optical glass 202608'!$C$7:$GO$213,35,FALSE)="","",VLOOKUP($B5,'NHG''s optical glass 202608'!$C$7:$GO$213,35,FALSE))</f>
        <v>0.5507</v>
      </c>
      <c r="BQ5" s="437"/>
      <c r="BR5" s="437"/>
      <c r="BS5" s="437"/>
      <c r="BT5" s="437">
        <f>IF(VLOOKUP($B5,'NHG''s optical glass 202608'!$C$7:$GO$213,40,FALSE)="","",VLOOKUP($B5,'NHG''s optical glass 202608'!$C$7:$GO$213,40,FALSE))</f>
        <v>-0.0108</v>
      </c>
      <c r="BU5" s="437"/>
      <c r="BV5" s="437"/>
      <c r="BW5" s="437">
        <f>IF(VLOOKUP($B5,'NHG''s optical glass 202608'!$C$7:$GO$213,41,FALSE)="","",VLOOKUP($B5,'NHG''s optical glass 202608'!$C$7:$GO$213,41,FALSE))</f>
        <v>0.0073</v>
      </c>
      <c r="BX5" s="437"/>
      <c r="BY5" s="437"/>
      <c r="BZ5" s="181">
        <f>IF(VLOOKUP($B14,'NHG''s optical glass 202608'!$C$7:$KZ$213,186,FALSE)="","",VLOOKUP($B14,'NHG''s optical glass 202608'!$C$7:$KZ$213,186,FALSE))</f>
        <v>60</v>
      </c>
      <c r="CA5" s="181"/>
      <c r="CB5" s="181"/>
      <c r="CC5" s="181">
        <f>IF(VLOOKUP($B14,'NHG''s optical glass 202608'!$C$7:$KZ$213,187,FALSE)="","",VLOOKUP($B14,'NHG''s optical glass 202608'!$C$7:$KZ$213,187,FALSE))</f>
        <v>76</v>
      </c>
      <c r="CD5" s="181"/>
      <c r="CE5" s="181"/>
      <c r="CF5" s="181"/>
      <c r="CG5" s="181"/>
      <c r="CH5" s="447">
        <f>IF(VLOOKUP($B5,'NHG''s optical glass 202608'!$C$7:$GO$213,99,FALSE)="","",VLOOKUP($B5,'NHG''s optical glass 202608'!$C$7:$GO$213,99,FALSE))</f>
        <v>3.3</v>
      </c>
      <c r="CI5" s="447"/>
      <c r="CJ5" s="447"/>
      <c r="CK5" s="447">
        <f>IF(VLOOKUP($B5,'NHG''s optical glass 202608'!$C$7:$GO$213,102,FALSE)="","",VLOOKUP($B5,'NHG''s optical glass 202608'!$C$7:$GO$213,102,FALSE))</f>
        <v>3.9</v>
      </c>
      <c r="CL5" s="447"/>
      <c r="CM5" s="447"/>
      <c r="CN5" s="447"/>
      <c r="CO5" s="447">
        <f>IF(VLOOKUP($B5,'NHG''s optical glass 202608'!$C$7:$GO$213,105,FALSE)="","",VLOOKUP($B5,'NHG''s optical glass 202608'!$C$7:$GO$213,105,FALSE))</f>
        <v>4.4</v>
      </c>
      <c r="CP5" s="447"/>
      <c r="CQ5" s="447"/>
      <c r="CR5" s="447"/>
      <c r="CS5" s="400" t="str">
        <f t="shared" ref="CS5:CS10" si="0">B5</f>
        <v>D-LaF50-170</v>
      </c>
      <c r="CT5" s="1"/>
      <c r="CU5" s="1"/>
      <c r="CV5" s="1"/>
      <c r="CW5" s="1"/>
      <c r="CX5" s="1"/>
    </row>
    <row r="6" s="231" customFormat="1" ht="14.45" customHeight="1" spans="2:102">
      <c r="B6" s="402" t="s">
        <v>1453</v>
      </c>
      <c r="C6" s="403">
        <f>IF(VLOOKUP($B6,'NHG''s optical glass 202608'!$C$7:$GO$213,2,FALSE)="","",VLOOKUP($B6,'NHG''s optical glass 202608'!$C$7:$GO$213,2,FALSE))</f>
        <v>731405</v>
      </c>
      <c r="D6" s="404">
        <f>IF(VLOOKUP($B6,'NHG''s optical glass 202608'!$C$7:$GO$213,20,FALSE)="","",VLOOKUP($B6,'NHG''s optical glass 202608'!$C$7:$GO$213,20,FALSE))</f>
        <v>1.73077</v>
      </c>
      <c r="E6" s="404"/>
      <c r="F6" s="404"/>
      <c r="G6" s="403">
        <f>IF(VLOOKUP($B6,'NHG''s optical glass 202608'!$C$7:$GO$213,3,FALSE)="","",VLOOKUP($B6,'NHG''s optical glass 202608'!$C$7:$GO$213,3,FALSE))</f>
        <v>40.5</v>
      </c>
      <c r="H6" s="403"/>
      <c r="I6" s="411">
        <f>IF(VLOOKUP($B6,'NHG''s optical glass 202608'!$C$7:$GO$213,5,FALSE)="","",VLOOKUP($B6,'NHG''s optical glass 202608'!$C$7:$GO$213,5,FALSE))</f>
        <v>0.018043</v>
      </c>
      <c r="J6" s="411"/>
      <c r="K6" s="411"/>
      <c r="L6" s="411"/>
      <c r="M6" s="411"/>
      <c r="N6" s="404">
        <f>IF(VLOOKUP($B6,'NHG''s optical glass 202608'!$C$7:$GO$213,21,FALSE)="","",VLOOKUP($B6,'NHG''s optical glass 202608'!$C$7:$GO$213,21,FALSE))</f>
        <v>1.73505</v>
      </c>
      <c r="O6" s="404"/>
      <c r="P6" s="404"/>
      <c r="Q6" s="404"/>
      <c r="R6" s="415">
        <f>IF(VLOOKUP($B6,'NHG''s optical glass 202608'!$C$7:$GO$213,4,FALSE)="","",VLOOKUP($B6,'NHG''s optical glass 202608'!$C$7:$GO$213,4,FALSE))</f>
        <v>40.25</v>
      </c>
      <c r="S6" s="415"/>
      <c r="T6" s="411">
        <f>IF(VLOOKUP($B6,'NHG''s optical glass 202608'!$C$7:$GO$213,6,FALSE)="","",VLOOKUP($B6,'NHG''s optical glass 202608'!$C$7:$GO$213,6,FALSE))</f>
        <v>0.018263</v>
      </c>
      <c r="U6" s="411"/>
      <c r="V6" s="411"/>
      <c r="W6" s="404">
        <f>IF(VLOOKUP($B6,'NHG''s optical glass 202608'!$C$7:$GO$213,12,FALSE)="","",VLOOKUP($B6,'NHG''s optical glass 202608'!$C$7:$GO$213,12,FALSE))</f>
        <v>1.71191</v>
      </c>
      <c r="X6" s="404"/>
      <c r="Y6" s="404"/>
      <c r="Z6" s="404">
        <f>IF(VLOOKUP($B6,'NHG''s optical glass 202608'!$C$7:$GO$213,13,FALSE)="","",VLOOKUP($B6,'NHG''s optical glass 202608'!$C$7:$GO$213,13,FALSE))</f>
        <v>1.71635</v>
      </c>
      <c r="AA6" s="404"/>
      <c r="AB6" s="404"/>
      <c r="AC6" s="404">
        <f>IF(VLOOKUP($B6,'NHG''s optical glass 202608'!$C$7:$GO$213,14,FALSE)="","",VLOOKUP($B6,'NHG''s optical glass 202608'!$C$7:$GO$213,14,FALSE))</f>
        <v>1.71949</v>
      </c>
      <c r="AD6" s="404"/>
      <c r="AE6" s="404"/>
      <c r="AF6" s="404"/>
      <c r="AG6" s="404">
        <f>IF(VLOOKUP($B6,'NHG''s optical glass 202608'!$C$7:$GO$213,15,FALSE)="","",VLOOKUP($B6,'NHG''s optical glass 202608'!$C$7:$GO$213,15,FALSE))</f>
        <v>1.72243</v>
      </c>
      <c r="AH6" s="404"/>
      <c r="AI6" s="404"/>
      <c r="AJ6" s="404"/>
      <c r="AK6" s="404"/>
      <c r="AL6" s="404">
        <f>IF(VLOOKUP($B6,'NHG''s optical glass 202608'!$C$7:$GO$213,16,FALSE)="","",VLOOKUP($B6,'NHG''s optical glass 202608'!$C$7:$GO$213,16,FALSE))</f>
        <v>1.72541</v>
      </c>
      <c r="AM6" s="404"/>
      <c r="AN6" s="404"/>
      <c r="AO6" s="404">
        <f>IF(VLOOKUP($B6,'NHG''s optical glass 202608'!$C$7:$GO$213,17,FALSE)="","",VLOOKUP($B6,'NHG''s optical glass 202608'!$C$7:$GO$213,17,FALSE))</f>
        <v>1.72625</v>
      </c>
      <c r="AP6" s="404"/>
      <c r="AQ6" s="404"/>
      <c r="AR6" s="404">
        <f>IF(VLOOKUP($B6,'NHG''s optical glass 202608'!$C$7:$GO$213,18,FALSE)="","",VLOOKUP($B6,'NHG''s optical glass 202608'!$C$7:$GO$213,18,FALSE))</f>
        <v>1.72705</v>
      </c>
      <c r="AS6" s="404"/>
      <c r="AT6" s="404"/>
      <c r="AU6" s="233"/>
      <c r="AV6" s="232"/>
      <c r="AW6" s="404">
        <f>IF(VLOOKUP($B6,'NHG''s optical glass 202608'!$C$7:$GO$213,22,FALSE)="","",VLOOKUP($B6,'NHG''s optical glass 202608'!$C$7:$GO$213,22,FALSE))</f>
        <v>1.74345</v>
      </c>
      <c r="AX6" s="404"/>
      <c r="AY6" s="404"/>
      <c r="AZ6" s="404"/>
      <c r="BA6" s="404">
        <f>IF(VLOOKUP($B6,'NHG''s optical glass 202608'!$C$7:$GO$213,23,FALSE)="","",VLOOKUP($B6,'NHG''s optical glass 202608'!$C$7:$GO$213,23,FALSE))</f>
        <v>1.74452</v>
      </c>
      <c r="BB6" s="404"/>
      <c r="BC6" s="404"/>
      <c r="BD6" s="404">
        <f>IF(VLOOKUP($B6,'NHG''s optical glass 202608'!$C$7:$GO$213,24,FALSE)="","",VLOOKUP($B6,'NHG''s optical glass 202608'!$C$7:$GO$213,24,FALSE))</f>
        <v>1.75376</v>
      </c>
      <c r="BE6" s="404"/>
      <c r="BF6" s="404"/>
      <c r="BG6" s="404">
        <f>IF(VLOOKUP($B6,'NHG''s optical glass 202608'!$C$7:$GO$213,25,FALSE)="","",VLOOKUP($B6,'NHG''s optical glass 202608'!$C$7:$GO$213,25,FALSE))</f>
        <v>1.7626</v>
      </c>
      <c r="BH6" s="404"/>
      <c r="BI6" s="404"/>
      <c r="BJ6" s="404">
        <f>IF(VLOOKUP($B6,'NHG''s optical glass 202608'!$C$7:$GO$213,26,FALSE)="","",VLOOKUP($B6,'NHG''s optical glass 202608'!$C$7:$GO$213,26,FALSE))</f>
        <v>1.77835</v>
      </c>
      <c r="BK6" s="404"/>
      <c r="BL6" s="404"/>
      <c r="BM6" s="438">
        <f>IF(VLOOKUP($B6,'NHG''s optical glass 202608'!$C$7:$GO$213,33,FALSE)="","",VLOOKUP($B6,'NHG''s optical glass 202608'!$C$7:$GO$213,33,FALSE))</f>
        <v>0.2971</v>
      </c>
      <c r="BN6" s="438"/>
      <c r="BO6" s="438"/>
      <c r="BP6" s="438">
        <f>IF(VLOOKUP($B6,'NHG''s optical glass 202608'!$C$7:$GO$213,35,FALSE)="","",VLOOKUP($B6,'NHG''s optical glass 202608'!$C$7:$GO$213,35,FALSE))</f>
        <v>0.5714</v>
      </c>
      <c r="BQ6" s="438"/>
      <c r="BR6" s="438"/>
      <c r="BS6" s="438"/>
      <c r="BT6" s="438">
        <f>IF(VLOOKUP($B6,'NHG''s optical glass 202608'!$C$7:$GO$213,40,FALSE)="","",VLOOKUP($B6,'NHG''s optical glass 202608'!$C$7:$GO$213,40,FALSE))</f>
        <v>-0.0049</v>
      </c>
      <c r="BU6" s="438"/>
      <c r="BV6" s="438"/>
      <c r="BW6" s="438">
        <f>IF(VLOOKUP($B6,'NHG''s optical glass 202608'!$C$7:$GO$213,41,FALSE)="","",VLOOKUP($B6,'NHG''s optical glass 202608'!$C$7:$GO$213,41,FALSE))</f>
        <v>0.0118</v>
      </c>
      <c r="BX6" s="438"/>
      <c r="BY6" s="438"/>
      <c r="BZ6" s="441">
        <f>IF(VLOOKUP($B15,'NHG''s optical glass 202608'!$C$7:$KZ$213,186,FALSE)="","",VLOOKUP($B15,'NHG''s optical glass 202608'!$C$7:$KZ$213,186,FALSE))</f>
        <v>95</v>
      </c>
      <c r="CA6" s="441"/>
      <c r="CB6" s="441"/>
      <c r="CC6" s="441">
        <f>IF(VLOOKUP($B15,'NHG''s optical glass 202608'!$C$7:$KZ$213,187,FALSE)="","",VLOOKUP($B15,'NHG''s optical glass 202608'!$C$7:$KZ$213,187,FALSE))</f>
        <v>112</v>
      </c>
      <c r="CD6" s="441"/>
      <c r="CE6" s="441"/>
      <c r="CF6" s="441"/>
      <c r="CG6" s="441"/>
      <c r="CH6" s="448">
        <f>IF(VLOOKUP($B6,'NHG''s optical glass 202608'!$C$7:$GO$213,99,FALSE)="","",VLOOKUP($B6,'NHG''s optical glass 202608'!$C$7:$GO$213,99,FALSE))</f>
        <v>2.7</v>
      </c>
      <c r="CI6" s="448"/>
      <c r="CJ6" s="448"/>
      <c r="CK6" s="448">
        <f>IF(VLOOKUP($B6,'NHG''s optical glass 202608'!$C$7:$GO$213,102,FALSE)="","",VLOOKUP($B6,'NHG''s optical glass 202608'!$C$7:$GO$213,102,FALSE))</f>
        <v>3.2</v>
      </c>
      <c r="CL6" s="448"/>
      <c r="CM6" s="448"/>
      <c r="CN6" s="448"/>
      <c r="CO6" s="448">
        <f>IF(VLOOKUP($B6,'NHG''s optical glass 202608'!$C$7:$GO$213,105,FALSE)="","",VLOOKUP($B6,'NHG''s optical glass 202608'!$C$7:$GO$213,105,FALSE))</f>
        <v>3.6</v>
      </c>
      <c r="CP6" s="448"/>
      <c r="CQ6" s="448"/>
      <c r="CR6" s="448"/>
      <c r="CS6" s="407" t="str">
        <f t="shared" si="0"/>
        <v>D-LaF731</v>
      </c>
      <c r="CT6" s="233"/>
      <c r="CU6" s="233"/>
      <c r="CV6" s="233"/>
      <c r="CW6" s="233"/>
      <c r="CX6" s="233"/>
    </row>
    <row r="7" s="231" customFormat="1" ht="14.45" customHeight="1" spans="2:102">
      <c r="B7" s="405" t="s">
        <v>1460</v>
      </c>
      <c r="C7" s="234">
        <f>IF(VLOOKUP($B7,'NHG''s optical glass 202608'!$C$7:$GO$213,2,FALSE)="","",VLOOKUP($B7,'NHG''s optical glass 202608'!$C$7:$GO$213,2,FALSE))</f>
        <v>743493</v>
      </c>
      <c r="D7" s="406">
        <f>IF(VLOOKUP($B7,'NHG''s optical glass 202608'!$C$7:$GO$213,20,FALSE)="","",VLOOKUP($B7,'NHG''s optical glass 202608'!$C$7:$GO$213,20,FALSE))</f>
        <v>1.7433</v>
      </c>
      <c r="E7" s="406"/>
      <c r="F7" s="406"/>
      <c r="G7" s="234">
        <f>IF(VLOOKUP($B7,'NHG''s optical glass 202608'!$C$7:$GO$213,3,FALSE)="","",VLOOKUP($B7,'NHG''s optical glass 202608'!$C$7:$GO$213,3,FALSE))</f>
        <v>49.33</v>
      </c>
      <c r="H7" s="234"/>
      <c r="I7" s="412">
        <f>IF(VLOOKUP($B7,'NHG''s optical glass 202608'!$C$7:$GO$213,5,FALSE)="","",VLOOKUP($B7,'NHG''s optical glass 202608'!$C$7:$GO$213,5,FALSE))</f>
        <v>0.015069</v>
      </c>
      <c r="J7" s="412"/>
      <c r="K7" s="412"/>
      <c r="L7" s="412"/>
      <c r="M7" s="412"/>
      <c r="N7" s="406">
        <f>IF(VLOOKUP($B7,'NHG''s optical glass 202608'!$C$7:$GO$213,21,FALSE)="","",VLOOKUP($B7,'NHG''s optical glass 202608'!$C$7:$GO$213,21,FALSE))</f>
        <v>1.74689</v>
      </c>
      <c r="O7" s="406"/>
      <c r="P7" s="406"/>
      <c r="Q7" s="406"/>
      <c r="R7" s="416">
        <f>IF(VLOOKUP($B7,'NHG''s optical glass 202608'!$C$7:$GO$213,4,FALSE)="","",VLOOKUP($B7,'NHG''s optical glass 202608'!$C$7:$GO$213,4,FALSE))</f>
        <v>49.07</v>
      </c>
      <c r="S7" s="416"/>
      <c r="T7" s="412">
        <f>IF(VLOOKUP($B7,'NHG''s optical glass 202608'!$C$7:$GO$213,6,FALSE)="","",VLOOKUP($B7,'NHG''s optical glass 202608'!$C$7:$GO$213,6,FALSE))</f>
        <v>0.015221</v>
      </c>
      <c r="U7" s="412"/>
      <c r="V7" s="412"/>
      <c r="W7" s="406">
        <f>IF(VLOOKUP($B7,'NHG''s optical glass 202608'!$C$7:$GO$213,12,FALSE)="","",VLOOKUP($B7,'NHG''s optical glass 202608'!$C$7:$GO$213,12,FALSE))</f>
        <v>1.72692</v>
      </c>
      <c r="X7" s="406"/>
      <c r="Y7" s="406"/>
      <c r="Z7" s="406">
        <f>IF(VLOOKUP($B7,'NHG''s optical glass 202608'!$C$7:$GO$213,13,FALSE)="","",VLOOKUP($B7,'NHG''s optical glass 202608'!$C$7:$GO$213,13,FALSE))</f>
        <v>1.73091</v>
      </c>
      <c r="AA7" s="406"/>
      <c r="AB7" s="406"/>
      <c r="AC7" s="406">
        <f>IF(VLOOKUP($B7,'NHG''s optical glass 202608'!$C$7:$GO$213,14,FALSE)="","",VLOOKUP($B7,'NHG''s optical glass 202608'!$C$7:$GO$213,14,FALSE))</f>
        <v>1.73366</v>
      </c>
      <c r="AD7" s="406"/>
      <c r="AE7" s="406"/>
      <c r="AF7" s="406"/>
      <c r="AG7" s="406">
        <f>IF(VLOOKUP($B7,'NHG''s optical glass 202608'!$C$7:$GO$213,15,FALSE)="","",VLOOKUP($B7,'NHG''s optical glass 202608'!$C$7:$GO$213,15,FALSE))</f>
        <v>1.73621</v>
      </c>
      <c r="AH7" s="406"/>
      <c r="AI7" s="406"/>
      <c r="AJ7" s="406"/>
      <c r="AK7" s="406"/>
      <c r="AL7" s="406">
        <f>IF(VLOOKUP($B7,'NHG''s optical glass 202608'!$C$7:$GO$213,16,FALSE)="","",VLOOKUP($B7,'NHG''s optical glass 202608'!$C$7:$GO$213,16,FALSE))</f>
        <v>1.73876</v>
      </c>
      <c r="AM7" s="406"/>
      <c r="AN7" s="406"/>
      <c r="AO7" s="406">
        <f>IF(VLOOKUP($B7,'NHG''s optical glass 202608'!$C$7:$GO$213,17,FALSE)="","",VLOOKUP($B7,'NHG''s optical glass 202608'!$C$7:$GO$213,17,FALSE))</f>
        <v>1.73948</v>
      </c>
      <c r="AP7" s="406"/>
      <c r="AQ7" s="406"/>
      <c r="AR7" s="406">
        <f>IF(VLOOKUP($B7,'NHG''s optical glass 202608'!$C$7:$GO$213,18,FALSE)="","",VLOOKUP($B7,'NHG''s optical glass 202608'!$C$7:$GO$213,18,FALSE))</f>
        <v>1.74016</v>
      </c>
      <c r="AS7" s="406"/>
      <c r="AT7" s="406"/>
      <c r="AU7" s="233"/>
      <c r="AV7" s="232"/>
      <c r="AW7" s="406">
        <f>IF(VLOOKUP($B7,'NHG''s optical glass 202608'!$C$7:$GO$213,22,FALSE)="","",VLOOKUP($B7,'NHG''s optical glass 202608'!$C$7:$GO$213,22,FALSE))</f>
        <v>1.75383</v>
      </c>
      <c r="AX7" s="406"/>
      <c r="AY7" s="406"/>
      <c r="AZ7" s="406"/>
      <c r="BA7" s="406">
        <f>IF(VLOOKUP($B7,'NHG''s optical glass 202608'!$C$7:$GO$213,23,FALSE)="","",VLOOKUP($B7,'NHG''s optical glass 202608'!$C$7:$GO$213,23,FALSE))</f>
        <v>1.7547</v>
      </c>
      <c r="BB7" s="406"/>
      <c r="BC7" s="406"/>
      <c r="BD7" s="406">
        <f>IF(VLOOKUP($B7,'NHG''s optical glass 202608'!$C$7:$GO$213,24,FALSE)="","",VLOOKUP($B7,'NHG''s optical glass 202608'!$C$7:$GO$213,24,FALSE))</f>
        <v>1.76215</v>
      </c>
      <c r="BE7" s="406"/>
      <c r="BF7" s="406"/>
      <c r="BG7" s="406">
        <f>IF(VLOOKUP($B7,'NHG''s optical glass 202608'!$C$7:$GO$213,25,FALSE)="","",VLOOKUP($B7,'NHG''s optical glass 202608'!$C$7:$GO$213,25,FALSE))</f>
        <v>1.76911</v>
      </c>
      <c r="BH7" s="406"/>
      <c r="BI7" s="406"/>
      <c r="BJ7" s="406">
        <f>IF(VLOOKUP($B7,'NHG''s optical glass 202608'!$C$7:$GO$213,26,FALSE)="","",VLOOKUP($B7,'NHG''s optical glass 202608'!$C$7:$GO$213,26,FALSE))</f>
        <v>1.7811</v>
      </c>
      <c r="BK7" s="406"/>
      <c r="BL7" s="406"/>
      <c r="BM7" s="437">
        <f>IF(VLOOKUP($B7,'NHG''s optical glass 202608'!$C$7:$GO$213,33,FALSE)="","",VLOOKUP($B7,'NHG''s optical glass 202608'!$C$7:$GO$213,33,FALSE))</f>
        <v>0.3013</v>
      </c>
      <c r="BN7" s="437"/>
      <c r="BO7" s="437"/>
      <c r="BP7" s="437">
        <f>IF(VLOOKUP($B7,'NHG''s optical glass 202608'!$C$7:$GO$213,35,FALSE)="","",VLOOKUP($B7,'NHG''s optical glass 202608'!$C$7:$GO$213,35,FALSE))</f>
        <v>0.5521</v>
      </c>
      <c r="BQ7" s="437"/>
      <c r="BR7" s="437"/>
      <c r="BS7" s="437"/>
      <c r="BT7" s="437">
        <f>IF(VLOOKUP($B7,'NHG''s optical glass 202608'!$C$7:$GO$213,40,FALSE)="","",VLOOKUP($B7,'NHG''s optical glass 202608'!$C$7:$GO$213,40,FALSE))</f>
        <v>-0.0095</v>
      </c>
      <c r="BU7" s="437"/>
      <c r="BV7" s="437"/>
      <c r="BW7" s="437">
        <f>IF(VLOOKUP($B7,'NHG''s optical glass 202608'!$C$7:$GO$213,41,FALSE)="","",VLOOKUP($B7,'NHG''s optical glass 202608'!$C$7:$GO$213,41,FALSE))</f>
        <v>0.0066</v>
      </c>
      <c r="BX7" s="437"/>
      <c r="BY7" s="437"/>
      <c r="BZ7" s="442">
        <f>IF(VLOOKUP($B16,'NHG''s optical glass 202608'!$C$7:$KZ$213,186,FALSE)="","",VLOOKUP($B16,'NHG''s optical glass 202608'!$C$7:$KZ$213,186,FALSE))</f>
        <v>57</v>
      </c>
      <c r="CA7" s="442"/>
      <c r="CB7" s="442"/>
      <c r="CC7" s="442">
        <f>IF(VLOOKUP($B16,'NHG''s optical glass 202608'!$C$7:$KZ$213,187,FALSE)="","",VLOOKUP($B16,'NHG''s optical glass 202608'!$C$7:$KZ$213,187,FALSE))</f>
        <v>74</v>
      </c>
      <c r="CD7" s="442"/>
      <c r="CE7" s="442"/>
      <c r="CF7" s="442"/>
      <c r="CG7" s="442"/>
      <c r="CH7" s="449">
        <f>IF(VLOOKUP($B7,'NHG''s optical glass 202608'!$C$7:$GO$213,99,FALSE)="","",VLOOKUP($B7,'NHG''s optical glass 202608'!$C$7:$GO$213,99,FALSE))</f>
        <v>8.2</v>
      </c>
      <c r="CI7" s="449"/>
      <c r="CJ7" s="449"/>
      <c r="CK7" s="449">
        <f>IF(VLOOKUP($B7,'NHG''s optical glass 202608'!$C$7:$GO$213,102,FALSE)="","",VLOOKUP($B7,'NHG''s optical glass 202608'!$C$7:$GO$213,102,FALSE))</f>
        <v>8.5</v>
      </c>
      <c r="CL7" s="449"/>
      <c r="CM7" s="449"/>
      <c r="CN7" s="449"/>
      <c r="CO7" s="449">
        <f>IF(VLOOKUP($B7,'NHG''s optical glass 202608'!$C$7:$GO$213,105,FALSE)="","",VLOOKUP($B7,'NHG''s optical glass 202608'!$C$7:$GO$213,105,FALSE))</f>
        <v>8.9</v>
      </c>
      <c r="CP7" s="449"/>
      <c r="CQ7" s="449"/>
      <c r="CR7" s="449"/>
      <c r="CS7" s="405" t="str">
        <f t="shared" si="0"/>
        <v>D-LaF743</v>
      </c>
      <c r="CT7" s="233"/>
      <c r="CU7" s="233"/>
      <c r="CV7" s="233"/>
      <c r="CW7" s="233"/>
      <c r="CX7" s="233"/>
    </row>
    <row r="8" s="231" customFormat="1" ht="14.45" customHeight="1" spans="2:102">
      <c r="B8" s="407" t="s">
        <v>1466</v>
      </c>
      <c r="C8" s="403">
        <f>IF(VLOOKUP($B8,'NHG''s optical glass 202608'!$C$7:$GO$213,2,FALSE)="","",VLOOKUP($B8,'NHG''s optical glass 202608'!$C$7:$GO$213,2,FALSE))</f>
        <v>801455</v>
      </c>
      <c r="D8" s="404">
        <f>IF(VLOOKUP($B8,'NHG''s optical glass 202608'!$C$7:$GO$213,20,FALSE)="","",VLOOKUP($B8,'NHG''s optical glass 202608'!$C$7:$GO$213,20,FALSE))</f>
        <v>1.80139</v>
      </c>
      <c r="E8" s="404"/>
      <c r="F8" s="404"/>
      <c r="G8" s="403">
        <f>IF(VLOOKUP($B8,'NHG''s optical glass 202608'!$C$7:$GO$213,3,FALSE)="","",VLOOKUP($B8,'NHG''s optical glass 202608'!$C$7:$GO$213,3,FALSE))</f>
        <v>45.45</v>
      </c>
      <c r="H8" s="403"/>
      <c r="I8" s="411">
        <f>IF(VLOOKUP($B8,'NHG''s optical glass 202608'!$C$7:$GO$213,5,FALSE)="","",VLOOKUP($B8,'NHG''s optical glass 202608'!$C$7:$GO$213,5,FALSE))</f>
        <v>0.017632</v>
      </c>
      <c r="J8" s="411"/>
      <c r="K8" s="411"/>
      <c r="L8" s="411"/>
      <c r="M8" s="411"/>
      <c r="N8" s="404">
        <f>IF(VLOOKUP($B8,'NHG''s optical glass 202608'!$C$7:$GO$213,21,FALSE)="","",VLOOKUP($B8,'NHG''s optical glass 202608'!$C$7:$GO$213,21,FALSE))</f>
        <v>1.80558</v>
      </c>
      <c r="O8" s="404"/>
      <c r="P8" s="404"/>
      <c r="Q8" s="404"/>
      <c r="R8" s="415">
        <f>IF(VLOOKUP($B8,'NHG''s optical glass 202608'!$C$7:$GO$213,4,FALSE)="","",VLOOKUP($B8,'NHG''s optical glass 202608'!$C$7:$GO$213,4,FALSE))</f>
        <v>45.21</v>
      </c>
      <c r="S8" s="415"/>
      <c r="T8" s="411">
        <f>IF(VLOOKUP($B8,'NHG''s optical glass 202608'!$C$7:$GO$213,6,FALSE)="","",VLOOKUP($B8,'NHG''s optical glass 202608'!$C$7:$GO$213,6,FALSE))</f>
        <v>0.01782</v>
      </c>
      <c r="U8" s="411"/>
      <c r="V8" s="411"/>
      <c r="W8" s="404">
        <f>IF(VLOOKUP($B8,'NHG''s optical glass 202608'!$C$7:$GO$213,12,FALSE)="","",VLOOKUP($B8,'NHG''s optical glass 202608'!$C$7:$GO$213,12,FALSE))</f>
        <v>1.78264</v>
      </c>
      <c r="X8" s="404"/>
      <c r="Y8" s="404"/>
      <c r="Z8" s="404">
        <f>IF(VLOOKUP($B8,'NHG''s optical glass 202608'!$C$7:$GO$213,13,FALSE)="","",VLOOKUP($B8,'NHG''s optical glass 202608'!$C$7:$GO$213,13,FALSE))</f>
        <v>1.78708</v>
      </c>
      <c r="AA8" s="404"/>
      <c r="AB8" s="404"/>
      <c r="AC8" s="404">
        <f>IF(VLOOKUP($B8,'NHG''s optical glass 202608'!$C$7:$GO$213,14,FALSE)="","",VLOOKUP($B8,'NHG''s optical glass 202608'!$C$7:$GO$213,14,FALSE))</f>
        <v>1.79022</v>
      </c>
      <c r="AD8" s="404"/>
      <c r="AE8" s="404"/>
      <c r="AF8" s="404"/>
      <c r="AG8" s="404">
        <f>IF(VLOOKUP($B8,'NHG''s optical glass 202608'!$C$7:$GO$213,15,FALSE)="","",VLOOKUP($B8,'NHG''s optical glass 202608'!$C$7:$GO$213,15,FALSE))</f>
        <v>1.79314</v>
      </c>
      <c r="AH8" s="404"/>
      <c r="AI8" s="404"/>
      <c r="AJ8" s="404"/>
      <c r="AK8" s="404"/>
      <c r="AL8" s="404">
        <f>IF(VLOOKUP($B8,'NHG''s optical glass 202608'!$C$7:$GO$213,16,FALSE)="","",VLOOKUP($B8,'NHG''s optical glass 202608'!$C$7:$GO$213,16,FALSE))</f>
        <v>1.7961</v>
      </c>
      <c r="AM8" s="404"/>
      <c r="AN8" s="404"/>
      <c r="AO8" s="404">
        <f>IF(VLOOKUP($B8,'NHG''s optical glass 202608'!$C$7:$GO$213,17,FALSE)="","",VLOOKUP($B8,'NHG''s optical glass 202608'!$C$7:$GO$213,17,FALSE))</f>
        <v>1.79694</v>
      </c>
      <c r="AP8" s="404"/>
      <c r="AQ8" s="404"/>
      <c r="AR8" s="404">
        <f>IF(VLOOKUP($B8,'NHG''s optical glass 202608'!$C$7:$GO$213,18,FALSE)="","",VLOOKUP($B8,'NHG''s optical glass 202608'!$C$7:$GO$213,18,FALSE))</f>
        <v>1.79771</v>
      </c>
      <c r="AS8" s="404"/>
      <c r="AT8" s="404"/>
      <c r="AU8" s="233"/>
      <c r="AV8" s="232"/>
      <c r="AW8" s="404">
        <f>IF(VLOOKUP($B8,'NHG''s optical glass 202608'!$C$7:$GO$213,22,FALSE)="","",VLOOKUP($B8,'NHG''s optical glass 202608'!$C$7:$GO$213,22,FALSE))</f>
        <v>1.81373</v>
      </c>
      <c r="AX8" s="404"/>
      <c r="AY8" s="404"/>
      <c r="AZ8" s="404"/>
      <c r="BA8" s="404">
        <f>IF(VLOOKUP($B8,'NHG''s optical glass 202608'!$C$7:$GO$213,23,FALSE)="","",VLOOKUP($B8,'NHG''s optical glass 202608'!$C$7:$GO$213,23,FALSE))</f>
        <v>1.81476</v>
      </c>
      <c r="BB8" s="404"/>
      <c r="BC8" s="404"/>
      <c r="BD8" s="404">
        <f>IF(VLOOKUP($B8,'NHG''s optical glass 202608'!$C$7:$GO$213,24,FALSE)="","",VLOOKUP($B8,'NHG''s optical glass 202608'!$C$7:$GO$213,24,FALSE))</f>
        <v>1.82361</v>
      </c>
      <c r="BE8" s="404"/>
      <c r="BF8" s="404"/>
      <c r="BG8" s="404">
        <f>IF(VLOOKUP($B8,'NHG''s optical glass 202608'!$C$7:$GO$213,25,FALSE)="","",VLOOKUP($B8,'NHG''s optical glass 202608'!$C$7:$GO$213,25,FALSE))</f>
        <v>1.83193</v>
      </c>
      <c r="BH8" s="404"/>
      <c r="BI8" s="404"/>
      <c r="BJ8" s="404">
        <f>IF(VLOOKUP($B8,'NHG''s optical glass 202608'!$C$7:$GO$213,26,FALSE)="","",VLOOKUP($B8,'NHG''s optical glass 202608'!$C$7:$GO$213,26,FALSE))</f>
        <v>1.8464</v>
      </c>
      <c r="BK8" s="404"/>
      <c r="BL8" s="404"/>
      <c r="BM8" s="438">
        <f>IF(VLOOKUP($B8,'NHG''s optical glass 202608'!$C$7:$GO$213,33,FALSE)="","",VLOOKUP($B8,'NHG''s optical glass 202608'!$C$7:$GO$213,33,FALSE))</f>
        <v>0.3</v>
      </c>
      <c r="BN8" s="438"/>
      <c r="BO8" s="438"/>
      <c r="BP8" s="438">
        <f>IF(VLOOKUP($B8,'NHG''s optical glass 202608'!$C$7:$GO$213,35,FALSE)="","",VLOOKUP($B8,'NHG''s optical glass 202608'!$C$7:$GO$213,35,FALSE))</f>
        <v>0.5603</v>
      </c>
      <c r="BQ8" s="438"/>
      <c r="BR8" s="438"/>
      <c r="BS8" s="438"/>
      <c r="BT8" s="438">
        <f>IF(VLOOKUP($B8,'NHG''s optical glass 202608'!$C$7:$GO$213,40,FALSE)="","",VLOOKUP($B8,'NHG''s optical glass 202608'!$C$7:$GO$213,40,FALSE))</f>
        <v>-0.0078</v>
      </c>
      <c r="BU8" s="438"/>
      <c r="BV8" s="438"/>
      <c r="BW8" s="438">
        <f>IF(VLOOKUP($B8,'NHG''s optical glass 202608'!$C$7:$GO$213,41,FALSE)="","",VLOOKUP($B8,'NHG''s optical glass 202608'!$C$7:$GO$213,41,FALSE))</f>
        <v>0.003</v>
      </c>
      <c r="BX8" s="438"/>
      <c r="BY8" s="438"/>
      <c r="BZ8" s="441">
        <f>IF(VLOOKUP($B17,'NHG''s optical glass 202608'!$C$7:$KZ$213,186,FALSE)="","",VLOOKUP($B17,'NHG''s optical glass 202608'!$C$7:$KZ$213,186,FALSE))</f>
        <v>62</v>
      </c>
      <c r="CA8" s="441"/>
      <c r="CB8" s="441"/>
      <c r="CC8" s="441">
        <f>IF(VLOOKUP($B17,'NHG''s optical glass 202608'!$C$7:$KZ$213,187,FALSE)="","",VLOOKUP($B17,'NHG''s optical glass 202608'!$C$7:$KZ$213,187,FALSE))</f>
        <v>77</v>
      </c>
      <c r="CD8" s="441"/>
      <c r="CE8" s="441"/>
      <c r="CF8" s="441"/>
      <c r="CG8" s="441"/>
      <c r="CH8" s="448">
        <f>IF(VLOOKUP($B8,'NHG''s optical glass 202608'!$C$7:$GO$213,99,FALSE)="","",VLOOKUP($B8,'NHG''s optical glass 202608'!$C$7:$GO$213,99,FALSE))</f>
        <v>5.2</v>
      </c>
      <c r="CI8" s="448"/>
      <c r="CJ8" s="448"/>
      <c r="CK8" s="448">
        <f>IF(VLOOKUP($B8,'NHG''s optical glass 202608'!$C$7:$GO$213,102,FALSE)="","",VLOOKUP($B8,'NHG''s optical glass 202608'!$C$7:$GO$213,102,FALSE))</f>
        <v>5.7</v>
      </c>
      <c r="CL8" s="448"/>
      <c r="CM8" s="448"/>
      <c r="CN8" s="448"/>
      <c r="CO8" s="448">
        <f>IF(VLOOKUP($B8,'NHG''s optical glass 202608'!$C$7:$GO$213,105,FALSE)="","",VLOOKUP($B8,'NHG''s optical glass 202608'!$C$7:$GO$213,105,FALSE))</f>
        <v>6.2</v>
      </c>
      <c r="CP8" s="448"/>
      <c r="CQ8" s="448"/>
      <c r="CR8" s="448"/>
      <c r="CS8" s="407" t="str">
        <f t="shared" si="0"/>
        <v>D-ZLaF50</v>
      </c>
      <c r="CT8" s="233"/>
      <c r="CU8" s="233"/>
      <c r="CV8" s="233"/>
      <c r="CW8" s="233"/>
      <c r="CX8" s="233"/>
    </row>
    <row r="9" s="231" customFormat="1" ht="14.45" customHeight="1" spans="2:102">
      <c r="B9" s="405" t="s">
        <v>1472</v>
      </c>
      <c r="C9" s="234">
        <f>IF(VLOOKUP($B9,'NHG''s optical glass 202608'!$C$7:$GO$213,2,FALSE)="","",VLOOKUP($B9,'NHG''s optical glass 202608'!$C$7:$GO$213,2,FALSE))</f>
        <v>806407</v>
      </c>
      <c r="D9" s="406">
        <f>IF(VLOOKUP($B9,'NHG''s optical glass 202608'!$C$7:$GO$213,20,FALSE)="","",VLOOKUP($B9,'NHG''s optical glass 202608'!$C$7:$GO$213,20,FALSE))</f>
        <v>1.8061</v>
      </c>
      <c r="E9" s="406"/>
      <c r="F9" s="406"/>
      <c r="G9" s="234">
        <f>IF(VLOOKUP($B9,'NHG''s optical glass 202608'!$C$7:$GO$213,3,FALSE)="","",VLOOKUP($B9,'NHG''s optical glass 202608'!$C$7:$GO$213,3,FALSE))</f>
        <v>40.73</v>
      </c>
      <c r="H9" s="234"/>
      <c r="I9" s="412">
        <f>IF(VLOOKUP($B9,'NHG''s optical glass 202608'!$C$7:$GO$213,5,FALSE)="","",VLOOKUP($B9,'NHG''s optical glass 202608'!$C$7:$GO$213,5,FALSE))</f>
        <v>0.019791</v>
      </c>
      <c r="J9" s="412"/>
      <c r="K9" s="412"/>
      <c r="L9" s="412"/>
      <c r="M9" s="412"/>
      <c r="N9" s="406">
        <f>IF(VLOOKUP($B9,'NHG''s optical glass 202608'!$C$7:$GO$213,21,FALSE)="","",VLOOKUP($B9,'NHG''s optical glass 202608'!$C$7:$GO$213,21,FALSE))</f>
        <v>1.8108</v>
      </c>
      <c r="O9" s="406"/>
      <c r="P9" s="406"/>
      <c r="Q9" s="406"/>
      <c r="R9" s="416">
        <f>IF(VLOOKUP($B9,'NHG''s optical glass 202608'!$C$7:$GO$213,4,FALSE)="","",VLOOKUP($B9,'NHG''s optical glass 202608'!$C$7:$GO$213,4,FALSE))</f>
        <v>40.48</v>
      </c>
      <c r="S9" s="416"/>
      <c r="T9" s="412">
        <f>IF(VLOOKUP($B9,'NHG''s optical glass 202608'!$C$7:$GO$213,6,FALSE)="","",VLOOKUP($B9,'NHG''s optical glass 202608'!$C$7:$GO$213,6,FALSE))</f>
        <v>0.020031</v>
      </c>
      <c r="U9" s="412"/>
      <c r="V9" s="412"/>
      <c r="W9" s="406">
        <f>IF(VLOOKUP($B9,'NHG''s optical glass 202608'!$C$7:$GO$213,12,FALSE)="","",VLOOKUP($B9,'NHG''s optical glass 202608'!$C$7:$GO$213,12,FALSE))</f>
        <v>1.78543</v>
      </c>
      <c r="X9" s="406"/>
      <c r="Y9" s="406"/>
      <c r="Z9" s="406">
        <f>IF(VLOOKUP($B9,'NHG''s optical glass 202608'!$C$7:$GO$213,13,FALSE)="","",VLOOKUP($B9,'NHG''s optical glass 202608'!$C$7:$GO$213,13,FALSE))</f>
        <v>1.79027</v>
      </c>
      <c r="AA9" s="406"/>
      <c r="AB9" s="406"/>
      <c r="AC9" s="406">
        <f>IF(VLOOKUP($B9,'NHG''s optical glass 202608'!$C$7:$GO$213,14,FALSE)="","",VLOOKUP($B9,'NHG''s optical glass 202608'!$C$7:$GO$213,14,FALSE))</f>
        <v>1.79371</v>
      </c>
      <c r="AD9" s="406"/>
      <c r="AE9" s="406"/>
      <c r="AF9" s="406"/>
      <c r="AG9" s="406">
        <f>IF(VLOOKUP($B9,'NHG''s optical glass 202608'!$C$7:$GO$213,15,FALSE)="","",VLOOKUP($B9,'NHG''s optical glass 202608'!$C$7:$GO$213,15,FALSE))</f>
        <v>1.79694</v>
      </c>
      <c r="AH9" s="406"/>
      <c r="AI9" s="406"/>
      <c r="AJ9" s="406"/>
      <c r="AK9" s="406"/>
      <c r="AL9" s="406">
        <f>IF(VLOOKUP($B9,'NHG''s optical glass 202608'!$C$7:$GO$213,16,FALSE)="","",VLOOKUP($B9,'NHG''s optical glass 202608'!$C$7:$GO$213,16,FALSE))</f>
        <v>1.80022</v>
      </c>
      <c r="AM9" s="406"/>
      <c r="AN9" s="406"/>
      <c r="AO9" s="406">
        <f>IF(VLOOKUP($B9,'NHG''s optical glass 202608'!$C$7:$GO$213,17,FALSE)="","",VLOOKUP($B9,'NHG''s optical glass 202608'!$C$7:$GO$213,17,FALSE))</f>
        <v>1.80114</v>
      </c>
      <c r="AP9" s="406"/>
      <c r="AQ9" s="406"/>
      <c r="AR9" s="406">
        <f>IF(VLOOKUP($B9,'NHG''s optical glass 202608'!$C$7:$GO$213,18,FALSE)="","",VLOOKUP($B9,'NHG''s optical glass 202608'!$C$7:$GO$213,18,FALSE))</f>
        <v>1.80201</v>
      </c>
      <c r="AS9" s="406"/>
      <c r="AT9" s="406"/>
      <c r="AU9" s="233"/>
      <c r="AV9" s="232"/>
      <c r="AW9" s="406">
        <f>IF(VLOOKUP($B9,'NHG''s optical glass 202608'!$C$7:$GO$213,22,FALSE)="","",VLOOKUP($B9,'NHG''s optical glass 202608'!$C$7:$GO$213,22,FALSE))</f>
        <v>1.82002</v>
      </c>
      <c r="AX9" s="406"/>
      <c r="AY9" s="406"/>
      <c r="AZ9" s="406"/>
      <c r="BA9" s="406">
        <f>IF(VLOOKUP($B9,'NHG''s optical glass 202608'!$C$7:$GO$213,23,FALSE)="","",VLOOKUP($B9,'NHG''s optical glass 202608'!$C$7:$GO$213,23,FALSE))</f>
        <v>1.82117</v>
      </c>
      <c r="BB9" s="406"/>
      <c r="BC9" s="406"/>
      <c r="BD9" s="406">
        <f>IF(VLOOKUP($B9,'NHG''s optical glass 202608'!$C$7:$GO$213,24,FALSE)="","",VLOOKUP($B9,'NHG''s optical glass 202608'!$C$7:$GO$213,24,FALSE))</f>
        <v>1.83126</v>
      </c>
      <c r="BE9" s="406"/>
      <c r="BF9" s="406"/>
      <c r="BG9" s="406">
        <f>IF(VLOOKUP($B9,'NHG''s optical glass 202608'!$C$7:$GO$213,25,FALSE)="","",VLOOKUP($B9,'NHG''s optical glass 202608'!$C$7:$GO$213,25,FALSE))</f>
        <v>1.84085</v>
      </c>
      <c r="BH9" s="406"/>
      <c r="BI9" s="406"/>
      <c r="BJ9" s="406">
        <f>IF(VLOOKUP($B9,'NHG''s optical glass 202608'!$C$7:$GO$213,26,FALSE)="","",VLOOKUP($B9,'NHG''s optical glass 202608'!$C$7:$GO$213,26,FALSE))</f>
        <v>1.85784</v>
      </c>
      <c r="BK9" s="406"/>
      <c r="BL9" s="406"/>
      <c r="BM9" s="437">
        <f>IF(VLOOKUP($B9,'NHG''s optical glass 202608'!$C$7:$GO$213,33,FALSE)="","",VLOOKUP($B9,'NHG''s optical glass 202608'!$C$7:$GO$213,33,FALSE))</f>
        <v>0.2971</v>
      </c>
      <c r="BN9" s="437"/>
      <c r="BO9" s="437"/>
      <c r="BP9" s="437">
        <f>IF(VLOOKUP($B9,'NHG''s optical glass 202608'!$C$7:$GO$213,35,FALSE)="","",VLOOKUP($B9,'NHG''s optical glass 202608'!$C$7:$GO$213,35,FALSE))</f>
        <v>0.5679</v>
      </c>
      <c r="BQ9" s="437"/>
      <c r="BR9" s="437"/>
      <c r="BS9" s="437"/>
      <c r="BT9" s="437">
        <f>IF(VLOOKUP($B9,'NHG''s optical glass 202608'!$C$7:$GO$213,40,FALSE)="","",VLOOKUP($B9,'NHG''s optical glass 202608'!$C$7:$GO$213,40,FALSE))</f>
        <v>-0.008</v>
      </c>
      <c r="BU9" s="437"/>
      <c r="BV9" s="437"/>
      <c r="BW9" s="437">
        <f>IF(VLOOKUP($B9,'NHG''s optical glass 202608'!$C$7:$GO$213,41,FALSE)="","",VLOOKUP($B9,'NHG''s optical glass 202608'!$C$7:$GO$213,41,FALSE))</f>
        <v>0.0098</v>
      </c>
      <c r="BX9" s="437"/>
      <c r="BY9" s="437"/>
      <c r="BZ9" s="442">
        <f>IF(VLOOKUP($B18,'NHG''s optical glass 202608'!$C$7:$KZ$213,186,FALSE)="","",VLOOKUP($B18,'NHG''s optical glass 202608'!$C$7:$KZ$213,186,FALSE))</f>
        <v>59</v>
      </c>
      <c r="CA9" s="442"/>
      <c r="CB9" s="442"/>
      <c r="CC9" s="442">
        <f>IF(VLOOKUP($B18,'NHG''s optical glass 202608'!$C$7:$KZ$213,187,FALSE)="","",VLOOKUP($B18,'NHG''s optical glass 202608'!$C$7:$KZ$213,187,FALSE))</f>
        <v>75</v>
      </c>
      <c r="CD9" s="442"/>
      <c r="CE9" s="442"/>
      <c r="CF9" s="442"/>
      <c r="CG9" s="442"/>
      <c r="CH9" s="449">
        <f>IF(VLOOKUP($B9,'NHG''s optical glass 202608'!$C$7:$GO$213,99,FALSE)="","",VLOOKUP($B9,'NHG''s optical glass 202608'!$C$7:$GO$213,99,FALSE))</f>
        <v>7.4</v>
      </c>
      <c r="CI9" s="449"/>
      <c r="CJ9" s="449"/>
      <c r="CK9" s="449">
        <f>IF(VLOOKUP($B9,'NHG''s optical glass 202608'!$C$7:$GO$213,102,FALSE)="","",VLOOKUP($B9,'NHG''s optical glass 202608'!$C$7:$GO$213,102,FALSE))</f>
        <v>7.7</v>
      </c>
      <c r="CL9" s="449"/>
      <c r="CM9" s="449"/>
      <c r="CN9" s="449"/>
      <c r="CO9" s="449">
        <f>IF(VLOOKUP($B9,'NHG''s optical glass 202608'!$C$7:$GO$213,105,FALSE)="","",VLOOKUP($B9,'NHG''s optical glass 202608'!$C$7:$GO$213,105,FALSE))</f>
        <v>8.1</v>
      </c>
      <c r="CP9" s="449"/>
      <c r="CQ9" s="449"/>
      <c r="CR9" s="449"/>
      <c r="CS9" s="405" t="str">
        <f t="shared" si="0"/>
        <v>D-ZLaF52L</v>
      </c>
      <c r="CT9" s="233"/>
      <c r="CU9" s="233"/>
      <c r="CV9" s="233"/>
      <c r="CW9" s="233"/>
      <c r="CX9" s="233"/>
    </row>
    <row r="10" s="232" customFormat="1" ht="14.45" customHeight="1" spans="2:102">
      <c r="B10" s="407" t="s">
        <v>1479</v>
      </c>
      <c r="C10" s="403">
        <f>IF(VLOOKUP($B10,'NHG''s optical glass 202608'!$C$7:$GO$213,2,FALSE)="","",VLOOKUP($B10,'NHG''s optical glass 202608'!$C$7:$GO$213,2,FALSE))</f>
        <v>810410</v>
      </c>
      <c r="D10" s="404">
        <f>IF(VLOOKUP($B10,'NHG''s optical glass 202608'!$C$7:$GO$213,20,FALSE)="","",VLOOKUP($B10,'NHG''s optical glass 202608'!$C$7:$GO$213,20,FALSE))</f>
        <v>1.81</v>
      </c>
      <c r="E10" s="404"/>
      <c r="F10" s="404"/>
      <c r="G10" s="403">
        <f>IF(VLOOKUP($B10,'NHG''s optical glass 202608'!$C$7:$GO$213,3,FALSE)="","",VLOOKUP($B10,'NHG''s optical glass 202608'!$C$7:$GO$213,3,FALSE))</f>
        <v>41</v>
      </c>
      <c r="H10" s="403"/>
      <c r="I10" s="411">
        <f>IF(VLOOKUP($B10,'NHG''s optical glass 202608'!$C$7:$GO$213,5,FALSE)="","",VLOOKUP($B10,'NHG''s optical glass 202608'!$C$7:$GO$213,5,FALSE))</f>
        <v>0.019758</v>
      </c>
      <c r="J10" s="411"/>
      <c r="K10" s="411"/>
      <c r="L10" s="411"/>
      <c r="M10" s="411"/>
      <c r="N10" s="404">
        <f>IF(VLOOKUP($B10,'NHG''s optical glass 202608'!$C$7:$GO$213,21,FALSE)="","",VLOOKUP($B10,'NHG''s optical glass 202608'!$C$7:$GO$213,21,FALSE))</f>
        <v>1.81469</v>
      </c>
      <c r="O10" s="404"/>
      <c r="P10" s="404"/>
      <c r="Q10" s="404"/>
      <c r="R10" s="415">
        <f>IF(VLOOKUP($B10,'NHG''s optical glass 202608'!$C$7:$GO$213,4,FALSE)="","",VLOOKUP($B10,'NHG''s optical glass 202608'!$C$7:$GO$213,4,FALSE))</f>
        <v>40.8</v>
      </c>
      <c r="S10" s="415"/>
      <c r="T10" s="411">
        <f>IF(VLOOKUP($B10,'NHG''s optical glass 202608'!$C$7:$GO$213,6,FALSE)="","",VLOOKUP($B10,'NHG''s optical glass 202608'!$C$7:$GO$213,6,FALSE))</f>
        <v>0.01997</v>
      </c>
      <c r="U10" s="411"/>
      <c r="V10" s="411"/>
      <c r="W10" s="404">
        <f>IF(VLOOKUP($B10,'NHG''s optical glass 202608'!$C$7:$GO$213,12,FALSE)="","",VLOOKUP($B10,'NHG''s optical glass 202608'!$C$7:$GO$213,12,FALSE))</f>
        <v>1.78935</v>
      </c>
      <c r="X10" s="404"/>
      <c r="Y10" s="404"/>
      <c r="Z10" s="404">
        <f>IF(VLOOKUP($B10,'NHG''s optical glass 202608'!$C$7:$GO$213,13,FALSE)="","",VLOOKUP($B10,'NHG''s optical glass 202608'!$C$7:$GO$213,13,FALSE))</f>
        <v>1.79418</v>
      </c>
      <c r="AA10" s="404"/>
      <c r="AB10" s="404"/>
      <c r="AC10" s="404">
        <f>IF(VLOOKUP($B10,'NHG''s optical glass 202608'!$C$7:$GO$213,14,FALSE)="","",VLOOKUP($B10,'NHG''s optical glass 202608'!$C$7:$GO$213,14,FALSE))</f>
        <v>1.79762</v>
      </c>
      <c r="AD10" s="404"/>
      <c r="AE10" s="404"/>
      <c r="AF10" s="404"/>
      <c r="AG10" s="404">
        <f>IF(VLOOKUP($B10,'NHG''s optical glass 202608'!$C$7:$GO$213,15,FALSE)="","",VLOOKUP($B10,'NHG''s optical glass 202608'!$C$7:$GO$213,15,FALSE))</f>
        <v>1.80084</v>
      </c>
      <c r="AH10" s="404"/>
      <c r="AI10" s="404"/>
      <c r="AJ10" s="404"/>
      <c r="AK10" s="404"/>
      <c r="AL10" s="404">
        <f>IF(VLOOKUP($B10,'NHG''s optical glass 202608'!$C$7:$GO$213,16,FALSE)="","",VLOOKUP($B10,'NHG''s optical glass 202608'!$C$7:$GO$213,16,FALSE))</f>
        <v>1.80411</v>
      </c>
      <c r="AM10" s="404"/>
      <c r="AN10" s="404"/>
      <c r="AO10" s="404">
        <f>IF(VLOOKUP($B10,'NHG''s optical glass 202608'!$C$7:$GO$213,17,FALSE)="","",VLOOKUP($B10,'NHG''s optical glass 202608'!$C$7:$GO$213,17,FALSE))</f>
        <v>1.80505</v>
      </c>
      <c r="AP10" s="404"/>
      <c r="AQ10" s="404"/>
      <c r="AR10" s="404">
        <f>IF(VLOOKUP($B10,'NHG''s optical glass 202608'!$C$7:$GO$213,18,FALSE)="","",VLOOKUP($B10,'NHG''s optical glass 202608'!$C$7:$GO$213,18,FALSE))</f>
        <v>1.80591</v>
      </c>
      <c r="AS10" s="404"/>
      <c r="AT10" s="404"/>
      <c r="AU10" s="233"/>
      <c r="AW10" s="404">
        <f>IF(VLOOKUP($B10,'NHG''s optical glass 202608'!$C$7:$GO$213,22,FALSE)="","",VLOOKUP($B10,'NHG''s optical glass 202608'!$C$7:$GO$213,22,FALSE))</f>
        <v>1.82387</v>
      </c>
      <c r="AX10" s="404"/>
      <c r="AY10" s="404"/>
      <c r="AZ10" s="404"/>
      <c r="BA10" s="404">
        <f>IF(VLOOKUP($B10,'NHG''s optical glass 202608'!$C$7:$GO$213,23,FALSE)="","",VLOOKUP($B10,'NHG''s optical glass 202608'!$C$7:$GO$213,23,FALSE))</f>
        <v>1.82502</v>
      </c>
      <c r="BB10" s="404"/>
      <c r="BC10" s="404"/>
      <c r="BD10" s="404">
        <f>IF(VLOOKUP($B10,'NHG''s optical glass 202608'!$C$7:$GO$213,24,FALSE)="","",VLOOKUP($B10,'NHG''s optical glass 202608'!$C$7:$GO$213,24,FALSE))</f>
        <v>1.83508</v>
      </c>
      <c r="BE10" s="404"/>
      <c r="BF10" s="404"/>
      <c r="BG10" s="404">
        <f>IF(VLOOKUP($B10,'NHG''s optical glass 202608'!$C$7:$GO$213,25,FALSE)="","",VLOOKUP($B10,'NHG''s optical glass 202608'!$C$7:$GO$213,25,FALSE))</f>
        <v>1.84465</v>
      </c>
      <c r="BH10" s="404"/>
      <c r="BI10" s="404"/>
      <c r="BJ10" s="404">
        <f>IF(VLOOKUP($B10,'NHG''s optical glass 202608'!$C$7:$GO$213,26,FALSE)="","",VLOOKUP($B10,'NHG''s optical glass 202608'!$C$7:$GO$213,26,FALSE))</f>
        <v>1.8616</v>
      </c>
      <c r="BK10" s="404"/>
      <c r="BL10" s="404"/>
      <c r="BM10" s="438">
        <f>IF(VLOOKUP($B10,'NHG''s optical glass 202608'!$C$7:$GO$213,33,FALSE)="","",VLOOKUP($B10,'NHG''s optical glass 202608'!$C$7:$GO$213,33,FALSE))</f>
        <v>0.2981</v>
      </c>
      <c r="BN10" s="438"/>
      <c r="BO10" s="438"/>
      <c r="BP10" s="438">
        <f>IF(VLOOKUP($B10,'NHG''s optical glass 202608'!$C$7:$GO$213,35,FALSE)="","",VLOOKUP($B10,'NHG''s optical glass 202608'!$C$7:$GO$213,35,FALSE))</f>
        <v>0.5674</v>
      </c>
      <c r="BQ10" s="438"/>
      <c r="BR10" s="438"/>
      <c r="BS10" s="438"/>
      <c r="BT10" s="438">
        <f>IF(VLOOKUP($B10,'NHG''s optical glass 202608'!$C$7:$GO$213,40,FALSE)="","",VLOOKUP($B10,'NHG''s optical glass 202608'!$C$7:$GO$213,40,FALSE))</f>
        <v>-0.0081</v>
      </c>
      <c r="BU10" s="438"/>
      <c r="BV10" s="438"/>
      <c r="BW10" s="438">
        <f>IF(VLOOKUP($B10,'NHG''s optical glass 202608'!$C$7:$GO$213,41,FALSE)="","",VLOOKUP($B10,'NHG''s optical glass 202608'!$C$7:$GO$213,41,FALSE))</f>
        <v>0.0083</v>
      </c>
      <c r="BX10" s="438"/>
      <c r="BY10" s="438"/>
      <c r="BZ10" s="441">
        <f>IF(VLOOKUP($B19,'NHG''s optical glass 202608'!$C$7:$KZ$213,186,FALSE)="","",VLOOKUP($B19,'NHG''s optical glass 202608'!$C$7:$KZ$213,186,FALSE))</f>
        <v>60</v>
      </c>
      <c r="CA10" s="441"/>
      <c r="CB10" s="443"/>
      <c r="CC10" s="443">
        <f>IF(VLOOKUP($B19,'NHG''s optical glass 202608'!$C$7:$KZ$213,187,FALSE)="","",VLOOKUP($B19,'NHG''s optical glass 202608'!$C$7:$KZ$213,187,FALSE))</f>
        <v>79</v>
      </c>
      <c r="CD10" s="443"/>
      <c r="CE10" s="443"/>
      <c r="CF10" s="443"/>
      <c r="CG10" s="443"/>
      <c r="CH10" s="450">
        <f>IF(VLOOKUP($B10,'NHG''s optical glass 202608'!$C$7:$GO$213,99,FALSE)="","",VLOOKUP($B10,'NHG''s optical glass 202608'!$C$7:$GO$213,99,FALSE))</f>
        <v>7.6</v>
      </c>
      <c r="CI10" s="450"/>
      <c r="CJ10" s="450"/>
      <c r="CK10" s="448">
        <f>IF(VLOOKUP($B10,'NHG''s optical glass 202608'!$C$7:$GO$213,102,FALSE)="","",VLOOKUP($B10,'NHG''s optical glass 202608'!$C$7:$GO$213,102,FALSE))</f>
        <v>8.6</v>
      </c>
      <c r="CL10" s="448"/>
      <c r="CM10" s="448"/>
      <c r="CN10" s="448"/>
      <c r="CO10" s="448">
        <f>IF(VLOOKUP($B10,'NHG''s optical glass 202608'!$C$7:$GO$213,105,FALSE)="","",VLOOKUP($B10,'NHG''s optical glass 202608'!$C$7:$GO$213,105,FALSE))</f>
        <v>9.2</v>
      </c>
      <c r="CP10" s="448"/>
      <c r="CQ10" s="448"/>
      <c r="CR10" s="448"/>
      <c r="CS10" s="407" t="str">
        <f t="shared" si="0"/>
        <v>D-ZLaF52N</v>
      </c>
      <c r="CT10" s="233"/>
      <c r="CU10" s="233"/>
      <c r="CV10" s="233"/>
      <c r="CW10" s="233"/>
      <c r="CX10" s="233"/>
    </row>
    <row r="11" s="1" customFormat="1" ht="14.45" customHeight="1" spans="2:97">
      <c r="B11" s="399" t="s">
        <v>1649</v>
      </c>
      <c r="C11" s="399" t="s">
        <v>1650</v>
      </c>
      <c r="D11" s="399" t="s">
        <v>1681</v>
      </c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 t="s">
        <v>1682</v>
      </c>
      <c r="AO11" s="399"/>
      <c r="AP11" s="399"/>
      <c r="AQ11" s="399"/>
      <c r="AR11" s="399" t="s">
        <v>1683</v>
      </c>
      <c r="AS11" s="399"/>
      <c r="AT11" s="399"/>
      <c r="AV11" s="2"/>
      <c r="AW11" s="399" t="s">
        <v>1684</v>
      </c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99" t="s">
        <v>1685</v>
      </c>
      <c r="BI11" s="399"/>
      <c r="BJ11" s="399"/>
      <c r="BK11" s="399"/>
      <c r="BL11" s="399"/>
      <c r="BM11" s="399"/>
      <c r="BN11" s="408" t="s">
        <v>1686</v>
      </c>
      <c r="BO11" s="399"/>
      <c r="BP11" s="399"/>
      <c r="BQ11" s="399"/>
      <c r="BR11" s="408" t="s">
        <v>1687</v>
      </c>
      <c r="BS11" s="399"/>
      <c r="BT11" s="399"/>
      <c r="BU11" s="413" t="s">
        <v>1712</v>
      </c>
      <c r="BV11" s="413"/>
      <c r="BW11" s="413"/>
      <c r="BX11" s="413"/>
      <c r="BY11" s="413"/>
      <c r="BZ11" s="413"/>
      <c r="CA11" s="413"/>
      <c r="CB11" s="444" t="s">
        <v>1689</v>
      </c>
      <c r="CC11" s="444"/>
      <c r="CD11" s="444"/>
      <c r="CE11" s="444"/>
      <c r="CF11" s="444"/>
      <c r="CG11" s="444" t="s">
        <v>1690</v>
      </c>
      <c r="CH11" s="444"/>
      <c r="CI11" s="408" t="s">
        <v>1691</v>
      </c>
      <c r="CJ11" s="408"/>
      <c r="CK11" s="408" t="s">
        <v>1692</v>
      </c>
      <c r="CL11" s="408"/>
      <c r="CM11" s="408"/>
      <c r="CN11" s="408" t="s">
        <v>1693</v>
      </c>
      <c r="CO11" s="408"/>
      <c r="CP11" s="408"/>
      <c r="CQ11" s="408" t="s">
        <v>1694</v>
      </c>
      <c r="CR11" s="408"/>
      <c r="CS11" s="399" t="s">
        <v>1649</v>
      </c>
    </row>
    <row r="12" ht="14.45" customHeight="1" spans="2:97">
      <c r="B12" s="399"/>
      <c r="C12" s="399"/>
      <c r="D12" s="408">
        <v>2400</v>
      </c>
      <c r="E12" s="408"/>
      <c r="F12" s="408">
        <v>1600</v>
      </c>
      <c r="G12" s="408"/>
      <c r="H12" s="408">
        <v>950</v>
      </c>
      <c r="I12" s="408"/>
      <c r="J12" s="408"/>
      <c r="K12" s="408"/>
      <c r="L12" s="408"/>
      <c r="M12" s="408">
        <v>850</v>
      </c>
      <c r="N12" s="408"/>
      <c r="O12" s="408"/>
      <c r="P12" s="413">
        <v>700</v>
      </c>
      <c r="Q12" s="413"/>
      <c r="R12" s="413"/>
      <c r="S12" s="408">
        <v>500</v>
      </c>
      <c r="T12" s="408"/>
      <c r="U12" s="408">
        <v>460</v>
      </c>
      <c r="V12" s="408"/>
      <c r="W12" s="408">
        <v>440</v>
      </c>
      <c r="X12" s="408"/>
      <c r="Y12" s="408">
        <v>420</v>
      </c>
      <c r="Z12" s="408"/>
      <c r="AA12" s="408"/>
      <c r="AB12" s="408">
        <v>400</v>
      </c>
      <c r="AC12" s="408"/>
      <c r="AD12" s="408">
        <v>380</v>
      </c>
      <c r="AE12" s="408"/>
      <c r="AF12" s="408"/>
      <c r="AG12" s="408">
        <v>370</v>
      </c>
      <c r="AH12" s="408"/>
      <c r="AI12" s="408"/>
      <c r="AJ12" s="408"/>
      <c r="AK12" s="408">
        <v>360</v>
      </c>
      <c r="AL12" s="408"/>
      <c r="AM12" s="408"/>
      <c r="AN12" s="417" t="s">
        <v>1695</v>
      </c>
      <c r="AO12" s="421"/>
      <c r="AP12" s="421"/>
      <c r="AQ12" s="422"/>
      <c r="AR12" s="408" t="s">
        <v>1696</v>
      </c>
      <c r="AS12" s="408"/>
      <c r="AT12" s="408"/>
      <c r="AV12" s="423"/>
      <c r="AW12" s="430" t="s">
        <v>1697</v>
      </c>
      <c r="AX12" s="430"/>
      <c r="AY12" s="430"/>
      <c r="AZ12" s="430" t="s">
        <v>1698</v>
      </c>
      <c r="BA12" s="430"/>
      <c r="BB12" s="430" t="s">
        <v>1699</v>
      </c>
      <c r="BC12" s="430"/>
      <c r="BD12" s="430"/>
      <c r="BE12" s="430" t="s">
        <v>1700</v>
      </c>
      <c r="BF12" s="430"/>
      <c r="BG12" s="430"/>
      <c r="BH12" s="430" t="s">
        <v>1701</v>
      </c>
      <c r="BI12" s="430"/>
      <c r="BJ12" s="430"/>
      <c r="BK12" s="430"/>
      <c r="BL12" s="430" t="s">
        <v>1702</v>
      </c>
      <c r="BM12" s="430"/>
      <c r="BN12" s="399"/>
      <c r="BO12" s="399"/>
      <c r="BP12" s="399"/>
      <c r="BQ12" s="399"/>
      <c r="BR12" s="399"/>
      <c r="BS12" s="399"/>
      <c r="BT12" s="399"/>
      <c r="BU12" s="413"/>
      <c r="BV12" s="413"/>
      <c r="BW12" s="413"/>
      <c r="BX12" s="413"/>
      <c r="BY12" s="413"/>
      <c r="BZ12" s="413"/>
      <c r="CA12" s="413"/>
      <c r="CB12" s="444"/>
      <c r="CC12" s="444"/>
      <c r="CD12" s="444"/>
      <c r="CE12" s="444"/>
      <c r="CF12" s="444"/>
      <c r="CG12" s="444"/>
      <c r="CH12" s="444"/>
      <c r="CI12" s="408"/>
      <c r="CJ12" s="408"/>
      <c r="CK12" s="408"/>
      <c r="CL12" s="408"/>
      <c r="CM12" s="408"/>
      <c r="CN12" s="408"/>
      <c r="CO12" s="408"/>
      <c r="CP12" s="408"/>
      <c r="CQ12" s="408"/>
      <c r="CR12" s="408"/>
      <c r="CS12" s="399"/>
    </row>
    <row r="13" s="398" customFormat="1" ht="14.45" customHeight="1" spans="2:102">
      <c r="B13" s="399"/>
      <c r="C13" s="399"/>
      <c r="D13" s="408" t="s">
        <v>1703</v>
      </c>
      <c r="E13" s="408"/>
      <c r="F13" s="408" t="s">
        <v>1703</v>
      </c>
      <c r="G13" s="408"/>
      <c r="H13" s="408" t="s">
        <v>1703</v>
      </c>
      <c r="I13" s="408"/>
      <c r="J13" s="408"/>
      <c r="K13" s="408"/>
      <c r="L13" s="408"/>
      <c r="M13" s="408" t="s">
        <v>1703</v>
      </c>
      <c r="N13" s="408"/>
      <c r="O13" s="408"/>
      <c r="P13" s="413" t="s">
        <v>1703</v>
      </c>
      <c r="Q13" s="413"/>
      <c r="R13" s="413"/>
      <c r="S13" s="408" t="s">
        <v>1703</v>
      </c>
      <c r="T13" s="408"/>
      <c r="U13" s="408" t="s">
        <v>1703</v>
      </c>
      <c r="V13" s="408"/>
      <c r="W13" s="408" t="s">
        <v>1703</v>
      </c>
      <c r="X13" s="408"/>
      <c r="Y13" s="408" t="s">
        <v>1703</v>
      </c>
      <c r="Z13" s="408"/>
      <c r="AA13" s="408"/>
      <c r="AB13" s="399" t="s">
        <v>1703</v>
      </c>
      <c r="AC13" s="399"/>
      <c r="AD13" s="408" t="s">
        <v>1703</v>
      </c>
      <c r="AE13" s="408"/>
      <c r="AF13" s="408"/>
      <c r="AG13" s="408" t="s">
        <v>1703</v>
      </c>
      <c r="AH13" s="408"/>
      <c r="AI13" s="408"/>
      <c r="AJ13" s="408"/>
      <c r="AK13" s="408" t="s">
        <v>1703</v>
      </c>
      <c r="AL13" s="408"/>
      <c r="AM13" s="408"/>
      <c r="AN13" s="418"/>
      <c r="AO13" s="424"/>
      <c r="AP13" s="424"/>
      <c r="AQ13" s="425"/>
      <c r="AR13" s="408"/>
      <c r="AS13" s="408"/>
      <c r="AT13" s="408"/>
      <c r="AU13" s="7"/>
      <c r="AV13" s="423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08" t="s">
        <v>1704</v>
      </c>
      <c r="BO13" s="408"/>
      <c r="BP13" s="408"/>
      <c r="BQ13" s="408"/>
      <c r="BR13" s="408" t="s">
        <v>1705</v>
      </c>
      <c r="BS13" s="408"/>
      <c r="BT13" s="408"/>
      <c r="BU13" s="445" t="s">
        <v>1713</v>
      </c>
      <c r="BV13" s="408"/>
      <c r="BW13" s="408"/>
      <c r="BX13" s="408"/>
      <c r="BY13" s="408"/>
      <c r="BZ13" s="408"/>
      <c r="CA13" s="408"/>
      <c r="CB13" s="408" t="s">
        <v>0</v>
      </c>
      <c r="CC13" s="408"/>
      <c r="CD13" s="408"/>
      <c r="CE13" s="408"/>
      <c r="CF13" s="408"/>
      <c r="CG13" s="408" t="s">
        <v>200</v>
      </c>
      <c r="CH13" s="408"/>
      <c r="CI13" s="408" t="s">
        <v>1708</v>
      </c>
      <c r="CJ13" s="408"/>
      <c r="CK13" s="408" t="s">
        <v>1709</v>
      </c>
      <c r="CL13" s="408"/>
      <c r="CM13" s="408"/>
      <c r="CN13" s="408" t="s">
        <v>303</v>
      </c>
      <c r="CO13" s="408"/>
      <c r="CP13" s="408"/>
      <c r="CQ13" s="408" t="s">
        <v>1710</v>
      </c>
      <c r="CR13" s="408"/>
      <c r="CS13" s="399"/>
      <c r="CT13" s="7"/>
      <c r="CU13" s="7"/>
      <c r="CV13" s="7"/>
      <c r="CW13" s="7"/>
      <c r="CX13" s="7"/>
    </row>
    <row r="14" s="3" customFormat="1" ht="14.45" customHeight="1" spans="2:102">
      <c r="B14" s="400" t="str">
        <f t="shared" ref="B14:B19" si="1">B5</f>
        <v>D-LaF50-170</v>
      </c>
      <c r="C14" s="18">
        <f t="shared" ref="C14:C19" si="2">C5</f>
        <v>774494</v>
      </c>
      <c r="D14" s="52">
        <f>IF(VLOOKUP($B14,'NHG''s optical glass 202608'!$C$7:$KZ$213,259,FALSE)="","",VLOOKUP($B14,'NHG''s optical glass 202608'!$C$7:$KZ$213,259,FALSE))</f>
        <v>0.663</v>
      </c>
      <c r="E14" s="52"/>
      <c r="F14" s="52">
        <f>IF(VLOOKUP($B14,'NHG''s optical glass 202608'!$C$7:$KZ$213,263,FALSE)="","",VLOOKUP($B14,'NHG''s optical glass 202608'!$C$7:$KZ$213,263,FALSE))</f>
        <v>0.992</v>
      </c>
      <c r="G14" s="52"/>
      <c r="H14" s="52">
        <f>IF(VLOOKUP($B14,'NHG''s optical glass 202608'!$C$7:$KZ$213,268,FALSE)="","",VLOOKUP($B14,'NHG''s optical glass 202608'!$C$7:$KZ$213,268,FALSE))</f>
        <v>0.996</v>
      </c>
      <c r="I14" s="52"/>
      <c r="J14" s="52"/>
      <c r="K14" s="52"/>
      <c r="L14" s="52"/>
      <c r="M14" s="52">
        <f>IF(VLOOKUP($B14,'NHG''s optical glass 202608'!$C$7:$KZ$213,270,FALSE)="","",VLOOKUP($B14,'NHG''s optical glass 202608'!$C$7:$KZ$213,270,FALSE))</f>
        <v>0.996</v>
      </c>
      <c r="N14" s="52"/>
      <c r="O14" s="52"/>
      <c r="P14" s="248">
        <f>IF(VLOOKUP($B14,'NHG''s optical glass 202608'!$C$7:$KZ$213,273,FALSE)="","",VLOOKUP($B14,'NHG''s optical glass 202608'!$C$7:$KZ$213,273,FALSE))</f>
        <v>0.996</v>
      </c>
      <c r="Q14" s="248"/>
      <c r="R14" s="248"/>
      <c r="S14" s="52">
        <f>IF(VLOOKUP($B14,'NHG''s optical glass 202608'!$C$7:$KZ$213,277,FALSE)="","",VLOOKUP($B14,'NHG''s optical glass 202608'!$C$7:$KZ$213,277,FALSE))</f>
        <v>0.99</v>
      </c>
      <c r="T14" s="52"/>
      <c r="U14" s="52">
        <f>IF(VLOOKUP($B14,'NHG''s optical glass 202608'!$C$7:$KZ$213,279,FALSE)="","",VLOOKUP($B14,'NHG''s optical glass 202608'!$C$7:$KZ$213,279,FALSE))</f>
        <v>0.986</v>
      </c>
      <c r="V14" s="52"/>
      <c r="W14" s="52">
        <f>IF(VLOOKUP($B14,'NHG''s optical glass 202608'!$C$7:$KZ$213,280,FALSE)="","",VLOOKUP($B14,'NHG''s optical glass 202608'!$C$7:$KZ$213,280,FALSE))</f>
        <v>0.983</v>
      </c>
      <c r="X14" s="52"/>
      <c r="Y14" s="52">
        <f>IF(VLOOKUP($B14,'NHG''s optical glass 202608'!$C$7:$KZ$213,281,FALSE)="","",VLOOKUP($B14,'NHG''s optical glass 202608'!$C$7:$KZ$213,281,FALSE))</f>
        <v>0.98</v>
      </c>
      <c r="Z14" s="52"/>
      <c r="AA14" s="52"/>
      <c r="AB14" s="52">
        <f>IF(VLOOKUP($B14,'NHG''s optical glass 202608'!$C$7:$KZ$213,282,FALSE)="","",VLOOKUP($B14,'NHG''s optical glass 202608'!$C$7:$KZ$213,282,FALSE))</f>
        <v>0.974</v>
      </c>
      <c r="AC14" s="52"/>
      <c r="AD14" s="52">
        <f>IF(VLOOKUP($B14,'NHG''s optical glass 202608'!$C$7:$KZ$213,284,FALSE)="","",VLOOKUP($B14,'NHG''s optical glass 202608'!$C$7:$KZ$213,284,FALSE))</f>
        <v>0.959</v>
      </c>
      <c r="AE14" s="52"/>
      <c r="AF14" s="52"/>
      <c r="AG14" s="52">
        <f>IF(VLOOKUP($B14,'NHG''s optical glass 202608'!$C$7:$KZ$213,285,FALSE)="","",VLOOKUP($B14,'NHG''s optical glass 202608'!$C$7:$KZ$213,285,FALSE))</f>
        <v>0.933</v>
      </c>
      <c r="AH14" s="52"/>
      <c r="AI14" s="52"/>
      <c r="AJ14" s="52"/>
      <c r="AK14" s="52">
        <f>IF(VLOOKUP($B14,'NHG''s optical glass 202608'!$C$7:$KZ$213,286,FALSE)="","",VLOOKUP($B14,'NHG''s optical glass 202608'!$C$7:$KZ$213,286,FALSE))</f>
        <v>0.887</v>
      </c>
      <c r="AL14" s="52"/>
      <c r="AM14" s="52"/>
      <c r="AN14" s="88" t="str">
        <f>IF(VLOOKUP($B14,'NHG''s optical glass 202608'!$C$7:$KZ$213,221,FALSE)="","",VLOOKUP($B14,'NHG''s optical glass 202608'!$C$7:$KZ$213,221,FALSE))</f>
        <v>336/276</v>
      </c>
      <c r="AO14" s="89"/>
      <c r="AP14" s="89"/>
      <c r="AQ14" s="108"/>
      <c r="AR14" s="18" t="str">
        <f>IF(VLOOKUP($B14,'NHG''s optical glass 202608'!$C$7:$KZ$213,220,FALSE)="","",VLOOKUP($B14,'NHG''s optical glass 202608'!$C$7:$KZ$213,220,FALSE))</f>
        <v>370/280</v>
      </c>
      <c r="AS14" s="18"/>
      <c r="AT14" s="18"/>
      <c r="AU14" s="1"/>
      <c r="AV14" s="2"/>
      <c r="AW14" s="58">
        <f>IF(VLOOKUP($B14,'NHG''s optical glass 202608'!$C$7:$KZ$213,170,FALSE)="","",VLOOKUP($B14,'NHG''s optical glass 202608'!$C$7:$KZ$213,170,FALSE))</f>
        <v>1</v>
      </c>
      <c r="AX14" s="58"/>
      <c r="AY14" s="58"/>
      <c r="AZ14" s="58">
        <f>IF(VLOOKUP($B14,'NHG''s optical glass 202608'!$C$7:$KZ$213,171,FALSE)="","",VLOOKUP($B14,'NHG''s optical glass 202608'!$C$7:$KZ$213,171,FALSE))</f>
        <v>2</v>
      </c>
      <c r="BA14" s="58"/>
      <c r="BB14" s="58">
        <f>IF(VLOOKUP($B14,'NHG''s optical glass 202608'!$C$7:$KZ$213,175,FALSE)="","",VLOOKUP($B14,'NHG''s optical glass 202608'!$C$7:$KZ$213,175,FALSE))</f>
        <v>2</v>
      </c>
      <c r="BC14" s="58"/>
      <c r="BD14" s="58"/>
      <c r="BE14" s="58">
        <f>IF(VLOOKUP($B14,'NHG''s optical glass 202608'!$C$7:$KZ$213,174,FALSE)="","",VLOOKUP($B14,'NHG''s optical glass 202608'!$C$7:$KZ$213,174,FALSE))</f>
        <v>1</v>
      </c>
      <c r="BF14" s="58"/>
      <c r="BG14" s="58"/>
      <c r="BH14" s="58">
        <f>IF(VLOOKUP($B14,'NHG''s optical glass 202608'!$C$7:$KZ$213,172,FALSE)="","",VLOOKUP($B14,'NHG''s optical glass 202608'!$C$7:$KZ$213,172,FALSE))</f>
        <v>1</v>
      </c>
      <c r="BI14" s="58"/>
      <c r="BJ14" s="58"/>
      <c r="BK14" s="58"/>
      <c r="BL14" s="18">
        <f>IF(VLOOKUP($B14,'NHG''s optical glass 202608'!$C$7:$KZ$213,173,FALSE)="","",VLOOKUP($B14,'NHG''s optical glass 202608'!$C$7:$KZ$213,173,FALSE))</f>
        <v>3</v>
      </c>
      <c r="BM14" s="18"/>
      <c r="BN14" s="18">
        <f>IF(VLOOKUP($B14,'NHG''s optical glass 202608'!$C$7:$KZ$213,180,FALSE)="","",VLOOKUP($B14,'NHG''s optical glass 202608'!$C$7:$KZ$213,180,FALSE))</f>
        <v>628</v>
      </c>
      <c r="BO14" s="18"/>
      <c r="BP14" s="18"/>
      <c r="BQ14" s="18"/>
      <c r="BR14" s="18">
        <f>IF(VLOOKUP($B14,'NHG''s optical glass 202608'!$C$7:$KZ$213,181,FALSE)="","",VLOOKUP($B14,'NHG''s optical glass 202608'!$C$7:$KZ$213,181,FALSE))</f>
        <v>662</v>
      </c>
      <c r="BS14" s="18"/>
      <c r="BT14" s="18"/>
      <c r="BU14" s="18">
        <f>IF(VLOOKUP($B14,'NHG''s optical glass 202608'!$C$7:$KZ$213,210,FALSE)="","",VLOOKUP($B14,'NHG''s optical glass 202608'!$C$7:$KZ$213,210,FALSE))</f>
        <v>138</v>
      </c>
      <c r="BV14" s="18"/>
      <c r="BW14" s="18"/>
      <c r="BX14" s="18"/>
      <c r="BY14" s="18"/>
      <c r="BZ14" s="18"/>
      <c r="CA14" s="18"/>
      <c r="CB14" s="18">
        <f>IF(VLOOKUP($B14,'NHG''s optical glass 202608'!$C$7:$KZ$213,184,FALSE)="","",VLOOKUP($B14,'NHG''s optical glass 202608'!$C$7:$KZ$213,184,FALSE))</f>
        <v>0.8</v>
      </c>
      <c r="CC14" s="18"/>
      <c r="CD14" s="18"/>
      <c r="CE14" s="18"/>
      <c r="CF14" s="18"/>
      <c r="CG14" s="451" t="str">
        <f>IF(VLOOKUP($B14,'NHG''s optical glass 202608'!$C$7:$KZ$213,185,FALSE)="","",VLOOKUP($B14,'NHG''s optical glass 202608'!$C$7:$KZ$213,185,FALSE))</f>
        <v/>
      </c>
      <c r="CH14" s="18"/>
      <c r="CI14" s="18">
        <f>IF(VLOOKUP($B14,'NHG''s optical glass 202608'!$C$7:$KZ$213,212,FALSE)="","",VLOOKUP($B14,'NHG''s optical glass 202608'!$C$7:$KZ$213,212,FALSE))</f>
        <v>597</v>
      </c>
      <c r="CJ14" s="18"/>
      <c r="CK14" s="18">
        <f>IF(VLOOKUP($B14,'NHG''s optical glass 202608'!$C$7:$KZ$213,213,FALSE)="","",VLOOKUP($B14,'NHG''s optical glass 202608'!$C$7:$KZ$213,213,FALSE))</f>
        <v>82</v>
      </c>
      <c r="CL14" s="18"/>
      <c r="CM14" s="18"/>
      <c r="CN14" s="122">
        <f>IF(VLOOKUP($B14,'NHG''s optical glass 202608'!$C$7:$KZ$213,218,FALSE)="","",VLOOKUP($B14,'NHG''s optical glass 202608'!$C$7:$KZ$213,218,FALSE))</f>
        <v>1.52</v>
      </c>
      <c r="CO14" s="122"/>
      <c r="CP14" s="122"/>
      <c r="CQ14" s="122">
        <f>IF(VLOOKUP($B14,'NHG''s optical glass 202608'!$C$7:$KZ$213,219,FALSE)="","",VLOOKUP($B14,'NHG''s optical glass 202608'!$C$7:$KZ$213,219,FALSE))</f>
        <v>4.62</v>
      </c>
      <c r="CR14" s="122"/>
      <c r="CS14" s="400" t="str">
        <f t="shared" ref="CS14:CS19" si="3">B14</f>
        <v>D-LaF50-170</v>
      </c>
      <c r="CT14" s="1"/>
      <c r="CU14" s="1"/>
      <c r="CV14" s="1"/>
      <c r="CW14" s="1"/>
      <c r="CX14" s="1"/>
    </row>
    <row r="15" s="231" customFormat="1" ht="14.45" customHeight="1" spans="2:102">
      <c r="B15" s="407" t="str">
        <f t="shared" si="1"/>
        <v>D-LaF731</v>
      </c>
      <c r="C15" s="403">
        <f t="shared" si="2"/>
        <v>731405</v>
      </c>
      <c r="D15" s="409">
        <f>IF(VLOOKUP($B15,'NHG''s optical glass 202608'!$C$7:$KZ$213,259,FALSE)="","",VLOOKUP($B15,'NHG''s optical glass 202608'!$C$7:$KZ$213,259,FALSE))</f>
        <v>0.81</v>
      </c>
      <c r="E15" s="409"/>
      <c r="F15" s="409">
        <f>IF(VLOOKUP($B15,'NHG''s optical glass 202608'!$C$7:$KZ$213,263,FALSE)="","",VLOOKUP($B15,'NHG''s optical glass 202608'!$C$7:$KZ$213,263,FALSE))</f>
        <v>0.998</v>
      </c>
      <c r="G15" s="409"/>
      <c r="H15" s="409">
        <f>IF(VLOOKUP($B15,'NHG''s optical glass 202608'!$C$7:$KZ$213,268,FALSE)="","",VLOOKUP($B15,'NHG''s optical glass 202608'!$C$7:$KZ$213,268,FALSE))</f>
        <v>0.998</v>
      </c>
      <c r="I15" s="409"/>
      <c r="J15" s="409"/>
      <c r="K15" s="409"/>
      <c r="L15" s="409"/>
      <c r="M15" s="409">
        <f>IF(VLOOKUP($B15,'NHG''s optical glass 202608'!$C$7:$KZ$213,270,FALSE)="","",VLOOKUP($B15,'NHG''s optical glass 202608'!$C$7:$KZ$213,270,FALSE))</f>
        <v>0.998</v>
      </c>
      <c r="N15" s="409"/>
      <c r="O15" s="409"/>
      <c r="P15" s="409">
        <f>IF(VLOOKUP($B15,'NHG''s optical glass 202608'!$C$7:$KZ$213,273,FALSE)="","",VLOOKUP($B15,'NHG''s optical glass 202608'!$C$7:$KZ$213,273,FALSE))</f>
        <v>0.998</v>
      </c>
      <c r="Q15" s="409"/>
      <c r="R15" s="409"/>
      <c r="S15" s="409">
        <f>IF(VLOOKUP($B15,'NHG''s optical glass 202608'!$C$7:$KZ$213,277,FALSE)="","",VLOOKUP($B15,'NHG''s optical glass 202608'!$C$7:$KZ$213,277,FALSE))</f>
        <v>0.992</v>
      </c>
      <c r="T15" s="409"/>
      <c r="U15" s="409">
        <f>IF(VLOOKUP($B15,'NHG''s optical glass 202608'!$C$7:$KZ$213,279,FALSE)="","",VLOOKUP($B15,'NHG''s optical glass 202608'!$C$7:$KZ$213,279,FALSE))</f>
        <v>0.982</v>
      </c>
      <c r="V15" s="409"/>
      <c r="W15" s="409">
        <f>IF(VLOOKUP($B15,'NHG''s optical glass 202608'!$C$7:$KZ$213,280,FALSE)="","",VLOOKUP($B15,'NHG''s optical glass 202608'!$C$7:$KZ$213,280,FALSE))</f>
        <v>0.974</v>
      </c>
      <c r="X15" s="409"/>
      <c r="Y15" s="409">
        <f>IF(VLOOKUP($B15,'NHG''s optical glass 202608'!$C$7:$KZ$213,281,FALSE)="","",VLOOKUP($B15,'NHG''s optical glass 202608'!$C$7:$KZ$213,281,FALSE))</f>
        <v>0.953</v>
      </c>
      <c r="Z15" s="409"/>
      <c r="AA15" s="409"/>
      <c r="AB15" s="409">
        <f>IF(VLOOKUP($B15,'NHG''s optical glass 202608'!$C$7:$KZ$213,282,FALSE)="","",VLOOKUP($B15,'NHG''s optical glass 202608'!$C$7:$KZ$213,282,FALSE))</f>
        <v>0.937</v>
      </c>
      <c r="AC15" s="409"/>
      <c r="AD15" s="409">
        <f>IF(VLOOKUP($B15,'NHG''s optical glass 202608'!$C$7:$KZ$213,284,FALSE)="","",VLOOKUP($B15,'NHG''s optical glass 202608'!$C$7:$KZ$213,284,FALSE))</f>
        <v>0.856</v>
      </c>
      <c r="AE15" s="409"/>
      <c r="AF15" s="409"/>
      <c r="AG15" s="409">
        <f>IF(VLOOKUP($B15,'NHG''s optical glass 202608'!$C$7:$KZ$213,285,FALSE)="","",VLOOKUP($B15,'NHG''s optical glass 202608'!$C$7:$KZ$213,285,FALSE))</f>
        <v>0.752</v>
      </c>
      <c r="AH15" s="409"/>
      <c r="AI15" s="409"/>
      <c r="AJ15" s="409"/>
      <c r="AK15" s="409">
        <f>IF(VLOOKUP($B15,'NHG''s optical glass 202608'!$C$7:$KZ$213,286,FALSE)="","",VLOOKUP($B15,'NHG''s optical glass 202608'!$C$7:$KZ$213,286,FALSE))</f>
        <v>0.535</v>
      </c>
      <c r="AL15" s="409"/>
      <c r="AM15" s="409"/>
      <c r="AN15" s="419" t="str">
        <f>IF(VLOOKUP($B15,'NHG''s optical glass 202608'!$C$7:$KZ$213,221,FALSE)="","",VLOOKUP($B15,'NHG''s optical glass 202608'!$C$7:$KZ$213,221,FALSE))</f>
        <v>364/335</v>
      </c>
      <c r="AO15" s="426"/>
      <c r="AP15" s="426"/>
      <c r="AQ15" s="427"/>
      <c r="AR15" s="403" t="str">
        <f>IF(VLOOKUP($B15,'NHG''s optical glass 202608'!$C$7:$KZ$213,220,FALSE)="","",VLOOKUP($B15,'NHG''s optical glass 202608'!$C$7:$KZ$213,220,FALSE))</f>
        <v>390/340</v>
      </c>
      <c r="AS15" s="403"/>
      <c r="AT15" s="403"/>
      <c r="AU15" s="233"/>
      <c r="AV15" s="232"/>
      <c r="AW15" s="431">
        <f>IF(VLOOKUP($B15,'NHG''s optical glass 202608'!$C$7:$KZ$213,170,FALSE)="","",VLOOKUP($B15,'NHG''s optical glass 202608'!$C$7:$KZ$213,170,FALSE))</f>
        <v>1</v>
      </c>
      <c r="AX15" s="431"/>
      <c r="AY15" s="431"/>
      <c r="AZ15" s="431">
        <f>IF(VLOOKUP($B15,'NHG''s optical glass 202608'!$C$7:$KZ$213,171,FALSE)="","",VLOOKUP($B15,'NHG''s optical glass 202608'!$C$7:$KZ$213,171,FALSE))</f>
        <v>3</v>
      </c>
      <c r="BA15" s="431"/>
      <c r="BB15" s="431">
        <f>IF(VLOOKUP($B15,'NHG''s optical glass 202608'!$C$7:$KZ$213,175,FALSE)="","",VLOOKUP($B15,'NHG''s optical glass 202608'!$C$7:$KZ$213,175,FALSE))</f>
        <v>2</v>
      </c>
      <c r="BC15" s="431"/>
      <c r="BD15" s="431"/>
      <c r="BE15" s="431">
        <f>IF(VLOOKUP($B15,'NHG''s optical glass 202608'!$C$7:$KZ$213,174,FALSE)="","",VLOOKUP($B15,'NHG''s optical glass 202608'!$C$7:$KZ$213,174,FALSE))</f>
        <v>1</v>
      </c>
      <c r="BF15" s="431"/>
      <c r="BG15" s="431"/>
      <c r="BH15" s="431">
        <f>IF(VLOOKUP($B15,'NHG''s optical glass 202608'!$C$7:$KZ$213,172,FALSE)="","",VLOOKUP($B15,'NHG''s optical glass 202608'!$C$7:$KZ$213,172,FALSE))</f>
        <v>1</v>
      </c>
      <c r="BI15" s="431"/>
      <c r="BJ15" s="431"/>
      <c r="BK15" s="431"/>
      <c r="BL15" s="403">
        <f>IF(VLOOKUP($B15,'NHG''s optical glass 202608'!$C$7:$KZ$213,173,FALSE)="","",VLOOKUP($B15,'NHG''s optical glass 202608'!$C$7:$KZ$213,173,FALSE))</f>
        <v>2</v>
      </c>
      <c r="BM15" s="403"/>
      <c r="BN15" s="439">
        <f>IF(VLOOKUP($B15,'NHG''s optical glass 202608'!$C$7:$KZ$213,180,FALSE)="","",VLOOKUP($B15,'NHG''s optical glass 202608'!$C$7:$KZ$213,180,FALSE))</f>
        <v>498</v>
      </c>
      <c r="BO15" s="439"/>
      <c r="BP15" s="439"/>
      <c r="BQ15" s="439"/>
      <c r="BR15" s="439">
        <f>IF(VLOOKUP($B15,'NHG''s optical glass 202608'!$C$7:$KZ$213,181,FALSE)="","",VLOOKUP($B15,'NHG''s optical glass 202608'!$C$7:$KZ$213,181,FALSE))</f>
        <v>533</v>
      </c>
      <c r="BS15" s="439"/>
      <c r="BT15" s="439"/>
      <c r="BU15" s="439">
        <f>IF(VLOOKUP($B15,'NHG''s optical glass 202608'!$C$7:$KZ$213,210,FALSE)="","",VLOOKUP($B15,'NHG''s optical glass 202608'!$C$7:$KZ$213,210,FALSE))</f>
        <v>105</v>
      </c>
      <c r="BV15" s="439"/>
      <c r="BW15" s="439"/>
      <c r="BX15" s="439"/>
      <c r="BY15" s="439"/>
      <c r="BZ15" s="439"/>
      <c r="CA15" s="439"/>
      <c r="CB15" s="439">
        <f>IF(VLOOKUP($B15,'NHG''s optical glass 202608'!$C$7:$KZ$213,184,FALSE)="","",VLOOKUP($B15,'NHG''s optical glass 202608'!$C$7:$KZ$213,184,FALSE))</f>
        <v>1.29</v>
      </c>
      <c r="CC15" s="439"/>
      <c r="CD15" s="439"/>
      <c r="CE15" s="439"/>
      <c r="CF15" s="439"/>
      <c r="CG15" s="439" t="str">
        <f>IF(VLOOKUP($B15,'NHG''s optical glass 202608'!$C$7:$KZ$213,185,FALSE)="","",VLOOKUP($B15,'NHG''s optical glass 202608'!$C$7:$KZ$213,185,FALSE))</f>
        <v/>
      </c>
      <c r="CH15" s="439"/>
      <c r="CI15" s="439">
        <f>IF(VLOOKUP($B15,'NHG''s optical glass 202608'!$C$7:$KZ$213,212,FALSE)="","",VLOOKUP($B15,'NHG''s optical glass 202608'!$C$7:$KZ$213,212,FALSE))</f>
        <v>611</v>
      </c>
      <c r="CJ15" s="439"/>
      <c r="CK15" s="439">
        <f>IF(VLOOKUP($B15,'NHG''s optical glass 202608'!$C$7:$KZ$213,213,FALSE)="","",VLOOKUP($B15,'NHG''s optical glass 202608'!$C$7:$KZ$213,213,FALSE))</f>
        <v>127</v>
      </c>
      <c r="CL15" s="439"/>
      <c r="CM15" s="439"/>
      <c r="CN15" s="453">
        <f>IF(VLOOKUP($B15,'NHG''s optical glass 202608'!$C$7:$KZ$213,218,FALSE)="","",VLOOKUP($B15,'NHG''s optical glass 202608'!$C$7:$KZ$213,218,FALSE))</f>
        <v>1.96</v>
      </c>
      <c r="CO15" s="453"/>
      <c r="CP15" s="453"/>
      <c r="CQ15" s="453">
        <f>IF(VLOOKUP($B15,'NHG''s optical glass 202608'!$C$7:$KZ$213,219,FALSE)="","",VLOOKUP($B15,'NHG''s optical glass 202608'!$C$7:$KZ$213,219,FALSE))</f>
        <v>3.21</v>
      </c>
      <c r="CR15" s="453"/>
      <c r="CS15" s="407" t="str">
        <f t="shared" si="3"/>
        <v>D-LaF731</v>
      </c>
      <c r="CT15" s="233"/>
      <c r="CU15" s="233"/>
      <c r="CV15" s="233"/>
      <c r="CW15" s="233"/>
      <c r="CX15" s="233"/>
    </row>
    <row r="16" s="231" customFormat="1" ht="14.45" customHeight="1" spans="2:102">
      <c r="B16" s="405" t="str">
        <f t="shared" si="1"/>
        <v>D-LaF743</v>
      </c>
      <c r="C16" s="234">
        <f t="shared" si="2"/>
        <v>743493</v>
      </c>
      <c r="D16" s="248">
        <f>IF(VLOOKUP($B16,'NHG''s optical glass 202608'!$C$7:$KZ$213,259,FALSE)="","",VLOOKUP($B16,'NHG''s optical glass 202608'!$C$7:$KZ$213,259,FALSE))</f>
        <v>0.689</v>
      </c>
      <c r="E16" s="248"/>
      <c r="F16" s="248">
        <f>IF(VLOOKUP($B16,'NHG''s optical glass 202608'!$C$7:$KZ$213,263,FALSE)="","",VLOOKUP($B16,'NHG''s optical glass 202608'!$C$7:$KZ$213,263,FALSE))</f>
        <v>0.996</v>
      </c>
      <c r="G16" s="248"/>
      <c r="H16" s="248">
        <f>IF(VLOOKUP($B16,'NHG''s optical glass 202608'!$C$7:$KZ$213,268,FALSE)="","",VLOOKUP($B16,'NHG''s optical glass 202608'!$C$7:$KZ$213,268,FALSE))</f>
        <v>0.998</v>
      </c>
      <c r="I16" s="248"/>
      <c r="J16" s="248"/>
      <c r="K16" s="248"/>
      <c r="L16" s="248"/>
      <c r="M16" s="248">
        <f>IF(VLOOKUP($B16,'NHG''s optical glass 202608'!$C$7:$KZ$213,270,FALSE)="","",VLOOKUP($B16,'NHG''s optical glass 202608'!$C$7:$KZ$213,270,FALSE))</f>
        <v>0.998</v>
      </c>
      <c r="N16" s="248"/>
      <c r="O16" s="248"/>
      <c r="P16" s="248">
        <f>IF(VLOOKUP($B16,'NHG''s optical glass 202608'!$C$7:$KZ$213,273,FALSE)="","",VLOOKUP($B16,'NHG''s optical glass 202608'!$C$7:$KZ$213,273,FALSE))</f>
        <v>0.998</v>
      </c>
      <c r="Q16" s="248"/>
      <c r="R16" s="248"/>
      <c r="S16" s="248">
        <f>IF(VLOOKUP($B16,'NHG''s optical glass 202608'!$C$7:$KZ$213,277,FALSE)="","",VLOOKUP($B16,'NHG''s optical glass 202608'!$C$7:$KZ$213,277,FALSE))</f>
        <v>0.998</v>
      </c>
      <c r="T16" s="248"/>
      <c r="U16" s="248">
        <f>IF(VLOOKUP($B16,'NHG''s optical glass 202608'!$C$7:$KZ$213,279,FALSE)="","",VLOOKUP($B16,'NHG''s optical glass 202608'!$C$7:$KZ$213,279,FALSE))</f>
        <v>0.995</v>
      </c>
      <c r="V16" s="248"/>
      <c r="W16" s="248">
        <f>IF(VLOOKUP($B16,'NHG''s optical glass 202608'!$C$7:$KZ$213,280,FALSE)="","",VLOOKUP($B16,'NHG''s optical glass 202608'!$C$7:$KZ$213,280,FALSE))</f>
        <v>0.994</v>
      </c>
      <c r="X16" s="248"/>
      <c r="Y16" s="248">
        <f>IF(VLOOKUP($B16,'NHG''s optical glass 202608'!$C$7:$KZ$213,281,FALSE)="","",VLOOKUP($B16,'NHG''s optical glass 202608'!$C$7:$KZ$213,281,FALSE))</f>
        <v>0.992</v>
      </c>
      <c r="Z16" s="248"/>
      <c r="AA16" s="248"/>
      <c r="AB16" s="248">
        <f>IF(VLOOKUP($B16,'NHG''s optical glass 202608'!$C$7:$KZ$213,282,FALSE)="","",VLOOKUP($B16,'NHG''s optical glass 202608'!$C$7:$KZ$213,282,FALSE))</f>
        <v>0.988</v>
      </c>
      <c r="AC16" s="248"/>
      <c r="AD16" s="248">
        <f>IF(VLOOKUP($B16,'NHG''s optical glass 202608'!$C$7:$KZ$213,284,FALSE)="","",VLOOKUP($B16,'NHG''s optical glass 202608'!$C$7:$KZ$213,284,FALSE))</f>
        <v>0.977</v>
      </c>
      <c r="AE16" s="248"/>
      <c r="AF16" s="248"/>
      <c r="AG16" s="248">
        <f>IF(VLOOKUP($B16,'NHG''s optical glass 202608'!$C$7:$KZ$213,285,FALSE)="","",VLOOKUP($B16,'NHG''s optical glass 202608'!$C$7:$KZ$213,285,FALSE))</f>
        <v>0.965</v>
      </c>
      <c r="AH16" s="248"/>
      <c r="AI16" s="248"/>
      <c r="AJ16" s="248"/>
      <c r="AK16" s="248">
        <f>IF(VLOOKUP($B16,'NHG''s optical glass 202608'!$C$7:$KZ$213,286,FALSE)="","",VLOOKUP($B16,'NHG''s optical glass 202608'!$C$7:$KZ$213,286,FALSE))</f>
        <v>0.946</v>
      </c>
      <c r="AL16" s="248"/>
      <c r="AM16" s="248"/>
      <c r="AN16" s="420" t="str">
        <f>IF(VLOOKUP($B16,'NHG''s optical glass 202608'!$C$7:$KZ$213,221,FALSE)="","",VLOOKUP($B16,'NHG''s optical glass 202608'!$C$7:$KZ$213,221,FALSE))</f>
        <v>331/262</v>
      </c>
      <c r="AO16" s="428"/>
      <c r="AP16" s="428"/>
      <c r="AQ16" s="429"/>
      <c r="AR16" s="234" t="str">
        <f>IF(VLOOKUP($B16,'NHG''s optical glass 202608'!$C$7:$KZ$213,220,FALSE)="","",VLOOKUP($B16,'NHG''s optical glass 202608'!$C$7:$KZ$213,220,FALSE))</f>
        <v>365/280</v>
      </c>
      <c r="AS16" s="234"/>
      <c r="AT16" s="234"/>
      <c r="AU16" s="233"/>
      <c r="AV16" s="232"/>
      <c r="AW16" s="432">
        <f>IF(VLOOKUP($B16,'NHG''s optical glass 202608'!$C$7:$KZ$213,170,FALSE)="","",VLOOKUP($B16,'NHG''s optical glass 202608'!$C$7:$KZ$213,170,FALSE))</f>
        <v>1</v>
      </c>
      <c r="AX16" s="432"/>
      <c r="AY16" s="432"/>
      <c r="AZ16" s="432">
        <f>IF(VLOOKUP($B16,'NHG''s optical glass 202608'!$C$7:$KZ$213,171,FALSE)="","",VLOOKUP($B16,'NHG''s optical glass 202608'!$C$7:$KZ$213,171,FALSE))</f>
        <v>3</v>
      </c>
      <c r="BA16" s="432"/>
      <c r="BB16" s="432">
        <f>IF(VLOOKUP($B16,'NHG''s optical glass 202608'!$C$7:$KZ$213,175,FALSE)="","",VLOOKUP($B16,'NHG''s optical glass 202608'!$C$7:$KZ$213,175,FALSE))</f>
        <v>1</v>
      </c>
      <c r="BC16" s="432"/>
      <c r="BD16" s="432"/>
      <c r="BE16" s="432">
        <f>IF(VLOOKUP($B16,'NHG''s optical glass 202608'!$C$7:$KZ$213,174,FALSE)="","",VLOOKUP($B16,'NHG''s optical glass 202608'!$C$7:$KZ$213,174,FALSE))</f>
        <v>1</v>
      </c>
      <c r="BF16" s="432"/>
      <c r="BG16" s="432"/>
      <c r="BH16" s="432">
        <f>IF(VLOOKUP($B16,'NHG''s optical glass 202608'!$C$7:$KZ$213,172,FALSE)="","",VLOOKUP($B16,'NHG''s optical glass 202608'!$C$7:$KZ$213,172,FALSE))</f>
        <v>1</v>
      </c>
      <c r="BI16" s="432"/>
      <c r="BJ16" s="432"/>
      <c r="BK16" s="432"/>
      <c r="BL16" s="234">
        <f>IF(VLOOKUP($B16,'NHG''s optical glass 202608'!$C$7:$KZ$213,173,FALSE)="","",VLOOKUP($B16,'NHG''s optical glass 202608'!$C$7:$KZ$213,173,FALSE))</f>
        <v>3</v>
      </c>
      <c r="BM16" s="234"/>
      <c r="BN16" s="234">
        <f>IF(VLOOKUP($B16,'NHG''s optical glass 202608'!$C$7:$KZ$213,180,FALSE)="","",VLOOKUP($B16,'NHG''s optical glass 202608'!$C$7:$KZ$213,180,FALSE))</f>
        <v>571</v>
      </c>
      <c r="BO16" s="234"/>
      <c r="BP16" s="234"/>
      <c r="BQ16" s="234"/>
      <c r="BR16" s="234">
        <f>IF(VLOOKUP($B16,'NHG''s optical glass 202608'!$C$7:$KZ$213,181,FALSE)="","",VLOOKUP($B16,'NHG''s optical glass 202608'!$C$7:$KZ$213,181,FALSE))</f>
        <v>603</v>
      </c>
      <c r="BS16" s="234"/>
      <c r="BT16" s="234"/>
      <c r="BU16" s="234">
        <f>IF(VLOOKUP($B16,'NHG''s optical glass 202608'!$C$7:$KZ$213,210,FALSE)="","",VLOOKUP($B16,'NHG''s optical glass 202608'!$C$7:$KZ$213,210,FALSE))</f>
        <v>135</v>
      </c>
      <c r="BV16" s="234"/>
      <c r="BW16" s="234"/>
      <c r="BX16" s="234"/>
      <c r="BY16" s="234"/>
      <c r="BZ16" s="234"/>
      <c r="CA16" s="234"/>
      <c r="CB16" s="18">
        <f>IF(VLOOKUP($B16,'NHG''s optical glass 202608'!$C$7:$KZ$213,184,FALSE)="","",VLOOKUP($B16,'NHG''s optical glass 202608'!$C$7:$KZ$213,184,FALSE))</f>
        <v>0.88</v>
      </c>
      <c r="CC16" s="18"/>
      <c r="CD16" s="18"/>
      <c r="CE16" s="18"/>
      <c r="CF16" s="18"/>
      <c r="CG16" s="18" t="str">
        <f>IF(VLOOKUP($B16,'NHG''s optical glass 202608'!$C$7:$KZ$213,185,FALSE)="","",VLOOKUP($B16,'NHG''s optical glass 202608'!$C$7:$KZ$213,185,FALSE))</f>
        <v/>
      </c>
      <c r="CH16" s="18"/>
      <c r="CI16" s="18">
        <f>IF(VLOOKUP($B16,'NHG''s optical glass 202608'!$C$7:$KZ$213,212,FALSE)="","",VLOOKUP($B16,'NHG''s optical glass 202608'!$C$7:$KZ$213,212,FALSE))</f>
        <v>679</v>
      </c>
      <c r="CJ16" s="18"/>
      <c r="CK16" s="234">
        <f>IF(VLOOKUP($B16,'NHG''s optical glass 202608'!$C$7:$KZ$213,213,FALSE)="","",VLOOKUP($B16,'NHG''s optical glass 202608'!$C$7:$KZ$213,213,FALSE))</f>
        <v>113</v>
      </c>
      <c r="CL16" s="234"/>
      <c r="CM16" s="234"/>
      <c r="CN16" s="416">
        <f>IF(VLOOKUP($B16,'NHG''s optical glass 202608'!$C$7:$KZ$213,218,FALSE)="","",VLOOKUP($B16,'NHG''s optical glass 202608'!$C$7:$KZ$213,218,FALSE))</f>
        <v>2.17</v>
      </c>
      <c r="CO16" s="416"/>
      <c r="CP16" s="416"/>
      <c r="CQ16" s="416">
        <f>IF(VLOOKUP($B16,'NHG''s optical glass 202608'!$C$7:$KZ$213,219,FALSE)="","",VLOOKUP($B16,'NHG''s optical glass 202608'!$C$7:$KZ$213,219,FALSE))</f>
        <v>4.23</v>
      </c>
      <c r="CR16" s="416"/>
      <c r="CS16" s="405" t="str">
        <f t="shared" si="3"/>
        <v>D-LaF743</v>
      </c>
      <c r="CT16" s="233"/>
      <c r="CU16" s="233"/>
      <c r="CV16" s="233"/>
      <c r="CW16" s="233"/>
      <c r="CX16" s="233"/>
    </row>
    <row r="17" s="231" customFormat="1" ht="14.45" customHeight="1" spans="2:102">
      <c r="B17" s="407" t="str">
        <f t="shared" si="1"/>
        <v>D-ZLaF50</v>
      </c>
      <c r="C17" s="403">
        <f t="shared" si="2"/>
        <v>801455</v>
      </c>
      <c r="D17" s="409">
        <f>IF(VLOOKUP($B17,'NHG''s optical glass 202608'!$C$7:$KZ$213,259,FALSE)="","",VLOOKUP($B17,'NHG''s optical glass 202608'!$C$7:$KZ$213,259,FALSE))</f>
        <v>0.26</v>
      </c>
      <c r="E17" s="409"/>
      <c r="F17" s="409">
        <f>IF(VLOOKUP($B17,'NHG''s optical glass 202608'!$C$7:$KZ$213,263,FALSE)="","",VLOOKUP($B17,'NHG''s optical glass 202608'!$C$7:$KZ$213,263,FALSE))</f>
        <v>0.992</v>
      </c>
      <c r="G17" s="409"/>
      <c r="H17" s="409">
        <f>IF(VLOOKUP($B17,'NHG''s optical glass 202608'!$C$7:$KZ$213,268,FALSE)="","",VLOOKUP($B17,'NHG''s optical glass 202608'!$C$7:$KZ$213,268,FALSE))</f>
        <v>0.998</v>
      </c>
      <c r="I17" s="409"/>
      <c r="J17" s="409"/>
      <c r="K17" s="409"/>
      <c r="L17" s="409"/>
      <c r="M17" s="409">
        <f>IF(VLOOKUP($B17,'NHG''s optical glass 202608'!$C$7:$KZ$213,270,FALSE)="","",VLOOKUP($B17,'NHG''s optical glass 202608'!$C$7:$KZ$213,270,FALSE))</f>
        <v>0.998</v>
      </c>
      <c r="N17" s="409"/>
      <c r="O17" s="409"/>
      <c r="P17" s="409">
        <f>IF(VLOOKUP($B17,'NHG''s optical glass 202608'!$C$7:$KZ$213,273,FALSE)="","",VLOOKUP($B17,'NHG''s optical glass 202608'!$C$7:$KZ$213,273,FALSE))</f>
        <v>0.998</v>
      </c>
      <c r="Q17" s="409"/>
      <c r="R17" s="409"/>
      <c r="S17" s="409">
        <f>IF(VLOOKUP($B17,'NHG''s optical glass 202608'!$C$7:$KZ$213,277,FALSE)="","",VLOOKUP($B17,'NHG''s optical glass 202608'!$C$7:$KZ$213,277,FALSE))</f>
        <v>0.997</v>
      </c>
      <c r="T17" s="409"/>
      <c r="U17" s="409">
        <f>IF(VLOOKUP($B17,'NHG''s optical glass 202608'!$C$7:$KZ$213,279,FALSE)="","",VLOOKUP($B17,'NHG''s optical glass 202608'!$C$7:$KZ$213,279,FALSE))</f>
        <v>0.992</v>
      </c>
      <c r="V17" s="409"/>
      <c r="W17" s="409">
        <f>IF(VLOOKUP($B17,'NHG''s optical glass 202608'!$C$7:$KZ$213,280,FALSE)="","",VLOOKUP($B17,'NHG''s optical glass 202608'!$C$7:$KZ$213,280,FALSE))</f>
        <v>0.99</v>
      </c>
      <c r="X17" s="409"/>
      <c r="Y17" s="409">
        <f>IF(VLOOKUP($B17,'NHG''s optical glass 202608'!$C$7:$KZ$213,281,FALSE)="","",VLOOKUP($B17,'NHG''s optical glass 202608'!$C$7:$KZ$213,281,FALSE))</f>
        <v>0.986</v>
      </c>
      <c r="Z17" s="409"/>
      <c r="AA17" s="409"/>
      <c r="AB17" s="409">
        <f>IF(VLOOKUP($B17,'NHG''s optical glass 202608'!$C$7:$KZ$213,282,FALSE)="","",VLOOKUP($B17,'NHG''s optical glass 202608'!$C$7:$KZ$213,282,FALSE))</f>
        <v>0.978</v>
      </c>
      <c r="AC17" s="409"/>
      <c r="AD17" s="409">
        <f>IF(VLOOKUP($B17,'NHG''s optical glass 202608'!$C$7:$KZ$213,284,FALSE)="","",VLOOKUP($B17,'NHG''s optical glass 202608'!$C$7:$KZ$213,284,FALSE))</f>
        <v>0.957</v>
      </c>
      <c r="AE17" s="409"/>
      <c r="AF17" s="409"/>
      <c r="AG17" s="409">
        <f>IF(VLOOKUP($B17,'NHG''s optical glass 202608'!$C$7:$KZ$213,285,FALSE)="","",VLOOKUP($B17,'NHG''s optical glass 202608'!$C$7:$KZ$213,285,FALSE))</f>
        <v>0.935</v>
      </c>
      <c r="AH17" s="409"/>
      <c r="AI17" s="409"/>
      <c r="AJ17" s="409"/>
      <c r="AK17" s="409">
        <f>IF(VLOOKUP($B17,'NHG''s optical glass 202608'!$C$7:$KZ$213,286,FALSE)="","",VLOOKUP($B17,'NHG''s optical glass 202608'!$C$7:$KZ$213,286,FALSE))</f>
        <v>0.893</v>
      </c>
      <c r="AL17" s="409"/>
      <c r="AM17" s="409"/>
      <c r="AN17" s="419" t="str">
        <f>IF(VLOOKUP($B17,'NHG''s optical glass 202608'!$C$7:$KZ$213,221,FALSE)="","",VLOOKUP($B17,'NHG''s optical glass 202608'!$C$7:$KZ$213,221,FALSE))</f>
        <v>349/316</v>
      </c>
      <c r="AO17" s="426"/>
      <c r="AP17" s="426"/>
      <c r="AQ17" s="427"/>
      <c r="AR17" s="403" t="str">
        <f>IF(VLOOKUP($B17,'NHG''s optical glass 202608'!$C$7:$KZ$213,220,FALSE)="","",VLOOKUP($B17,'NHG''s optical glass 202608'!$C$7:$KZ$213,220,FALSE))</f>
        <v>375/320</v>
      </c>
      <c r="AS17" s="403"/>
      <c r="AT17" s="403"/>
      <c r="AU17" s="233"/>
      <c r="AV17" s="232"/>
      <c r="AW17" s="431">
        <f>IF(VLOOKUP($B17,'NHG''s optical glass 202608'!$C$7:$KZ$213,170,FALSE)="","",VLOOKUP($B17,'NHG''s optical glass 202608'!$C$7:$KZ$213,170,FALSE))</f>
        <v>1</v>
      </c>
      <c r="AX17" s="431"/>
      <c r="AY17" s="431"/>
      <c r="AZ17" s="431">
        <f>IF(VLOOKUP($B17,'NHG''s optical glass 202608'!$C$7:$KZ$213,171,FALSE)="","",VLOOKUP($B17,'NHG''s optical glass 202608'!$C$7:$KZ$213,171,FALSE))</f>
        <v>3</v>
      </c>
      <c r="BA17" s="431"/>
      <c r="BB17" s="431">
        <f>IF(VLOOKUP($B17,'NHG''s optical glass 202608'!$C$7:$KZ$213,175,FALSE)="","",VLOOKUP($B17,'NHG''s optical glass 202608'!$C$7:$KZ$213,175,FALSE))</f>
        <v>1</v>
      </c>
      <c r="BC17" s="431"/>
      <c r="BD17" s="431"/>
      <c r="BE17" s="431">
        <f>IF(VLOOKUP($B17,'NHG''s optical glass 202608'!$C$7:$KZ$213,174,FALSE)="","",VLOOKUP($B17,'NHG''s optical glass 202608'!$C$7:$KZ$213,174,FALSE))</f>
        <v>1</v>
      </c>
      <c r="BF17" s="431"/>
      <c r="BG17" s="431"/>
      <c r="BH17" s="431">
        <f>IF(VLOOKUP($B17,'NHG''s optical glass 202608'!$C$7:$KZ$213,172,FALSE)="","",VLOOKUP($B17,'NHG''s optical glass 202608'!$C$7:$KZ$213,172,FALSE))</f>
        <v>1</v>
      </c>
      <c r="BI17" s="431"/>
      <c r="BJ17" s="431"/>
      <c r="BK17" s="431"/>
      <c r="BL17" s="403">
        <f>IF(VLOOKUP($B17,'NHG''s optical glass 202608'!$C$7:$KZ$213,173,FALSE)="","",VLOOKUP($B17,'NHG''s optical glass 202608'!$C$7:$KZ$213,173,FALSE))</f>
        <v>3</v>
      </c>
      <c r="BM17" s="403"/>
      <c r="BN17" s="439">
        <f>IF(VLOOKUP($B17,'NHG''s optical glass 202608'!$C$7:$KZ$213,180,FALSE)="","",VLOOKUP($B17,'NHG''s optical glass 202608'!$C$7:$KZ$213,180,FALSE))</f>
        <v>599</v>
      </c>
      <c r="BO17" s="439"/>
      <c r="BP17" s="439"/>
      <c r="BQ17" s="439"/>
      <c r="BR17" s="439">
        <f>IF(VLOOKUP($B17,'NHG''s optical glass 202608'!$C$7:$KZ$213,181,FALSE)="","",VLOOKUP($B17,'NHG''s optical glass 202608'!$C$7:$KZ$213,181,FALSE))</f>
        <v>642</v>
      </c>
      <c r="BS17" s="439"/>
      <c r="BT17" s="439"/>
      <c r="BU17" s="403">
        <f>IF(VLOOKUP($B17,'NHG''s optical glass 202608'!$C$7:$KZ$213,210,FALSE)="","",VLOOKUP($B17,'NHG''s optical glass 202608'!$C$7:$KZ$213,210,FALSE))</f>
        <v>140</v>
      </c>
      <c r="BV17" s="403"/>
      <c r="BW17" s="403"/>
      <c r="BX17" s="403"/>
      <c r="BY17" s="403"/>
      <c r="BZ17" s="403"/>
      <c r="CA17" s="403"/>
      <c r="CB17" s="439">
        <f>IF(VLOOKUP($B17,'NHG''s optical glass 202608'!$C$7:$KZ$213,184,FALSE)="","",VLOOKUP($B17,'NHG''s optical glass 202608'!$C$7:$KZ$213,184,FALSE))</f>
        <v>0.79</v>
      </c>
      <c r="CC17" s="439"/>
      <c r="CD17" s="439"/>
      <c r="CE17" s="439"/>
      <c r="CF17" s="439"/>
      <c r="CG17" s="439" t="str">
        <f>IF(VLOOKUP($B17,'NHG''s optical glass 202608'!$C$7:$KZ$213,185,FALSE)="","",VLOOKUP($B17,'NHG''s optical glass 202608'!$C$7:$KZ$213,185,FALSE))</f>
        <v/>
      </c>
      <c r="CH17" s="439"/>
      <c r="CI17" s="439">
        <f>IF(VLOOKUP($B17,'NHG''s optical glass 202608'!$C$7:$KZ$213,212,FALSE)="","",VLOOKUP($B17,'NHG''s optical glass 202608'!$C$7:$KZ$213,212,FALSE))</f>
        <v>651</v>
      </c>
      <c r="CJ17" s="439"/>
      <c r="CK17" s="403">
        <f>IF(VLOOKUP($B17,'NHG''s optical glass 202608'!$C$7:$KZ$213,213,FALSE)="","",VLOOKUP($B17,'NHG''s optical glass 202608'!$C$7:$KZ$213,213,FALSE))</f>
        <v>71</v>
      </c>
      <c r="CL17" s="403"/>
      <c r="CM17" s="403"/>
      <c r="CN17" s="415">
        <f>IF(VLOOKUP($B17,'NHG''s optical glass 202608'!$C$7:$KZ$213,218,FALSE)="","",VLOOKUP($B17,'NHG''s optical glass 202608'!$C$7:$KZ$213,218,FALSE))</f>
        <v>1.74</v>
      </c>
      <c r="CO17" s="415"/>
      <c r="CP17" s="415"/>
      <c r="CQ17" s="415">
        <f>IF(VLOOKUP($B17,'NHG''s optical glass 202608'!$C$7:$KZ$213,219,FALSE)="","",VLOOKUP($B17,'NHG''s optical glass 202608'!$C$7:$KZ$213,219,FALSE))</f>
        <v>4.81</v>
      </c>
      <c r="CR17" s="415"/>
      <c r="CS17" s="407" t="str">
        <f t="shared" si="3"/>
        <v>D-ZLaF50</v>
      </c>
      <c r="CT17" s="233"/>
      <c r="CU17" s="233"/>
      <c r="CV17" s="233"/>
      <c r="CW17" s="233"/>
      <c r="CX17" s="233"/>
    </row>
    <row r="18" s="231" customFormat="1" ht="14.45" customHeight="1" spans="2:102">
      <c r="B18" s="405" t="str">
        <f t="shared" si="1"/>
        <v>D-ZLaF52L</v>
      </c>
      <c r="C18" s="234">
        <f t="shared" si="2"/>
        <v>806407</v>
      </c>
      <c r="D18" s="248">
        <f>IF(VLOOKUP($B18,'NHG''s optical glass 202608'!$C$7:$KZ$213,259,FALSE)="","",VLOOKUP($B18,'NHG''s optical glass 202608'!$C$7:$KZ$213,259,FALSE))</f>
        <v>0.719</v>
      </c>
      <c r="E18" s="248"/>
      <c r="F18" s="248">
        <f>IF(VLOOKUP($B18,'NHG''s optical glass 202608'!$C$7:$KZ$213,263,FALSE)="","",VLOOKUP($B18,'NHG''s optical glass 202608'!$C$7:$KZ$213,263,FALSE))</f>
        <v>0.998</v>
      </c>
      <c r="G18" s="248"/>
      <c r="H18" s="248">
        <f>IF(VLOOKUP($B18,'NHG''s optical glass 202608'!$C$7:$KZ$213,268,FALSE)="","",VLOOKUP($B18,'NHG''s optical glass 202608'!$C$7:$KZ$213,268,FALSE))</f>
        <v>0.998</v>
      </c>
      <c r="I18" s="248"/>
      <c r="J18" s="248"/>
      <c r="K18" s="248"/>
      <c r="L18" s="248"/>
      <c r="M18" s="248">
        <f>IF(VLOOKUP($B18,'NHG''s optical glass 202608'!$C$7:$KZ$213,270,FALSE)="","",VLOOKUP($B18,'NHG''s optical glass 202608'!$C$7:$KZ$213,270,FALSE))</f>
        <v>0.998</v>
      </c>
      <c r="N18" s="248"/>
      <c r="O18" s="248"/>
      <c r="P18" s="248">
        <f>IF(VLOOKUP($B18,'NHG''s optical glass 202608'!$C$7:$KZ$213,273,FALSE)="","",VLOOKUP($B18,'NHG''s optical glass 202608'!$C$7:$KZ$213,273,FALSE))</f>
        <v>0.998</v>
      </c>
      <c r="Q18" s="248"/>
      <c r="R18" s="248"/>
      <c r="S18" s="248">
        <f>IF(VLOOKUP($B18,'NHG''s optical glass 202608'!$C$7:$KZ$213,277,FALSE)="","",VLOOKUP($B18,'NHG''s optical glass 202608'!$C$7:$KZ$213,277,FALSE))</f>
        <v>0.995</v>
      </c>
      <c r="T18" s="248"/>
      <c r="U18" s="248">
        <f>IF(VLOOKUP($B18,'NHG''s optical glass 202608'!$C$7:$KZ$213,279,FALSE)="","",VLOOKUP($B18,'NHG''s optical glass 202608'!$C$7:$KZ$213,279,FALSE))</f>
        <v>0.988</v>
      </c>
      <c r="V18" s="248"/>
      <c r="W18" s="248">
        <f>IF(VLOOKUP($B18,'NHG''s optical glass 202608'!$C$7:$KZ$213,280,FALSE)="","",VLOOKUP($B18,'NHG''s optical glass 202608'!$C$7:$KZ$213,280,FALSE))</f>
        <v>0.983</v>
      </c>
      <c r="X18" s="248"/>
      <c r="Y18" s="248">
        <f>IF(VLOOKUP($B18,'NHG''s optical glass 202608'!$C$7:$KZ$213,281,FALSE)="","",VLOOKUP($B18,'NHG''s optical glass 202608'!$C$7:$KZ$213,281,FALSE))</f>
        <v>0.976</v>
      </c>
      <c r="Z18" s="248"/>
      <c r="AA18" s="248"/>
      <c r="AB18" s="248">
        <f>IF(VLOOKUP($B18,'NHG''s optical glass 202608'!$C$7:$KZ$213,282,FALSE)="","",VLOOKUP($B18,'NHG''s optical glass 202608'!$C$7:$KZ$213,282,FALSE))</f>
        <v>0.963</v>
      </c>
      <c r="AC18" s="248"/>
      <c r="AD18" s="248">
        <f>IF(VLOOKUP($B18,'NHG''s optical glass 202608'!$C$7:$KZ$213,284,FALSE)="","",VLOOKUP($B18,'NHG''s optical glass 202608'!$C$7:$KZ$213,284,FALSE))</f>
        <v>0.928</v>
      </c>
      <c r="AE18" s="248"/>
      <c r="AF18" s="248"/>
      <c r="AG18" s="248">
        <f>IF(VLOOKUP($B18,'NHG''s optical glass 202608'!$C$7:$KZ$213,285,FALSE)="","",VLOOKUP($B18,'NHG''s optical glass 202608'!$C$7:$KZ$213,285,FALSE))</f>
        <v>0.888</v>
      </c>
      <c r="AH18" s="248"/>
      <c r="AI18" s="248"/>
      <c r="AJ18" s="248"/>
      <c r="AK18" s="248">
        <f>IF(VLOOKUP($B18,'NHG''s optical glass 202608'!$C$7:$KZ$213,286,FALSE)="","",VLOOKUP($B18,'NHG''s optical glass 202608'!$C$7:$KZ$213,286,FALSE))</f>
        <v>0.818</v>
      </c>
      <c r="AL18" s="248"/>
      <c r="AM18" s="248"/>
      <c r="AN18" s="420" t="str">
        <f>IF(VLOOKUP($B18,'NHG''s optical glass 202608'!$C$7:$KZ$213,221,FALSE)="","",VLOOKUP($B18,'NHG''s optical glass 202608'!$C$7:$KZ$213,221,FALSE))</f>
        <v>357/327</v>
      </c>
      <c r="AO18" s="428"/>
      <c r="AP18" s="428"/>
      <c r="AQ18" s="429"/>
      <c r="AR18" s="234" t="str">
        <f>IF(VLOOKUP($B18,'NHG''s optical glass 202608'!$C$7:$KZ$213,220,FALSE)="","",VLOOKUP($B18,'NHG''s optical glass 202608'!$C$7:$KZ$213,220,FALSE))</f>
        <v>395/330</v>
      </c>
      <c r="AS18" s="234"/>
      <c r="AT18" s="234"/>
      <c r="AU18" s="233"/>
      <c r="AV18" s="232"/>
      <c r="AW18" s="432">
        <f>IF(VLOOKUP($B18,'NHG''s optical glass 202608'!$C$7:$KZ$213,170,FALSE)="","",VLOOKUP($B18,'NHG''s optical glass 202608'!$C$7:$KZ$213,170,FALSE))</f>
        <v>1</v>
      </c>
      <c r="AX18" s="432"/>
      <c r="AY18" s="432"/>
      <c r="AZ18" s="432">
        <f>IF(VLOOKUP($B18,'NHG''s optical glass 202608'!$C$7:$KZ$213,171,FALSE)="","",VLOOKUP($B18,'NHG''s optical glass 202608'!$C$7:$KZ$213,171,FALSE))</f>
        <v>3</v>
      </c>
      <c r="BA18" s="432"/>
      <c r="BB18" s="432">
        <f>IF(VLOOKUP($B18,'NHG''s optical glass 202608'!$C$7:$KZ$213,175,FALSE)="","",VLOOKUP($B18,'NHG''s optical glass 202608'!$C$7:$KZ$213,175,FALSE))</f>
        <v>3</v>
      </c>
      <c r="BC18" s="432"/>
      <c r="BD18" s="432"/>
      <c r="BE18" s="432">
        <f>IF(VLOOKUP($B18,'NHG''s optical glass 202608'!$C$7:$KZ$213,174,FALSE)="","",VLOOKUP($B18,'NHG''s optical glass 202608'!$C$7:$KZ$213,174,FALSE))</f>
        <v>1</v>
      </c>
      <c r="BF18" s="432"/>
      <c r="BG18" s="432"/>
      <c r="BH18" s="432">
        <f>IF(VLOOKUP($B18,'NHG''s optical glass 202608'!$C$7:$KZ$213,172,FALSE)="","",VLOOKUP($B18,'NHG''s optical glass 202608'!$C$7:$KZ$213,172,FALSE))</f>
        <v>1</v>
      </c>
      <c r="BI18" s="432"/>
      <c r="BJ18" s="432"/>
      <c r="BK18" s="432"/>
      <c r="BL18" s="234">
        <f>IF(VLOOKUP($B18,'NHG''s optical glass 202608'!$C$7:$KZ$213,173,FALSE)="","",VLOOKUP($B18,'NHG''s optical glass 202608'!$C$7:$KZ$213,173,FALSE))</f>
        <v>3</v>
      </c>
      <c r="BM18" s="234"/>
      <c r="BN18" s="234">
        <f>IF(VLOOKUP($B18,'NHG''s optical glass 202608'!$C$7:$KZ$213,180,FALSE)="","",VLOOKUP($B18,'NHG''s optical glass 202608'!$C$7:$KZ$213,180,FALSE))</f>
        <v>546</v>
      </c>
      <c r="BO18" s="234"/>
      <c r="BP18" s="234"/>
      <c r="BQ18" s="234"/>
      <c r="BR18" s="234">
        <f>IF(VLOOKUP($B18,'NHG''s optical glass 202608'!$C$7:$KZ$213,181,FALSE)="","",VLOOKUP($B18,'NHG''s optical glass 202608'!$C$7:$KZ$213,181,FALSE))</f>
        <v>580</v>
      </c>
      <c r="BS18" s="234"/>
      <c r="BT18" s="234"/>
      <c r="BU18" s="234">
        <f>IF(VLOOKUP($B18,'NHG''s optical glass 202608'!$C$7:$KZ$213,210,FALSE)="","",VLOOKUP($B18,'NHG''s optical glass 202608'!$C$7:$KZ$213,210,FALSE))</f>
        <v>140</v>
      </c>
      <c r="BV18" s="234"/>
      <c r="BW18" s="234"/>
      <c r="BX18" s="234"/>
      <c r="BY18" s="234"/>
      <c r="BZ18" s="234"/>
      <c r="CA18" s="234"/>
      <c r="CB18" s="18">
        <f>IF(VLOOKUP($B18,'NHG''s optical glass 202608'!$C$7:$KZ$213,184,FALSE)="","",VLOOKUP($B18,'NHG''s optical glass 202608'!$C$7:$KZ$213,184,FALSE))</f>
        <v>0.87</v>
      </c>
      <c r="CC18" s="18"/>
      <c r="CD18" s="18"/>
      <c r="CE18" s="18"/>
      <c r="CF18" s="18"/>
      <c r="CG18" s="18" t="str">
        <f>IF(VLOOKUP($B18,'NHG''s optical glass 202608'!$C$7:$KZ$213,185,FALSE)="","",VLOOKUP($B18,'NHG''s optical glass 202608'!$C$7:$KZ$213,185,FALSE))</f>
        <v/>
      </c>
      <c r="CH18" s="18"/>
      <c r="CI18" s="18">
        <f>IF(VLOOKUP($B18,'NHG''s optical glass 202608'!$C$7:$KZ$213,212,FALSE)="","",VLOOKUP($B18,'NHG''s optical glass 202608'!$C$7:$KZ$213,212,FALSE))</f>
        <v>645</v>
      </c>
      <c r="CJ18" s="18"/>
      <c r="CK18" s="234">
        <f>IF(VLOOKUP($B18,'NHG''s optical glass 202608'!$C$7:$KZ$213,213,FALSE)="","",VLOOKUP($B18,'NHG''s optical glass 202608'!$C$7:$KZ$213,213,FALSE))</f>
        <v>106</v>
      </c>
      <c r="CL18" s="234"/>
      <c r="CM18" s="234"/>
      <c r="CN18" s="416">
        <f>IF(VLOOKUP($B18,'NHG''s optical glass 202608'!$C$7:$KZ$213,218,FALSE)="","",VLOOKUP($B18,'NHG''s optical glass 202608'!$C$7:$KZ$213,218,FALSE))</f>
        <v>2.23</v>
      </c>
      <c r="CO18" s="416"/>
      <c r="CP18" s="416"/>
      <c r="CQ18" s="416">
        <f>IF(VLOOKUP($B18,'NHG''s optical glass 202608'!$C$7:$KZ$213,219,FALSE)="","",VLOOKUP($B18,'NHG''s optical glass 202608'!$C$7:$KZ$213,219,FALSE))</f>
        <v>4.43</v>
      </c>
      <c r="CR18" s="416"/>
      <c r="CS18" s="405" t="str">
        <f t="shared" si="3"/>
        <v>D-ZLaF52L</v>
      </c>
      <c r="CT18" s="233"/>
      <c r="CU18" s="233"/>
      <c r="CV18" s="233"/>
      <c r="CW18" s="233"/>
      <c r="CX18" s="233"/>
    </row>
    <row r="19" s="233" customFormat="1" ht="14.45" customHeight="1" spans="2:97">
      <c r="B19" s="407" t="str">
        <f t="shared" si="1"/>
        <v>D-ZLaF52N</v>
      </c>
      <c r="C19" s="403">
        <f t="shared" si="2"/>
        <v>810410</v>
      </c>
      <c r="D19" s="409">
        <f>IF(VLOOKUP($B19,'NHG''s optical glass 202608'!$C$7:$KZ$213,259,FALSE)="","",VLOOKUP($B19,'NHG''s optical glass 202608'!$C$7:$KZ$213,259,FALSE))</f>
        <v>0.723</v>
      </c>
      <c r="E19" s="409"/>
      <c r="F19" s="409">
        <f>IF(VLOOKUP($B19,'NHG''s optical glass 202608'!$C$7:$KZ$213,263,FALSE)="","",VLOOKUP($B19,'NHG''s optical glass 202608'!$C$7:$KZ$213,263,FALSE))</f>
        <v>0.998</v>
      </c>
      <c r="G19" s="409"/>
      <c r="H19" s="409">
        <f>IF(VLOOKUP($B19,'NHG''s optical glass 202608'!$C$7:$KZ$213,268,FALSE)="","",VLOOKUP($B19,'NHG''s optical glass 202608'!$C$7:$KZ$213,268,FALSE))</f>
        <v>0.998</v>
      </c>
      <c r="I19" s="409"/>
      <c r="J19" s="409"/>
      <c r="K19" s="409"/>
      <c r="L19" s="409"/>
      <c r="M19" s="409">
        <f>IF(VLOOKUP($B19,'NHG''s optical glass 202608'!$C$7:$KZ$213,270,FALSE)="","",VLOOKUP($B19,'NHG''s optical glass 202608'!$C$7:$KZ$213,270,FALSE))</f>
        <v>0.998</v>
      </c>
      <c r="N19" s="409"/>
      <c r="O19" s="409"/>
      <c r="P19" s="409">
        <f>IF(VLOOKUP($B19,'NHG''s optical glass 202608'!$C$7:$KZ$213,273,FALSE)="","",VLOOKUP($B19,'NHG''s optical glass 202608'!$C$7:$KZ$213,273,FALSE))</f>
        <v>0.998</v>
      </c>
      <c r="Q19" s="409"/>
      <c r="R19" s="409"/>
      <c r="S19" s="409">
        <f>IF(VLOOKUP($B19,'NHG''s optical glass 202608'!$C$7:$KZ$213,277,FALSE)="","",VLOOKUP($B19,'NHG''s optical glass 202608'!$C$7:$KZ$213,277,FALSE))</f>
        <v>0.996</v>
      </c>
      <c r="T19" s="409"/>
      <c r="U19" s="409">
        <f>IF(VLOOKUP($B19,'NHG''s optical glass 202608'!$C$7:$KZ$213,279,FALSE)="","",VLOOKUP($B19,'NHG''s optical glass 202608'!$C$7:$KZ$213,279,FALSE))</f>
        <v>0.993</v>
      </c>
      <c r="V19" s="409"/>
      <c r="W19" s="409">
        <f>IF(VLOOKUP($B19,'NHG''s optical glass 202608'!$C$7:$KZ$213,280,FALSE)="","",VLOOKUP($B19,'NHG''s optical glass 202608'!$C$7:$KZ$213,280,FALSE))</f>
        <v>0.988</v>
      </c>
      <c r="X19" s="409"/>
      <c r="Y19" s="409">
        <f>IF(VLOOKUP($B19,'NHG''s optical glass 202608'!$C$7:$KZ$213,281,FALSE)="","",VLOOKUP($B19,'NHG''s optical glass 202608'!$C$7:$KZ$213,281,FALSE))</f>
        <v>0.974</v>
      </c>
      <c r="Z19" s="409"/>
      <c r="AA19" s="409"/>
      <c r="AB19" s="409">
        <f>IF(VLOOKUP($B19,'NHG''s optical glass 202608'!$C$7:$KZ$213,282,FALSE)="","",VLOOKUP($B19,'NHG''s optical glass 202608'!$C$7:$KZ$213,282,FALSE))</f>
        <v>0.959</v>
      </c>
      <c r="AC19" s="409"/>
      <c r="AD19" s="409">
        <f>IF(VLOOKUP($B19,'NHG''s optical glass 202608'!$C$7:$KZ$213,284,FALSE)="","",VLOOKUP($B19,'NHG''s optical glass 202608'!$C$7:$KZ$213,284,FALSE))</f>
        <v>0.919</v>
      </c>
      <c r="AE19" s="409"/>
      <c r="AF19" s="409"/>
      <c r="AG19" s="409">
        <f>IF(VLOOKUP($B19,'NHG''s optical glass 202608'!$C$7:$KZ$213,285,FALSE)="","",VLOOKUP($B19,'NHG''s optical glass 202608'!$C$7:$KZ$213,285,FALSE))</f>
        <v>0.876</v>
      </c>
      <c r="AH19" s="409"/>
      <c r="AI19" s="409"/>
      <c r="AJ19" s="409"/>
      <c r="AK19" s="409">
        <f>IF(VLOOKUP($B19,'NHG''s optical glass 202608'!$C$7:$KZ$213,286,FALSE)="","",VLOOKUP($B19,'NHG''s optical glass 202608'!$C$7:$KZ$213,286,FALSE))</f>
        <v>0.795</v>
      </c>
      <c r="AL19" s="409"/>
      <c r="AM19" s="409"/>
      <c r="AN19" s="419" t="str">
        <f>IF(VLOOKUP($B19,'NHG''s optical glass 202608'!$C$7:$KZ$213,221,FALSE)="","",VLOOKUP($B19,'NHG''s optical glass 202608'!$C$7:$KZ$213,221,FALSE))</f>
        <v>360/327</v>
      </c>
      <c r="AO19" s="426"/>
      <c r="AP19" s="426"/>
      <c r="AQ19" s="427"/>
      <c r="AR19" s="403" t="str">
        <f>IF(VLOOKUP($B19,'NHG''s optical glass 202608'!$C$7:$KZ$213,220,FALSE)="","",VLOOKUP($B19,'NHG''s optical glass 202608'!$C$7:$KZ$213,220,FALSE))</f>
        <v>395/330</v>
      </c>
      <c r="AS19" s="403"/>
      <c r="AT19" s="403"/>
      <c r="AV19" s="232"/>
      <c r="AW19" s="431">
        <f>IF(VLOOKUP($B19,'NHG''s optical glass 202608'!$C$7:$KZ$213,170,FALSE)="","",VLOOKUP($B19,'NHG''s optical glass 202608'!$C$7:$KZ$213,170,FALSE))</f>
        <v>1</v>
      </c>
      <c r="AX19" s="431"/>
      <c r="AY19" s="431"/>
      <c r="AZ19" s="431">
        <f>IF(VLOOKUP($B19,'NHG''s optical glass 202608'!$C$7:$KZ$213,171,FALSE)="","",VLOOKUP($B19,'NHG''s optical glass 202608'!$C$7:$KZ$213,171,FALSE))</f>
        <v>3</v>
      </c>
      <c r="BA19" s="431"/>
      <c r="BB19" s="431">
        <f>IF(VLOOKUP($B19,'NHG''s optical glass 202608'!$C$7:$KZ$213,175,FALSE)="","",VLOOKUP($B19,'NHG''s optical glass 202608'!$C$7:$KZ$213,175,FALSE))</f>
        <v>2</v>
      </c>
      <c r="BC19" s="431"/>
      <c r="BD19" s="431"/>
      <c r="BE19" s="431">
        <f>IF(VLOOKUP($B19,'NHG''s optical glass 202608'!$C$7:$KZ$213,174,FALSE)="","",VLOOKUP($B19,'NHG''s optical glass 202608'!$C$7:$KZ$213,174,FALSE))</f>
        <v>1</v>
      </c>
      <c r="BF19" s="431"/>
      <c r="BG19" s="431"/>
      <c r="BH19" s="431">
        <f>IF(VLOOKUP($B19,'NHG''s optical glass 202608'!$C$7:$KZ$213,172,FALSE)="","",VLOOKUP($B19,'NHG''s optical glass 202608'!$C$7:$KZ$213,172,FALSE))</f>
        <v>1</v>
      </c>
      <c r="BI19" s="431"/>
      <c r="BJ19" s="431"/>
      <c r="BK19" s="431"/>
      <c r="BL19" s="403">
        <f>IF(VLOOKUP($B19,'NHG''s optical glass 202608'!$C$7:$KZ$213,173,FALSE)="","",VLOOKUP($B19,'NHG''s optical glass 202608'!$C$7:$KZ$213,173,FALSE))</f>
        <v>3</v>
      </c>
      <c r="BM19" s="403"/>
      <c r="BN19" s="439">
        <f>IF(VLOOKUP($B19,'NHG''s optical glass 202608'!$C$7:$KZ$213,180,FALSE)="","",VLOOKUP($B19,'NHG''s optical glass 202608'!$C$7:$KZ$213,180,FALSE))</f>
        <v>548</v>
      </c>
      <c r="BO19" s="439"/>
      <c r="BP19" s="439"/>
      <c r="BQ19" s="439"/>
      <c r="BR19" s="439">
        <f>IF(VLOOKUP($B19,'NHG''s optical glass 202608'!$C$7:$KZ$213,181,FALSE)="","",VLOOKUP($B19,'NHG''s optical glass 202608'!$C$7:$KZ$213,181,FALSE))</f>
        <v>578</v>
      </c>
      <c r="BS19" s="439"/>
      <c r="BT19" s="439"/>
      <c r="BU19" s="403">
        <f>IF(VLOOKUP($B19,'NHG''s optical glass 202608'!$C$7:$KZ$213,210,FALSE)="","",VLOOKUP($B19,'NHG''s optical glass 202608'!$C$7:$KZ$213,210,FALSE))</f>
        <v>140</v>
      </c>
      <c r="BV19" s="403"/>
      <c r="BW19" s="403"/>
      <c r="BX19" s="403"/>
      <c r="BY19" s="403"/>
      <c r="BZ19" s="403"/>
      <c r="CA19" s="403"/>
      <c r="CB19" s="439">
        <f>IF(VLOOKUP($B19,'NHG''s optical glass 202608'!$C$7:$KZ$213,184,FALSE)="","",VLOOKUP($B19,'NHG''s optical glass 202608'!$C$7:$KZ$213,184,FALSE))</f>
        <v>0.98</v>
      </c>
      <c r="CC19" s="439"/>
      <c r="CD19" s="439"/>
      <c r="CE19" s="439"/>
      <c r="CF19" s="439"/>
      <c r="CG19" s="439" t="str">
        <f>IF(VLOOKUP($B19,'NHG''s optical glass 202608'!$C$7:$KZ$213,185,FALSE)="","",VLOOKUP($B19,'NHG''s optical glass 202608'!$C$7:$KZ$213,185,FALSE))</f>
        <v/>
      </c>
      <c r="CH19" s="439"/>
      <c r="CI19" s="439">
        <f>IF(VLOOKUP($B19,'NHG''s optical glass 202608'!$C$7:$KZ$213,212,FALSE)="","",VLOOKUP($B19,'NHG''s optical glass 202608'!$C$7:$KZ$213,212,FALSE))</f>
        <v>625</v>
      </c>
      <c r="CJ19" s="439"/>
      <c r="CK19" s="403">
        <f>IF(VLOOKUP($B19,'NHG''s optical glass 202608'!$C$7:$KZ$213,213,FALSE)="","",VLOOKUP($B19,'NHG''s optical glass 202608'!$C$7:$KZ$213,213,FALSE))</f>
        <v>91</v>
      </c>
      <c r="CL19" s="403"/>
      <c r="CM19" s="403"/>
      <c r="CN19" s="415">
        <f>IF(VLOOKUP($B19,'NHG''s optical glass 202608'!$C$7:$KZ$213,218,FALSE)="","",VLOOKUP($B19,'NHG''s optical glass 202608'!$C$7:$KZ$213,218,FALSE))</f>
        <v>2.17</v>
      </c>
      <c r="CO19" s="415"/>
      <c r="CP19" s="415"/>
      <c r="CQ19" s="415">
        <f>IF(VLOOKUP($B19,'NHG''s optical glass 202608'!$C$7:$KZ$213,219,FALSE)="","",VLOOKUP($B19,'NHG''s optical glass 202608'!$C$7:$KZ$213,219,FALSE))</f>
        <v>4.47</v>
      </c>
      <c r="CR19" s="415"/>
      <c r="CS19" s="407" t="str">
        <f t="shared" si="3"/>
        <v>D-ZLaF52N</v>
      </c>
    </row>
    <row r="21" spans="21:21">
      <c r="U21" s="7" t="s">
        <v>1711</v>
      </c>
    </row>
  </sheetData>
  <mergeCells count="450">
    <mergeCell ref="BM2:BS2"/>
    <mergeCell ref="BT2:BY2"/>
    <mergeCell ref="D4:H4"/>
    <mergeCell ref="N4:S4"/>
    <mergeCell ref="W4:Y4"/>
    <mergeCell ref="Z4:AB4"/>
    <mergeCell ref="AC4:AF4"/>
    <mergeCell ref="AG4:AK4"/>
    <mergeCell ref="AL4:AN4"/>
    <mergeCell ref="AO4:AQ4"/>
    <mergeCell ref="AR4:AT4"/>
    <mergeCell ref="AW4:AZ4"/>
    <mergeCell ref="BA4:BC4"/>
    <mergeCell ref="BD4:BF4"/>
    <mergeCell ref="BG4:BI4"/>
    <mergeCell ref="BJ4:BL4"/>
    <mergeCell ref="BZ4:CB4"/>
    <mergeCell ref="CC4:CG4"/>
    <mergeCell ref="CH4:CJ4"/>
    <mergeCell ref="CK4:CN4"/>
    <mergeCell ref="CO4:CR4"/>
    <mergeCell ref="D5:F5"/>
    <mergeCell ref="G5:H5"/>
    <mergeCell ref="I5:M5"/>
    <mergeCell ref="N5:Q5"/>
    <mergeCell ref="R5:S5"/>
    <mergeCell ref="T5:V5"/>
    <mergeCell ref="W5:Y5"/>
    <mergeCell ref="Z5:AB5"/>
    <mergeCell ref="AC5:AF5"/>
    <mergeCell ref="AG5:AK5"/>
    <mergeCell ref="AL5:AN5"/>
    <mergeCell ref="AO5:AQ5"/>
    <mergeCell ref="AR5:AT5"/>
    <mergeCell ref="AW5:AZ5"/>
    <mergeCell ref="BA5:BC5"/>
    <mergeCell ref="BD5:BF5"/>
    <mergeCell ref="BG5:BI5"/>
    <mergeCell ref="BJ5:BL5"/>
    <mergeCell ref="BM5:BO5"/>
    <mergeCell ref="BP5:BS5"/>
    <mergeCell ref="BT5:BV5"/>
    <mergeCell ref="BW5:BY5"/>
    <mergeCell ref="BZ5:CB5"/>
    <mergeCell ref="CC5:CG5"/>
    <mergeCell ref="CH5:CJ5"/>
    <mergeCell ref="CK5:CN5"/>
    <mergeCell ref="CO5:CR5"/>
    <mergeCell ref="D6:F6"/>
    <mergeCell ref="G6:H6"/>
    <mergeCell ref="I6:M6"/>
    <mergeCell ref="N6:Q6"/>
    <mergeCell ref="R6:S6"/>
    <mergeCell ref="T6:V6"/>
    <mergeCell ref="W6:Y6"/>
    <mergeCell ref="Z6:AB6"/>
    <mergeCell ref="AC6:AF6"/>
    <mergeCell ref="AG6:AK6"/>
    <mergeCell ref="AL6:AN6"/>
    <mergeCell ref="AO6:AQ6"/>
    <mergeCell ref="AR6:AT6"/>
    <mergeCell ref="AW6:AZ6"/>
    <mergeCell ref="BA6:BC6"/>
    <mergeCell ref="BD6:BF6"/>
    <mergeCell ref="BG6:BI6"/>
    <mergeCell ref="BJ6:BL6"/>
    <mergeCell ref="BM6:BO6"/>
    <mergeCell ref="BP6:BS6"/>
    <mergeCell ref="BT6:BV6"/>
    <mergeCell ref="BW6:BY6"/>
    <mergeCell ref="BZ6:CB6"/>
    <mergeCell ref="CC6:CG6"/>
    <mergeCell ref="CH6:CJ6"/>
    <mergeCell ref="CK6:CN6"/>
    <mergeCell ref="CO6:CR6"/>
    <mergeCell ref="D7:F7"/>
    <mergeCell ref="G7:H7"/>
    <mergeCell ref="I7:M7"/>
    <mergeCell ref="N7:Q7"/>
    <mergeCell ref="R7:S7"/>
    <mergeCell ref="T7:V7"/>
    <mergeCell ref="W7:Y7"/>
    <mergeCell ref="Z7:AB7"/>
    <mergeCell ref="AC7:AF7"/>
    <mergeCell ref="AG7:AK7"/>
    <mergeCell ref="AL7:AN7"/>
    <mergeCell ref="AO7:AQ7"/>
    <mergeCell ref="AR7:AT7"/>
    <mergeCell ref="AW7:AZ7"/>
    <mergeCell ref="BA7:BC7"/>
    <mergeCell ref="BD7:BF7"/>
    <mergeCell ref="BG7:BI7"/>
    <mergeCell ref="BJ7:BL7"/>
    <mergeCell ref="BM7:BO7"/>
    <mergeCell ref="BP7:BS7"/>
    <mergeCell ref="BT7:BV7"/>
    <mergeCell ref="BW7:BY7"/>
    <mergeCell ref="BZ7:CB7"/>
    <mergeCell ref="CC7:CG7"/>
    <mergeCell ref="CH7:CJ7"/>
    <mergeCell ref="CK7:CN7"/>
    <mergeCell ref="CO7:CR7"/>
    <mergeCell ref="D8:F8"/>
    <mergeCell ref="G8:H8"/>
    <mergeCell ref="I8:M8"/>
    <mergeCell ref="N8:Q8"/>
    <mergeCell ref="R8:S8"/>
    <mergeCell ref="T8:V8"/>
    <mergeCell ref="W8:Y8"/>
    <mergeCell ref="Z8:AB8"/>
    <mergeCell ref="AC8:AF8"/>
    <mergeCell ref="AG8:AK8"/>
    <mergeCell ref="AL8:AN8"/>
    <mergeCell ref="AO8:AQ8"/>
    <mergeCell ref="AR8:AT8"/>
    <mergeCell ref="AW8:AZ8"/>
    <mergeCell ref="BA8:BC8"/>
    <mergeCell ref="BD8:BF8"/>
    <mergeCell ref="BG8:BI8"/>
    <mergeCell ref="BJ8:BL8"/>
    <mergeCell ref="BM8:BO8"/>
    <mergeCell ref="BP8:BS8"/>
    <mergeCell ref="BT8:BV8"/>
    <mergeCell ref="BW8:BY8"/>
    <mergeCell ref="BZ8:CB8"/>
    <mergeCell ref="CC8:CG8"/>
    <mergeCell ref="CH8:CJ8"/>
    <mergeCell ref="CK8:CN8"/>
    <mergeCell ref="CO8:CR8"/>
    <mergeCell ref="D9:F9"/>
    <mergeCell ref="G9:H9"/>
    <mergeCell ref="I9:M9"/>
    <mergeCell ref="N9:Q9"/>
    <mergeCell ref="R9:S9"/>
    <mergeCell ref="T9:V9"/>
    <mergeCell ref="W9:Y9"/>
    <mergeCell ref="Z9:AB9"/>
    <mergeCell ref="AC9:AF9"/>
    <mergeCell ref="AG9:AK9"/>
    <mergeCell ref="AL9:AN9"/>
    <mergeCell ref="AO9:AQ9"/>
    <mergeCell ref="AR9:AT9"/>
    <mergeCell ref="AW9:AZ9"/>
    <mergeCell ref="BA9:BC9"/>
    <mergeCell ref="BD9:BF9"/>
    <mergeCell ref="BG9:BI9"/>
    <mergeCell ref="BJ9:BL9"/>
    <mergeCell ref="BM9:BO9"/>
    <mergeCell ref="BP9:BS9"/>
    <mergeCell ref="BT9:BV9"/>
    <mergeCell ref="BW9:BY9"/>
    <mergeCell ref="BZ9:CB9"/>
    <mergeCell ref="CC9:CG9"/>
    <mergeCell ref="CH9:CJ9"/>
    <mergeCell ref="CK9:CN9"/>
    <mergeCell ref="CO9:CR9"/>
    <mergeCell ref="D10:F10"/>
    <mergeCell ref="G10:H10"/>
    <mergeCell ref="I10:M10"/>
    <mergeCell ref="N10:Q10"/>
    <mergeCell ref="R10:S10"/>
    <mergeCell ref="T10:V10"/>
    <mergeCell ref="W10:Y10"/>
    <mergeCell ref="Z10:AB10"/>
    <mergeCell ref="AC10:AF10"/>
    <mergeCell ref="AG10:AK10"/>
    <mergeCell ref="AL10:AN10"/>
    <mergeCell ref="AO10:AQ10"/>
    <mergeCell ref="AR10:AT10"/>
    <mergeCell ref="AW10:AZ10"/>
    <mergeCell ref="BA10:BC10"/>
    <mergeCell ref="BD10:BF10"/>
    <mergeCell ref="BG10:BI10"/>
    <mergeCell ref="BJ10:BL10"/>
    <mergeCell ref="BM10:BO10"/>
    <mergeCell ref="BP10:BS10"/>
    <mergeCell ref="BT10:BV10"/>
    <mergeCell ref="BW10:BY10"/>
    <mergeCell ref="BZ10:CB10"/>
    <mergeCell ref="CC10:CG10"/>
    <mergeCell ref="CH10:CJ10"/>
    <mergeCell ref="CK10:CN10"/>
    <mergeCell ref="CO10:CR10"/>
    <mergeCell ref="D11:AM11"/>
    <mergeCell ref="AN11:AQ11"/>
    <mergeCell ref="AR11:AT11"/>
    <mergeCell ref="AW11:BG11"/>
    <mergeCell ref="BH11:BM11"/>
    <mergeCell ref="D12:E12"/>
    <mergeCell ref="F12:G12"/>
    <mergeCell ref="H12:L12"/>
    <mergeCell ref="M12:O12"/>
    <mergeCell ref="P12:R12"/>
    <mergeCell ref="S12:T12"/>
    <mergeCell ref="U12:V12"/>
    <mergeCell ref="W12:X12"/>
    <mergeCell ref="Y12:AA12"/>
    <mergeCell ref="AB12:AC12"/>
    <mergeCell ref="AD12:AF12"/>
    <mergeCell ref="AG12:AJ12"/>
    <mergeCell ref="AK12:AM12"/>
    <mergeCell ref="D13:E13"/>
    <mergeCell ref="F13:G13"/>
    <mergeCell ref="H13:L13"/>
    <mergeCell ref="M13:O13"/>
    <mergeCell ref="P13:R13"/>
    <mergeCell ref="S13:T13"/>
    <mergeCell ref="U13:V13"/>
    <mergeCell ref="W13:X13"/>
    <mergeCell ref="Y13:AA13"/>
    <mergeCell ref="AB13:AC13"/>
    <mergeCell ref="AD13:AF13"/>
    <mergeCell ref="AG13:AJ13"/>
    <mergeCell ref="AK13:AM13"/>
    <mergeCell ref="BN13:BQ13"/>
    <mergeCell ref="BR13:BT13"/>
    <mergeCell ref="BU13:CA13"/>
    <mergeCell ref="CB13:CF13"/>
    <mergeCell ref="CG13:CH13"/>
    <mergeCell ref="CI13:CJ13"/>
    <mergeCell ref="CK13:CM13"/>
    <mergeCell ref="CN13:CP13"/>
    <mergeCell ref="CQ13:CR13"/>
    <mergeCell ref="D14:E14"/>
    <mergeCell ref="F14:G14"/>
    <mergeCell ref="H14:L14"/>
    <mergeCell ref="M14:O14"/>
    <mergeCell ref="P14:R14"/>
    <mergeCell ref="S14:T14"/>
    <mergeCell ref="U14:V14"/>
    <mergeCell ref="W14:X14"/>
    <mergeCell ref="Y14:AA14"/>
    <mergeCell ref="AB14:AC14"/>
    <mergeCell ref="AD14:AF14"/>
    <mergeCell ref="AG14:AJ14"/>
    <mergeCell ref="AK14:AM14"/>
    <mergeCell ref="AN14:AQ14"/>
    <mergeCell ref="AR14:AT14"/>
    <mergeCell ref="AW14:AY14"/>
    <mergeCell ref="AZ14:BA14"/>
    <mergeCell ref="BB14:BD14"/>
    <mergeCell ref="BE14:BG14"/>
    <mergeCell ref="BH14:BK14"/>
    <mergeCell ref="BL14:BM14"/>
    <mergeCell ref="BN14:BQ14"/>
    <mergeCell ref="BR14:BT14"/>
    <mergeCell ref="BU14:CA14"/>
    <mergeCell ref="CB14:CF14"/>
    <mergeCell ref="CG14:CH14"/>
    <mergeCell ref="CI14:CJ14"/>
    <mergeCell ref="CK14:CM14"/>
    <mergeCell ref="CN14:CP14"/>
    <mergeCell ref="CQ14:CR14"/>
    <mergeCell ref="D15:E15"/>
    <mergeCell ref="F15:G15"/>
    <mergeCell ref="H15:L15"/>
    <mergeCell ref="M15:O15"/>
    <mergeCell ref="P15:R15"/>
    <mergeCell ref="S15:T15"/>
    <mergeCell ref="U15:V15"/>
    <mergeCell ref="W15:X15"/>
    <mergeCell ref="Y15:AA15"/>
    <mergeCell ref="AB15:AC15"/>
    <mergeCell ref="AD15:AF15"/>
    <mergeCell ref="AG15:AJ15"/>
    <mergeCell ref="AK15:AM15"/>
    <mergeCell ref="AN15:AQ15"/>
    <mergeCell ref="AR15:AT15"/>
    <mergeCell ref="AW15:AY15"/>
    <mergeCell ref="AZ15:BA15"/>
    <mergeCell ref="BB15:BD15"/>
    <mergeCell ref="BE15:BG15"/>
    <mergeCell ref="BH15:BK15"/>
    <mergeCell ref="BL15:BM15"/>
    <mergeCell ref="BN15:BQ15"/>
    <mergeCell ref="BR15:BT15"/>
    <mergeCell ref="BU15:CA15"/>
    <mergeCell ref="CB15:CF15"/>
    <mergeCell ref="CG15:CH15"/>
    <mergeCell ref="CI15:CJ15"/>
    <mergeCell ref="CK15:CM15"/>
    <mergeCell ref="CN15:CP15"/>
    <mergeCell ref="CQ15:CR15"/>
    <mergeCell ref="D16:E16"/>
    <mergeCell ref="F16:G16"/>
    <mergeCell ref="H16:L16"/>
    <mergeCell ref="M16:O16"/>
    <mergeCell ref="P16:R16"/>
    <mergeCell ref="S16:T16"/>
    <mergeCell ref="U16:V16"/>
    <mergeCell ref="W16:X16"/>
    <mergeCell ref="Y16:AA16"/>
    <mergeCell ref="AB16:AC16"/>
    <mergeCell ref="AD16:AF16"/>
    <mergeCell ref="AG16:AJ16"/>
    <mergeCell ref="AK16:AM16"/>
    <mergeCell ref="AN16:AQ16"/>
    <mergeCell ref="AR16:AT16"/>
    <mergeCell ref="AW16:AY16"/>
    <mergeCell ref="AZ16:BA16"/>
    <mergeCell ref="BB16:BD16"/>
    <mergeCell ref="BE16:BG16"/>
    <mergeCell ref="BH16:BK16"/>
    <mergeCell ref="BL16:BM16"/>
    <mergeCell ref="BN16:BQ16"/>
    <mergeCell ref="BR16:BT16"/>
    <mergeCell ref="BU16:CA16"/>
    <mergeCell ref="CB16:CF16"/>
    <mergeCell ref="CG16:CH16"/>
    <mergeCell ref="CI16:CJ16"/>
    <mergeCell ref="CK16:CM16"/>
    <mergeCell ref="CN16:CP16"/>
    <mergeCell ref="CQ16:CR16"/>
    <mergeCell ref="D17:E17"/>
    <mergeCell ref="F17:G17"/>
    <mergeCell ref="H17:L17"/>
    <mergeCell ref="M17:O17"/>
    <mergeCell ref="P17:R17"/>
    <mergeCell ref="S17:T17"/>
    <mergeCell ref="U17:V17"/>
    <mergeCell ref="W17:X17"/>
    <mergeCell ref="Y17:AA17"/>
    <mergeCell ref="AB17:AC17"/>
    <mergeCell ref="AD17:AF17"/>
    <mergeCell ref="AG17:AJ17"/>
    <mergeCell ref="AK17:AM17"/>
    <mergeCell ref="AN17:AQ17"/>
    <mergeCell ref="AR17:AT17"/>
    <mergeCell ref="AW17:AY17"/>
    <mergeCell ref="AZ17:BA17"/>
    <mergeCell ref="BB17:BD17"/>
    <mergeCell ref="BE17:BG17"/>
    <mergeCell ref="BH17:BK17"/>
    <mergeCell ref="BL17:BM17"/>
    <mergeCell ref="BN17:BQ17"/>
    <mergeCell ref="BR17:BT17"/>
    <mergeCell ref="BU17:CA17"/>
    <mergeCell ref="CB17:CF17"/>
    <mergeCell ref="CG17:CH17"/>
    <mergeCell ref="CI17:CJ17"/>
    <mergeCell ref="CK17:CM17"/>
    <mergeCell ref="CN17:CP17"/>
    <mergeCell ref="CQ17:CR17"/>
    <mergeCell ref="D18:E18"/>
    <mergeCell ref="F18:G18"/>
    <mergeCell ref="H18:L18"/>
    <mergeCell ref="M18:O18"/>
    <mergeCell ref="P18:R18"/>
    <mergeCell ref="S18:T18"/>
    <mergeCell ref="U18:V18"/>
    <mergeCell ref="W18:X18"/>
    <mergeCell ref="Y18:AA18"/>
    <mergeCell ref="AB18:AC18"/>
    <mergeCell ref="AD18:AF18"/>
    <mergeCell ref="AG18:AJ18"/>
    <mergeCell ref="AK18:AM18"/>
    <mergeCell ref="AN18:AQ18"/>
    <mergeCell ref="AR18:AT18"/>
    <mergeCell ref="AW18:AY18"/>
    <mergeCell ref="AZ18:BA18"/>
    <mergeCell ref="BB18:BD18"/>
    <mergeCell ref="BE18:BG18"/>
    <mergeCell ref="BH18:BK18"/>
    <mergeCell ref="BL18:BM18"/>
    <mergeCell ref="BN18:BQ18"/>
    <mergeCell ref="BR18:BT18"/>
    <mergeCell ref="BU18:CA18"/>
    <mergeCell ref="CB18:CF18"/>
    <mergeCell ref="CG18:CH18"/>
    <mergeCell ref="CI18:CJ18"/>
    <mergeCell ref="CK18:CM18"/>
    <mergeCell ref="CN18:CP18"/>
    <mergeCell ref="CQ18:CR18"/>
    <mergeCell ref="D19:E19"/>
    <mergeCell ref="F19:G19"/>
    <mergeCell ref="H19:L19"/>
    <mergeCell ref="M19:O19"/>
    <mergeCell ref="P19:R19"/>
    <mergeCell ref="S19:T19"/>
    <mergeCell ref="U19:V19"/>
    <mergeCell ref="W19:X19"/>
    <mergeCell ref="Y19:AA19"/>
    <mergeCell ref="AB19:AC19"/>
    <mergeCell ref="AD19:AF19"/>
    <mergeCell ref="AG19:AJ19"/>
    <mergeCell ref="AK19:AM19"/>
    <mergeCell ref="AN19:AQ19"/>
    <mergeCell ref="AR19:AT19"/>
    <mergeCell ref="AW19:AY19"/>
    <mergeCell ref="AZ19:BA19"/>
    <mergeCell ref="BB19:BD19"/>
    <mergeCell ref="BE19:BG19"/>
    <mergeCell ref="BH19:BK19"/>
    <mergeCell ref="BL19:BM19"/>
    <mergeCell ref="BN19:BQ19"/>
    <mergeCell ref="BR19:BT19"/>
    <mergeCell ref="BU19:CA19"/>
    <mergeCell ref="CB19:CF19"/>
    <mergeCell ref="CG19:CH19"/>
    <mergeCell ref="CI19:CJ19"/>
    <mergeCell ref="CK19:CM19"/>
    <mergeCell ref="CN19:CP19"/>
    <mergeCell ref="CQ19:CR19"/>
    <mergeCell ref="B2:B4"/>
    <mergeCell ref="B11:B13"/>
    <mergeCell ref="C2:C4"/>
    <mergeCell ref="C11:C13"/>
    <mergeCell ref="CS2:CS4"/>
    <mergeCell ref="CS11:CS13"/>
    <mergeCell ref="D2:F3"/>
    <mergeCell ref="G2:H3"/>
    <mergeCell ref="I2:M4"/>
    <mergeCell ref="N2:Q3"/>
    <mergeCell ref="R2:S3"/>
    <mergeCell ref="T2:V4"/>
    <mergeCell ref="W2:Y3"/>
    <mergeCell ref="Z2:AB3"/>
    <mergeCell ref="AL2:AN3"/>
    <mergeCell ref="AO2:AQ3"/>
    <mergeCell ref="AR2:AT3"/>
    <mergeCell ref="BA2:BC3"/>
    <mergeCell ref="BD2:BF3"/>
    <mergeCell ref="BG2:BI3"/>
    <mergeCell ref="BJ2:BL3"/>
    <mergeCell ref="AC2:AF3"/>
    <mergeCell ref="AW2:AZ3"/>
    <mergeCell ref="AG2:AK3"/>
    <mergeCell ref="BZ2:CG3"/>
    <mergeCell ref="CH2:CR3"/>
    <mergeCell ref="BM3:BO4"/>
    <mergeCell ref="BP3:BS4"/>
    <mergeCell ref="BT3:BV4"/>
    <mergeCell ref="BW3:BY4"/>
    <mergeCell ref="BN11:BQ12"/>
    <mergeCell ref="BR11:BT12"/>
    <mergeCell ref="BU11:CA12"/>
    <mergeCell ref="CK11:CM12"/>
    <mergeCell ref="CN11:CP12"/>
    <mergeCell ref="CG11:CH12"/>
    <mergeCell ref="CI11:CJ12"/>
    <mergeCell ref="CQ11:CR12"/>
    <mergeCell ref="AN12:AQ13"/>
    <mergeCell ref="BH12:BK13"/>
    <mergeCell ref="AR12:AT13"/>
    <mergeCell ref="AW12:AY13"/>
    <mergeCell ref="AZ12:BA13"/>
    <mergeCell ref="BL12:BM13"/>
    <mergeCell ref="BB12:BD13"/>
    <mergeCell ref="BE12:BG13"/>
    <mergeCell ref="CB11:CF12"/>
  </mergeCells>
  <printOptions horizontalCentered="1" verticalCentered="1"/>
  <pageMargins left="0.078740157480315" right="1.14173228346457" top="0.236220472440945" bottom="0.31496062992126" header="0" footer="0"/>
  <pageSetup paperSize="161" scale="8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9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K21" sqref="K21"/>
    </sheetView>
  </sheetViews>
  <sheetFormatPr defaultColWidth="9" defaultRowHeight="13.2"/>
  <cols>
    <col min="1" max="1" width="5" style="327" customWidth="1"/>
    <col min="2" max="2" width="12.75" style="327" customWidth="1"/>
    <col min="3" max="3" width="16" style="327" customWidth="1"/>
    <col min="4" max="4" width="7.5" style="327" customWidth="1"/>
    <col min="5" max="5" width="7.62962962962963" style="327" customWidth="1"/>
    <col min="6" max="7" width="7.25" style="327" customWidth="1"/>
    <col min="8" max="8" width="7.87962962962963" style="327" customWidth="1"/>
    <col min="9" max="11" width="9" style="327"/>
    <col min="12" max="12" width="7.62962962962963" style="327" customWidth="1"/>
    <col min="13" max="13" width="9" style="328"/>
    <col min="14" max="38" width="7.62962962962963" style="327" customWidth="1"/>
    <col min="39" max="39" width="16" style="327" customWidth="1"/>
    <col min="40" max="40" width="16.25" style="327" customWidth="1"/>
    <col min="41" max="41" width="16" style="327" customWidth="1"/>
    <col min="42" max="43" width="15.8796296296296" style="327" customWidth="1"/>
    <col min="44" max="44" width="16" style="327" customWidth="1"/>
    <col min="45" max="46" width="8.62962962962963" style="329" customWidth="1"/>
    <col min="47" max="47" width="7" style="329" customWidth="1"/>
    <col min="48" max="48" width="6.37962962962963" style="329" customWidth="1"/>
    <col min="49" max="51" width="7.37962962962963" style="329" customWidth="1"/>
    <col min="52" max="52" width="8.37962962962963" style="329" customWidth="1"/>
    <col min="53" max="55" width="9.37962962962963" style="329" customWidth="1"/>
    <col min="56" max="57" width="8.62962962962963" style="329" customWidth="1"/>
    <col min="58" max="58" width="7" style="329" customWidth="1"/>
    <col min="59" max="59" width="6.37962962962963" style="329" customWidth="1"/>
    <col min="60" max="62" width="7.37962962962963" style="329" customWidth="1"/>
    <col min="63" max="63" width="8.37962962962963" style="329" customWidth="1"/>
    <col min="64" max="66" width="9.37962962962963" style="329" customWidth="1"/>
    <col min="67" max="67" width="8" style="327" customWidth="1"/>
    <col min="68" max="69" width="7.5" style="327" hidden="1" customWidth="1"/>
    <col min="70" max="76" width="7.5" style="327" customWidth="1"/>
    <col min="77" max="78" width="13.1296296296296" style="327" customWidth="1"/>
    <col min="79" max="79" width="13.8796296296296" style="327" customWidth="1"/>
    <col min="80" max="81" width="13.1296296296296" style="327" customWidth="1"/>
    <col min="82" max="82" width="13.5" style="327" customWidth="1"/>
    <col min="83" max="90" width="7.25" style="327" customWidth="1"/>
    <col min="91" max="92" width="7.62962962962963" style="327" customWidth="1"/>
    <col min="93" max="93" width="10.3796296296296" style="327" customWidth="1"/>
    <col min="94" max="94" width="11.25" style="327" customWidth="1"/>
    <col min="95" max="95" width="10" style="327" customWidth="1"/>
    <col min="96" max="96" width="9.87962962962963" style="327" customWidth="1"/>
    <col min="97" max="98" width="10.25" style="327" customWidth="1"/>
    <col min="99" max="99" width="10.8796296296296" style="329" customWidth="1"/>
    <col min="100" max="100" width="10.6296296296296" style="329" customWidth="1"/>
    <col min="101" max="101" width="10.8796296296296" style="329" customWidth="1"/>
    <col min="102" max="119" width="11.3796296296296" style="329" customWidth="1"/>
    <col min="120" max="120" width="9" style="327"/>
    <col min="121" max="121" width="10.1296296296296" style="327" customWidth="1"/>
    <col min="122" max="122" width="6.87962962962963" style="327" customWidth="1"/>
    <col min="123" max="124" width="9" style="327"/>
    <col min="125" max="125" width="9.12962962962963" style="327" customWidth="1"/>
    <col min="126" max="126" width="8.37962962962963" style="327" customWidth="1"/>
    <col min="127" max="127" width="11.1296296296296" style="327" customWidth="1"/>
    <col min="128" max="128" width="6.62962962962963" style="327" customWidth="1"/>
    <col min="129" max="129" width="9.37962962962963" style="327" customWidth="1"/>
    <col min="130" max="130" width="8.87962962962963" style="327" customWidth="1"/>
    <col min="131" max="140" width="7.25" style="327" customWidth="1"/>
    <col min="141" max="141" width="9" style="327"/>
    <col min="142" max="142" width="7.25" style="327" customWidth="1"/>
    <col min="143" max="143" width="9" style="327"/>
    <col min="144" max="178" width="7.25" style="327" customWidth="1"/>
    <col min="179" max="179" width="6.5" style="327" customWidth="1"/>
    <col min="180" max="189" width="7.25" style="327" customWidth="1"/>
    <col min="190" max="190" width="9" style="327"/>
    <col min="191" max="191" width="7.25" style="327" customWidth="1"/>
    <col min="192" max="192" width="9" style="327"/>
    <col min="193" max="227" width="7.25" style="327" customWidth="1"/>
    <col min="228" max="228" width="6.5" style="327" customWidth="1"/>
    <col min="229" max="229" width="14.6296296296296" style="327" customWidth="1"/>
    <col min="230" max="230" width="7.25" style="327" customWidth="1"/>
    <col min="231" max="231" width="14.5" style="327" customWidth="1"/>
    <col min="232" max="232" width="14.5" style="330" customWidth="1"/>
    <col min="233" max="233" width="11.1111111111111" style="327" customWidth="1"/>
    <col min="234" max="234" width="9.66666666666667" style="327"/>
    <col min="235" max="16384" width="9" style="327"/>
  </cols>
  <sheetData>
    <row r="1" ht="39.6" customHeight="1" spans="1:234">
      <c r="A1" s="331" t="s">
        <v>2</v>
      </c>
      <c r="B1" s="331" t="s">
        <v>1714</v>
      </c>
      <c r="C1" s="331" t="s">
        <v>1715</v>
      </c>
      <c r="D1" s="331" t="s">
        <v>1716</v>
      </c>
      <c r="E1" s="331"/>
      <c r="F1" s="331"/>
      <c r="G1" s="331" t="s">
        <v>6</v>
      </c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 t="s">
        <v>1717</v>
      </c>
      <c r="AN1" s="331"/>
      <c r="AO1" s="331"/>
      <c r="AP1" s="331"/>
      <c r="AQ1" s="331"/>
      <c r="AR1" s="331"/>
      <c r="AS1" s="342"/>
      <c r="AT1" s="342"/>
      <c r="AU1" s="342"/>
      <c r="AV1" s="342"/>
      <c r="AW1" s="342"/>
      <c r="AX1" s="342"/>
      <c r="AY1" s="342"/>
      <c r="AZ1" s="342"/>
      <c r="BA1" s="342"/>
      <c r="BB1" s="342"/>
      <c r="BC1" s="342"/>
      <c r="BD1" s="342"/>
      <c r="BE1" s="342"/>
      <c r="BF1" s="342"/>
      <c r="BG1" s="342"/>
      <c r="BH1" s="342"/>
      <c r="BI1" s="342"/>
      <c r="BJ1" s="342"/>
      <c r="BK1" s="342"/>
      <c r="BL1" s="342"/>
      <c r="BM1" s="342"/>
      <c r="BN1" s="342"/>
      <c r="BO1" s="331" t="s">
        <v>1718</v>
      </c>
      <c r="BP1" s="331"/>
      <c r="BQ1" s="331"/>
      <c r="BR1" s="331"/>
      <c r="BS1" s="331"/>
      <c r="BT1" s="331"/>
      <c r="BU1" s="331"/>
      <c r="BV1" s="331"/>
      <c r="BW1" s="331"/>
      <c r="BX1" s="331"/>
      <c r="BY1" s="359" t="s">
        <v>13</v>
      </c>
      <c r="BZ1" s="359"/>
      <c r="CA1" s="359"/>
      <c r="CB1" s="359"/>
      <c r="CC1" s="359"/>
      <c r="CD1" s="359"/>
      <c r="CE1" s="363" t="s">
        <v>14</v>
      </c>
      <c r="CF1" s="364"/>
      <c r="CG1" s="364"/>
      <c r="CH1" s="364"/>
      <c r="CI1" s="364"/>
      <c r="CJ1" s="364"/>
      <c r="CK1" s="364"/>
      <c r="CL1" s="369"/>
      <c r="CM1" s="331" t="s">
        <v>15</v>
      </c>
      <c r="CN1" s="331"/>
      <c r="CO1" s="331"/>
      <c r="CP1" s="331"/>
      <c r="CQ1" s="331"/>
      <c r="CR1" s="331"/>
      <c r="CS1" s="331"/>
      <c r="CT1" s="331"/>
      <c r="CU1" s="331"/>
      <c r="CV1" s="331"/>
      <c r="CW1" s="331"/>
      <c r="CX1" s="331"/>
      <c r="CY1" s="331"/>
      <c r="CZ1" s="331"/>
      <c r="DA1" s="331"/>
      <c r="DB1" s="331"/>
      <c r="DC1" s="331"/>
      <c r="DD1" s="331"/>
      <c r="DE1" s="331"/>
      <c r="DF1" s="331"/>
      <c r="DG1" s="331"/>
      <c r="DH1" s="331"/>
      <c r="DI1" s="331"/>
      <c r="DJ1" s="331"/>
      <c r="DK1" s="331"/>
      <c r="DL1" s="331"/>
      <c r="DM1" s="331"/>
      <c r="DN1" s="331"/>
      <c r="DO1" s="331"/>
      <c r="DP1" s="331"/>
      <c r="DQ1" s="331" t="s">
        <v>16</v>
      </c>
      <c r="DR1" s="331"/>
      <c r="DS1" s="331"/>
      <c r="DT1" s="331"/>
      <c r="DU1" s="331"/>
      <c r="DV1" s="331"/>
      <c r="DW1" s="331"/>
      <c r="DX1" s="374"/>
      <c r="DY1" s="331" t="s">
        <v>1719</v>
      </c>
      <c r="DZ1" s="331" t="s">
        <v>1720</v>
      </c>
      <c r="EA1" s="363" t="s">
        <v>1721</v>
      </c>
      <c r="EB1" s="364"/>
      <c r="EC1" s="364"/>
      <c r="ED1" s="364"/>
      <c r="EE1" s="364"/>
      <c r="EF1" s="364"/>
      <c r="EG1" s="364"/>
      <c r="EH1" s="364"/>
      <c r="EI1" s="364"/>
      <c r="EJ1" s="364"/>
      <c r="EK1" s="364"/>
      <c r="EL1" s="364"/>
      <c r="EM1" s="364"/>
      <c r="EN1" s="364"/>
      <c r="EO1" s="364"/>
      <c r="EP1" s="364"/>
      <c r="EQ1" s="364"/>
      <c r="ER1" s="364"/>
      <c r="ES1" s="364"/>
      <c r="ET1" s="364"/>
      <c r="EU1" s="364"/>
      <c r="EV1" s="364"/>
      <c r="EW1" s="364"/>
      <c r="EX1" s="364"/>
      <c r="EY1" s="364"/>
      <c r="EZ1" s="364"/>
      <c r="FA1" s="364"/>
      <c r="FB1" s="364"/>
      <c r="FC1" s="364"/>
      <c r="FD1" s="364"/>
      <c r="FE1" s="364"/>
      <c r="FF1" s="364"/>
      <c r="FG1" s="364"/>
      <c r="FH1" s="364"/>
      <c r="FI1" s="364"/>
      <c r="FJ1" s="364"/>
      <c r="FK1" s="364"/>
      <c r="FL1" s="364"/>
      <c r="FM1" s="364"/>
      <c r="FN1" s="364"/>
      <c r="FO1" s="364"/>
      <c r="FP1" s="364"/>
      <c r="FQ1" s="364"/>
      <c r="FR1" s="364"/>
      <c r="FS1" s="364"/>
      <c r="FT1" s="364"/>
      <c r="FU1" s="364"/>
      <c r="FV1" s="364"/>
      <c r="FW1" s="369"/>
      <c r="FX1" s="390" t="s">
        <v>1722</v>
      </c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3"/>
      <c r="HU1" s="331" t="s">
        <v>1723</v>
      </c>
      <c r="HV1" s="331" t="s">
        <v>1724</v>
      </c>
      <c r="HW1" s="331" t="s">
        <v>1725</v>
      </c>
      <c r="HX1" s="363" t="s">
        <v>1714</v>
      </c>
      <c r="HY1" s="395" t="s">
        <v>1726</v>
      </c>
      <c r="HZ1" s="395" t="s">
        <v>1727</v>
      </c>
    </row>
    <row r="2" ht="31.9" customHeight="1" spans="1:234">
      <c r="A2" s="331"/>
      <c r="B2" s="331"/>
      <c r="C2" s="331"/>
      <c r="D2" s="331" t="s">
        <v>1728</v>
      </c>
      <c r="E2" s="331" t="s">
        <v>1729</v>
      </c>
      <c r="F2" s="331" t="s">
        <v>1730</v>
      </c>
      <c r="G2" s="331" t="s">
        <v>1731</v>
      </c>
      <c r="H2" s="331" t="s">
        <v>1732</v>
      </c>
      <c r="I2" s="331" t="s">
        <v>1733</v>
      </c>
      <c r="J2" s="331" t="s">
        <v>1734</v>
      </c>
      <c r="K2" s="331" t="s">
        <v>1735</v>
      </c>
      <c r="L2" s="331" t="s">
        <v>1736</v>
      </c>
      <c r="M2" s="331" t="s">
        <v>1737</v>
      </c>
      <c r="N2" s="331" t="s">
        <v>1738</v>
      </c>
      <c r="O2" s="331" t="s">
        <v>1739</v>
      </c>
      <c r="P2" s="331" t="s">
        <v>1740</v>
      </c>
      <c r="Q2" s="331" t="s">
        <v>1741</v>
      </c>
      <c r="R2" s="331" t="s">
        <v>1742</v>
      </c>
      <c r="S2" s="331" t="s">
        <v>1743</v>
      </c>
      <c r="T2" s="331" t="s">
        <v>1744</v>
      </c>
      <c r="U2" s="331" t="s">
        <v>1745</v>
      </c>
      <c r="V2" s="331" t="s">
        <v>1746</v>
      </c>
      <c r="W2" s="331" t="s">
        <v>1747</v>
      </c>
      <c r="X2" s="331" t="s">
        <v>1748</v>
      </c>
      <c r="Y2" s="331" t="s">
        <v>1749</v>
      </c>
      <c r="Z2" s="331" t="s">
        <v>1750</v>
      </c>
      <c r="AA2" s="331" t="s">
        <v>1751</v>
      </c>
      <c r="AB2" s="331" t="s">
        <v>1752</v>
      </c>
      <c r="AC2" s="331" t="s">
        <v>1753</v>
      </c>
      <c r="AD2" s="331" t="s">
        <v>1754</v>
      </c>
      <c r="AE2" s="331" t="s">
        <v>1755</v>
      </c>
      <c r="AF2" s="331" t="s">
        <v>1756</v>
      </c>
      <c r="AG2" s="331" t="s">
        <v>1757</v>
      </c>
      <c r="AH2" s="331" t="s">
        <v>1758</v>
      </c>
      <c r="AI2" s="331" t="s">
        <v>1759</v>
      </c>
      <c r="AJ2" s="331" t="s">
        <v>1760</v>
      </c>
      <c r="AK2" s="331" t="s">
        <v>1761</v>
      </c>
      <c r="AL2" s="331" t="s">
        <v>1762</v>
      </c>
      <c r="AM2" s="331" t="s">
        <v>339</v>
      </c>
      <c r="AN2" s="331" t="s">
        <v>303</v>
      </c>
      <c r="AO2" s="331" t="s">
        <v>617</v>
      </c>
      <c r="AP2" s="331" t="s">
        <v>412</v>
      </c>
      <c r="AQ2" s="331" t="s">
        <v>1763</v>
      </c>
      <c r="AR2" s="331" t="s">
        <v>1627</v>
      </c>
      <c r="AS2" s="343" t="s">
        <v>1764</v>
      </c>
      <c r="AT2" s="343" t="s">
        <v>1765</v>
      </c>
      <c r="AU2" s="343" t="s">
        <v>1766</v>
      </c>
      <c r="AV2" s="343" t="s">
        <v>1767</v>
      </c>
      <c r="AW2" s="343" t="s">
        <v>1768</v>
      </c>
      <c r="AX2" s="343" t="s">
        <v>1769</v>
      </c>
      <c r="AY2" s="343" t="s">
        <v>1770</v>
      </c>
      <c r="AZ2" s="343" t="s">
        <v>1771</v>
      </c>
      <c r="BA2" s="343" t="s">
        <v>1772</v>
      </c>
      <c r="BB2" s="343" t="s">
        <v>1773</v>
      </c>
      <c r="BC2" s="343" t="s">
        <v>1774</v>
      </c>
      <c r="BD2" s="343" t="s">
        <v>1775</v>
      </c>
      <c r="BE2" s="343" t="s">
        <v>1776</v>
      </c>
      <c r="BF2" s="343" t="s">
        <v>1777</v>
      </c>
      <c r="BG2" s="343" t="s">
        <v>1778</v>
      </c>
      <c r="BH2" s="343" t="s">
        <v>1779</v>
      </c>
      <c r="BI2" s="343" t="s">
        <v>1780</v>
      </c>
      <c r="BJ2" s="343" t="s">
        <v>1781</v>
      </c>
      <c r="BK2" s="343" t="s">
        <v>1782</v>
      </c>
      <c r="BL2" s="343" t="s">
        <v>1783</v>
      </c>
      <c r="BM2" s="343" t="s">
        <v>1784</v>
      </c>
      <c r="BN2" s="343" t="s">
        <v>1785</v>
      </c>
      <c r="BO2" s="349" t="s">
        <v>1786</v>
      </c>
      <c r="BP2" s="349" t="s">
        <v>1787</v>
      </c>
      <c r="BQ2" s="349" t="s">
        <v>1788</v>
      </c>
      <c r="BR2" s="349" t="s">
        <v>1789</v>
      </c>
      <c r="BS2" s="349" t="s">
        <v>1790</v>
      </c>
      <c r="BT2" s="349" t="s">
        <v>1791</v>
      </c>
      <c r="BU2" s="349" t="s">
        <v>1792</v>
      </c>
      <c r="BV2" s="349" t="s">
        <v>1793</v>
      </c>
      <c r="BW2" s="349" t="s">
        <v>1794</v>
      </c>
      <c r="BX2" s="349" t="s">
        <v>1795</v>
      </c>
      <c r="BY2" s="349" t="s">
        <v>1796</v>
      </c>
      <c r="BZ2" s="349" t="s">
        <v>1797</v>
      </c>
      <c r="CA2" s="349" t="s">
        <v>1798</v>
      </c>
      <c r="CB2" s="349" t="s">
        <v>1799</v>
      </c>
      <c r="CC2" s="349" t="s">
        <v>1800</v>
      </c>
      <c r="CD2" s="349" t="s">
        <v>1801</v>
      </c>
      <c r="CE2" s="331" t="s">
        <v>188</v>
      </c>
      <c r="CF2" s="331" t="s">
        <v>189</v>
      </c>
      <c r="CG2" s="365" t="s">
        <v>1802</v>
      </c>
      <c r="CH2" s="365" t="s">
        <v>1803</v>
      </c>
      <c r="CI2" s="366" t="s">
        <v>1804</v>
      </c>
      <c r="CJ2" s="366" t="s">
        <v>193</v>
      </c>
      <c r="CK2" s="342"/>
      <c r="CL2" s="342"/>
      <c r="CM2" s="331" t="s">
        <v>1805</v>
      </c>
      <c r="CN2" s="331" t="s">
        <v>1806</v>
      </c>
      <c r="CO2" s="331" t="s">
        <v>1807</v>
      </c>
      <c r="CP2" s="331" t="s">
        <v>1808</v>
      </c>
      <c r="CQ2" s="331" t="s">
        <v>1809</v>
      </c>
      <c r="CR2" s="331" t="s">
        <v>1810</v>
      </c>
      <c r="CS2" s="331" t="s">
        <v>1811</v>
      </c>
      <c r="CT2" s="331" t="s">
        <v>1812</v>
      </c>
      <c r="CU2" s="366" t="s">
        <v>1813</v>
      </c>
      <c r="CV2" s="366" t="s">
        <v>1814</v>
      </c>
      <c r="CW2" s="366" t="s">
        <v>1815</v>
      </c>
      <c r="CX2" s="366" t="s">
        <v>1816</v>
      </c>
      <c r="CY2" s="366" t="s">
        <v>1817</v>
      </c>
      <c r="CZ2" s="366" t="s">
        <v>1818</v>
      </c>
      <c r="DA2" s="366" t="s">
        <v>1819</v>
      </c>
      <c r="DB2" s="366" t="s">
        <v>1820</v>
      </c>
      <c r="DC2" s="366" t="s">
        <v>1821</v>
      </c>
      <c r="DD2" s="366" t="s">
        <v>1822</v>
      </c>
      <c r="DE2" s="366" t="s">
        <v>1823</v>
      </c>
      <c r="DF2" s="366" t="s">
        <v>1824</v>
      </c>
      <c r="DG2" s="366" t="s">
        <v>1825</v>
      </c>
      <c r="DH2" s="366" t="s">
        <v>1826</v>
      </c>
      <c r="DI2" s="366" t="s">
        <v>1827</v>
      </c>
      <c r="DJ2" s="366" t="s">
        <v>1828</v>
      </c>
      <c r="DK2" s="366" t="s">
        <v>1829</v>
      </c>
      <c r="DL2" s="366" t="s">
        <v>1830</v>
      </c>
      <c r="DM2" s="366" t="s">
        <v>1831</v>
      </c>
      <c r="DN2" s="366" t="s">
        <v>1832</v>
      </c>
      <c r="DO2" s="366" t="s">
        <v>1833</v>
      </c>
      <c r="DP2" s="374" t="s">
        <v>1834</v>
      </c>
      <c r="DQ2" s="331" t="s">
        <v>1835</v>
      </c>
      <c r="DR2" s="365" t="s">
        <v>1836</v>
      </c>
      <c r="DS2" s="331" t="s">
        <v>1837</v>
      </c>
      <c r="DT2" s="331" t="s">
        <v>1838</v>
      </c>
      <c r="DU2" s="331" t="s">
        <v>1839</v>
      </c>
      <c r="DV2" s="331" t="s">
        <v>1840</v>
      </c>
      <c r="DW2" s="331" t="s">
        <v>1841</v>
      </c>
      <c r="DX2" s="331" t="s">
        <v>231</v>
      </c>
      <c r="DY2" s="331" t="s">
        <v>1842</v>
      </c>
      <c r="DZ2" s="331" t="s">
        <v>1843</v>
      </c>
      <c r="EA2" s="331" t="s">
        <v>1844</v>
      </c>
      <c r="EB2" s="331" t="s">
        <v>1845</v>
      </c>
      <c r="EC2" s="331" t="s">
        <v>1846</v>
      </c>
      <c r="ED2" s="331" t="s">
        <v>1847</v>
      </c>
      <c r="EE2" s="331" t="s">
        <v>1848</v>
      </c>
      <c r="EF2" s="331" t="s">
        <v>1849</v>
      </c>
      <c r="EG2" s="389" t="s">
        <v>1795</v>
      </c>
      <c r="EH2" s="389" t="s">
        <v>1850</v>
      </c>
      <c r="EI2" s="389" t="s">
        <v>1851</v>
      </c>
      <c r="EJ2" s="389" t="s">
        <v>1794</v>
      </c>
      <c r="EK2" s="374" t="s">
        <v>1852</v>
      </c>
      <c r="EL2" s="389" t="s">
        <v>1853</v>
      </c>
      <c r="EM2" s="374" t="s">
        <v>1854</v>
      </c>
      <c r="EN2" s="389" t="s">
        <v>1793</v>
      </c>
      <c r="EO2" s="389" t="s">
        <v>1855</v>
      </c>
      <c r="EP2" s="389" t="s">
        <v>1856</v>
      </c>
      <c r="EQ2" s="389" t="s">
        <v>1857</v>
      </c>
      <c r="ER2" s="389" t="s">
        <v>1792</v>
      </c>
      <c r="ES2" s="331" t="s">
        <v>1858</v>
      </c>
      <c r="ET2" s="331" t="s">
        <v>1859</v>
      </c>
      <c r="EU2" s="331" t="s">
        <v>1860</v>
      </c>
      <c r="EV2" s="331" t="s">
        <v>1861</v>
      </c>
      <c r="EW2" s="331" t="s">
        <v>1862</v>
      </c>
      <c r="EX2" s="331" t="s">
        <v>1791</v>
      </c>
      <c r="EY2" s="331" t="s">
        <v>1863</v>
      </c>
      <c r="EZ2" s="331" t="s">
        <v>1864</v>
      </c>
      <c r="FA2" s="331" t="s">
        <v>1865</v>
      </c>
      <c r="FB2" s="331" t="s">
        <v>1866</v>
      </c>
      <c r="FC2" s="331" t="s">
        <v>1867</v>
      </c>
      <c r="FD2" s="331" t="s">
        <v>1868</v>
      </c>
      <c r="FE2" s="331" t="s">
        <v>1869</v>
      </c>
      <c r="FF2" s="331" t="s">
        <v>1870</v>
      </c>
      <c r="FG2" s="331" t="s">
        <v>1871</v>
      </c>
      <c r="FH2" s="331" t="s">
        <v>1872</v>
      </c>
      <c r="FI2" s="331" t="s">
        <v>1873</v>
      </c>
      <c r="FJ2" s="331" t="s">
        <v>1874</v>
      </c>
      <c r="FK2" s="331" t="s">
        <v>1788</v>
      </c>
      <c r="FL2" s="331" t="s">
        <v>1875</v>
      </c>
      <c r="FM2" s="331" t="s">
        <v>1787</v>
      </c>
      <c r="FN2" s="331" t="s">
        <v>1876</v>
      </c>
      <c r="FO2" s="331" t="s">
        <v>1877</v>
      </c>
      <c r="FP2" s="331" t="s">
        <v>1878</v>
      </c>
      <c r="FQ2" s="331" t="s">
        <v>1879</v>
      </c>
      <c r="FR2" s="331" t="s">
        <v>1880</v>
      </c>
      <c r="FS2" s="331" t="s">
        <v>1881</v>
      </c>
      <c r="FT2" s="331" t="s">
        <v>1882</v>
      </c>
      <c r="FU2" s="331" t="s">
        <v>1883</v>
      </c>
      <c r="FV2" s="331" t="s">
        <v>1884</v>
      </c>
      <c r="FW2" s="331" t="s">
        <v>1885</v>
      </c>
      <c r="FX2" s="331" t="s">
        <v>1844</v>
      </c>
      <c r="FY2" s="331" t="s">
        <v>1845</v>
      </c>
      <c r="FZ2" s="331" t="s">
        <v>1846</v>
      </c>
      <c r="GA2" s="331" t="s">
        <v>1847</v>
      </c>
      <c r="GB2" s="331" t="s">
        <v>1848</v>
      </c>
      <c r="GC2" s="331" t="s">
        <v>1849</v>
      </c>
      <c r="GD2" s="389" t="s">
        <v>1795</v>
      </c>
      <c r="GE2" s="389" t="s">
        <v>1850</v>
      </c>
      <c r="GF2" s="389" t="s">
        <v>1851</v>
      </c>
      <c r="GG2" s="389" t="s">
        <v>1794</v>
      </c>
      <c r="GH2" s="374" t="s">
        <v>1852</v>
      </c>
      <c r="GI2" s="389" t="s">
        <v>1853</v>
      </c>
      <c r="GJ2" s="374" t="s">
        <v>1854</v>
      </c>
      <c r="GK2" s="389" t="s">
        <v>1793</v>
      </c>
      <c r="GL2" s="389" t="s">
        <v>1855</v>
      </c>
      <c r="GM2" s="389" t="s">
        <v>1856</v>
      </c>
      <c r="GN2" s="389" t="s">
        <v>1857</v>
      </c>
      <c r="GO2" s="389" t="s">
        <v>1792</v>
      </c>
      <c r="GP2" s="331" t="s">
        <v>1858</v>
      </c>
      <c r="GQ2" s="331" t="s">
        <v>1859</v>
      </c>
      <c r="GR2" s="331" t="s">
        <v>1860</v>
      </c>
      <c r="GS2" s="331" t="s">
        <v>1861</v>
      </c>
      <c r="GT2" s="331" t="s">
        <v>1862</v>
      </c>
      <c r="GU2" s="331" t="s">
        <v>1791</v>
      </c>
      <c r="GV2" s="331" t="s">
        <v>1863</v>
      </c>
      <c r="GW2" s="331" t="s">
        <v>1864</v>
      </c>
      <c r="GX2" s="331" t="s">
        <v>1865</v>
      </c>
      <c r="GY2" s="331" t="s">
        <v>1866</v>
      </c>
      <c r="GZ2" s="331" t="s">
        <v>1867</v>
      </c>
      <c r="HA2" s="331" t="s">
        <v>1868</v>
      </c>
      <c r="HB2" s="331" t="s">
        <v>1869</v>
      </c>
      <c r="HC2" s="331" t="s">
        <v>1870</v>
      </c>
      <c r="HD2" s="331" t="s">
        <v>1871</v>
      </c>
      <c r="HE2" s="331" t="s">
        <v>1872</v>
      </c>
      <c r="HF2" s="331" t="s">
        <v>1873</v>
      </c>
      <c r="HG2" s="331" t="s">
        <v>1874</v>
      </c>
      <c r="HH2" s="331" t="s">
        <v>1788</v>
      </c>
      <c r="HI2" s="331" t="s">
        <v>1875</v>
      </c>
      <c r="HJ2" s="331" t="s">
        <v>1787</v>
      </c>
      <c r="HK2" s="331" t="s">
        <v>1876</v>
      </c>
      <c r="HL2" s="331" t="s">
        <v>1877</v>
      </c>
      <c r="HM2" s="331" t="s">
        <v>1878</v>
      </c>
      <c r="HN2" s="331" t="s">
        <v>1879</v>
      </c>
      <c r="HO2" s="331" t="s">
        <v>1880</v>
      </c>
      <c r="HP2" s="331" t="s">
        <v>1881</v>
      </c>
      <c r="HQ2" s="331" t="s">
        <v>1882</v>
      </c>
      <c r="HR2" s="331" t="s">
        <v>1883</v>
      </c>
      <c r="HS2" s="331" t="s">
        <v>1884</v>
      </c>
      <c r="HT2" s="331" t="s">
        <v>1885</v>
      </c>
      <c r="HU2" s="331"/>
      <c r="HV2" s="331"/>
      <c r="HW2" s="331"/>
      <c r="HX2" s="363"/>
      <c r="HY2" s="395"/>
      <c r="HZ2" s="395"/>
    </row>
    <row r="3" hidden="1" spans="1:234">
      <c r="A3" s="332"/>
      <c r="B3" s="332">
        <v>1</v>
      </c>
      <c r="C3" s="332">
        <v>2</v>
      </c>
      <c r="D3" s="332">
        <v>3</v>
      </c>
      <c r="E3" s="332">
        <v>4</v>
      </c>
      <c r="F3" s="332">
        <v>5</v>
      </c>
      <c r="G3" s="332">
        <v>6</v>
      </c>
      <c r="H3" s="332">
        <v>7</v>
      </c>
      <c r="I3" s="332">
        <v>8</v>
      </c>
      <c r="J3" s="332">
        <v>9</v>
      </c>
      <c r="K3" s="332">
        <v>10</v>
      </c>
      <c r="L3" s="332">
        <v>11</v>
      </c>
      <c r="M3" s="332">
        <v>12</v>
      </c>
      <c r="N3" s="332">
        <v>13</v>
      </c>
      <c r="O3" s="332">
        <v>14</v>
      </c>
      <c r="P3" s="332">
        <v>15</v>
      </c>
      <c r="Q3" s="332">
        <v>16</v>
      </c>
      <c r="R3" s="332">
        <v>17</v>
      </c>
      <c r="S3" s="332">
        <v>18</v>
      </c>
      <c r="T3" s="332">
        <v>19</v>
      </c>
      <c r="U3" s="332">
        <v>20</v>
      </c>
      <c r="V3" s="332">
        <v>21</v>
      </c>
      <c r="W3" s="332">
        <v>22</v>
      </c>
      <c r="X3" s="332">
        <v>23</v>
      </c>
      <c r="Y3" s="332">
        <v>24</v>
      </c>
      <c r="Z3" s="332">
        <v>25</v>
      </c>
      <c r="AA3" s="332">
        <v>26</v>
      </c>
      <c r="AB3" s="332">
        <v>27</v>
      </c>
      <c r="AC3" s="332">
        <v>28</v>
      </c>
      <c r="AD3" s="332">
        <v>29</v>
      </c>
      <c r="AE3" s="332">
        <v>30</v>
      </c>
      <c r="AF3" s="332">
        <v>31</v>
      </c>
      <c r="AG3" s="332">
        <v>32</v>
      </c>
      <c r="AH3" s="332">
        <v>33</v>
      </c>
      <c r="AI3" s="332">
        <v>34</v>
      </c>
      <c r="AJ3" s="332">
        <v>35</v>
      </c>
      <c r="AK3" s="332">
        <v>36</v>
      </c>
      <c r="AL3" s="332">
        <v>37</v>
      </c>
      <c r="AM3" s="332">
        <v>38</v>
      </c>
      <c r="AN3" s="332">
        <v>39</v>
      </c>
      <c r="AO3" s="332">
        <v>40</v>
      </c>
      <c r="AP3" s="332">
        <v>41</v>
      </c>
      <c r="AQ3" s="332">
        <v>42</v>
      </c>
      <c r="AR3" s="332">
        <v>43</v>
      </c>
      <c r="AS3" s="332">
        <v>44</v>
      </c>
      <c r="AT3" s="332">
        <v>45</v>
      </c>
      <c r="AU3" s="332">
        <v>46</v>
      </c>
      <c r="AV3" s="332">
        <v>47</v>
      </c>
      <c r="AW3" s="332">
        <v>48</v>
      </c>
      <c r="AX3" s="332">
        <v>49</v>
      </c>
      <c r="AY3" s="332">
        <v>50</v>
      </c>
      <c r="AZ3" s="332">
        <v>51</v>
      </c>
      <c r="BA3" s="332">
        <v>52</v>
      </c>
      <c r="BB3" s="332">
        <v>53</v>
      </c>
      <c r="BC3" s="332">
        <v>54</v>
      </c>
      <c r="BD3" s="332">
        <v>55</v>
      </c>
      <c r="BE3" s="332">
        <v>56</v>
      </c>
      <c r="BF3" s="332">
        <v>57</v>
      </c>
      <c r="BG3" s="332">
        <v>58</v>
      </c>
      <c r="BH3" s="332">
        <v>59</v>
      </c>
      <c r="BI3" s="332">
        <v>60</v>
      </c>
      <c r="BJ3" s="332">
        <v>61</v>
      </c>
      <c r="BK3" s="332">
        <v>62</v>
      </c>
      <c r="BL3" s="332">
        <v>63</v>
      </c>
      <c r="BM3" s="332">
        <v>64</v>
      </c>
      <c r="BN3" s="332">
        <v>65</v>
      </c>
      <c r="BO3" s="332">
        <v>66</v>
      </c>
      <c r="BP3" s="350">
        <v>67</v>
      </c>
      <c r="BQ3" s="350">
        <v>68</v>
      </c>
      <c r="BR3" s="332">
        <v>69</v>
      </c>
      <c r="BS3" s="332">
        <v>70</v>
      </c>
      <c r="BT3" s="332">
        <v>71</v>
      </c>
      <c r="BU3" s="332">
        <v>72</v>
      </c>
      <c r="BV3" s="332">
        <v>73</v>
      </c>
      <c r="BW3" s="332">
        <v>74</v>
      </c>
      <c r="BX3" s="332">
        <v>75</v>
      </c>
      <c r="BY3" s="332">
        <v>76</v>
      </c>
      <c r="BZ3" s="332">
        <v>77</v>
      </c>
      <c r="CA3" s="332">
        <v>78</v>
      </c>
      <c r="CB3" s="332">
        <v>79</v>
      </c>
      <c r="CC3" s="332">
        <v>80</v>
      </c>
      <c r="CD3" s="332">
        <v>81</v>
      </c>
      <c r="CE3" s="332">
        <v>82</v>
      </c>
      <c r="CF3" s="332">
        <v>83</v>
      </c>
      <c r="CG3" s="332">
        <v>84</v>
      </c>
      <c r="CH3" s="332">
        <v>85</v>
      </c>
      <c r="CI3" s="332">
        <v>86</v>
      </c>
      <c r="CJ3" s="332">
        <v>87</v>
      </c>
      <c r="CK3" s="332">
        <v>88</v>
      </c>
      <c r="CL3" s="332">
        <v>89</v>
      </c>
      <c r="CM3" s="332">
        <v>90</v>
      </c>
      <c r="CN3" s="332">
        <v>91</v>
      </c>
      <c r="CO3" s="332">
        <v>92</v>
      </c>
      <c r="CP3" s="332">
        <v>93</v>
      </c>
      <c r="CQ3" s="332">
        <v>94</v>
      </c>
      <c r="CR3" s="332">
        <v>95</v>
      </c>
      <c r="CS3" s="332">
        <v>96</v>
      </c>
      <c r="CT3" s="332">
        <v>97</v>
      </c>
      <c r="CU3" s="332">
        <v>98</v>
      </c>
      <c r="CV3" s="332">
        <v>99</v>
      </c>
      <c r="CW3" s="332">
        <v>100</v>
      </c>
      <c r="CX3" s="332">
        <v>101</v>
      </c>
      <c r="CY3" s="332">
        <v>102</v>
      </c>
      <c r="CZ3" s="332">
        <v>103</v>
      </c>
      <c r="DA3" s="332">
        <v>104</v>
      </c>
      <c r="DB3" s="332">
        <v>105</v>
      </c>
      <c r="DC3" s="332">
        <v>106</v>
      </c>
      <c r="DD3" s="332">
        <v>107</v>
      </c>
      <c r="DE3" s="332">
        <v>108</v>
      </c>
      <c r="DF3" s="332">
        <v>109</v>
      </c>
      <c r="DG3" s="332">
        <v>110</v>
      </c>
      <c r="DH3" s="332">
        <v>111</v>
      </c>
      <c r="DI3" s="332">
        <v>112</v>
      </c>
      <c r="DJ3" s="332">
        <v>113</v>
      </c>
      <c r="DK3" s="332">
        <v>114</v>
      </c>
      <c r="DL3" s="332">
        <v>115</v>
      </c>
      <c r="DM3" s="332">
        <v>116</v>
      </c>
      <c r="DN3" s="332">
        <v>117</v>
      </c>
      <c r="DO3" s="332">
        <v>118</v>
      </c>
      <c r="DP3" s="332">
        <v>119</v>
      </c>
      <c r="DQ3" s="332">
        <v>120</v>
      </c>
      <c r="DR3" s="332">
        <v>121</v>
      </c>
      <c r="DS3" s="332">
        <v>122</v>
      </c>
      <c r="DT3" s="332">
        <v>123</v>
      </c>
      <c r="DU3" s="332">
        <v>124</v>
      </c>
      <c r="DV3" s="332">
        <v>125</v>
      </c>
      <c r="DW3" s="332">
        <v>126</v>
      </c>
      <c r="DX3" s="332">
        <v>127</v>
      </c>
      <c r="DY3" s="332">
        <v>128</v>
      </c>
      <c r="DZ3" s="332">
        <v>129</v>
      </c>
      <c r="EA3" s="332">
        <v>130</v>
      </c>
      <c r="EB3" s="332">
        <v>131</v>
      </c>
      <c r="EC3" s="332">
        <v>132</v>
      </c>
      <c r="ED3" s="332">
        <v>133</v>
      </c>
      <c r="EE3" s="332">
        <v>134</v>
      </c>
      <c r="EF3" s="332">
        <v>135</v>
      </c>
      <c r="EG3" s="332">
        <v>136</v>
      </c>
      <c r="EH3" s="332">
        <v>137</v>
      </c>
      <c r="EI3" s="332">
        <v>138</v>
      </c>
      <c r="EJ3" s="332">
        <v>139</v>
      </c>
      <c r="EK3" s="332">
        <v>140</v>
      </c>
      <c r="EL3" s="332">
        <v>141</v>
      </c>
      <c r="EM3" s="332">
        <v>142</v>
      </c>
      <c r="EN3" s="332">
        <v>143</v>
      </c>
      <c r="EO3" s="332">
        <v>144</v>
      </c>
      <c r="EP3" s="332">
        <v>145</v>
      </c>
      <c r="EQ3" s="332">
        <v>146</v>
      </c>
      <c r="ER3" s="332">
        <v>147</v>
      </c>
      <c r="ES3" s="332">
        <v>148</v>
      </c>
      <c r="ET3" s="332">
        <v>149</v>
      </c>
      <c r="EU3" s="332">
        <v>150</v>
      </c>
      <c r="EV3" s="332">
        <v>151</v>
      </c>
      <c r="EW3" s="332">
        <v>152</v>
      </c>
      <c r="EX3" s="332">
        <v>153</v>
      </c>
      <c r="EY3" s="332">
        <v>154</v>
      </c>
      <c r="EZ3" s="332">
        <v>155</v>
      </c>
      <c r="FA3" s="332">
        <v>156</v>
      </c>
      <c r="FB3" s="332">
        <v>157</v>
      </c>
      <c r="FC3" s="332">
        <v>158</v>
      </c>
      <c r="FD3" s="332">
        <v>159</v>
      </c>
      <c r="FE3" s="332">
        <v>160</v>
      </c>
      <c r="FF3" s="332">
        <v>161</v>
      </c>
      <c r="FG3" s="332">
        <v>162</v>
      </c>
      <c r="FH3" s="332">
        <v>163</v>
      </c>
      <c r="FI3" s="332">
        <v>164</v>
      </c>
      <c r="FJ3" s="332">
        <v>165</v>
      </c>
      <c r="FK3" s="332">
        <v>166</v>
      </c>
      <c r="FL3" s="332">
        <v>167</v>
      </c>
      <c r="FM3" s="332">
        <v>168</v>
      </c>
      <c r="FN3" s="332">
        <v>169</v>
      </c>
      <c r="FO3" s="332">
        <v>170</v>
      </c>
      <c r="FP3" s="332">
        <v>171</v>
      </c>
      <c r="FQ3" s="332">
        <v>172</v>
      </c>
      <c r="FR3" s="332">
        <v>173</v>
      </c>
      <c r="FS3" s="332">
        <v>174</v>
      </c>
      <c r="FT3" s="332">
        <v>175</v>
      </c>
      <c r="FU3" s="332">
        <v>176</v>
      </c>
      <c r="FV3" s="332">
        <v>177</v>
      </c>
      <c r="FW3" s="332">
        <v>178</v>
      </c>
      <c r="FX3" s="332">
        <v>130</v>
      </c>
      <c r="FY3" s="332">
        <v>131</v>
      </c>
      <c r="FZ3" s="332">
        <v>132</v>
      </c>
      <c r="GA3" s="332">
        <v>133</v>
      </c>
      <c r="GB3" s="332">
        <v>134</v>
      </c>
      <c r="GC3" s="332">
        <v>135</v>
      </c>
      <c r="GD3" s="332">
        <v>136</v>
      </c>
      <c r="GE3" s="332">
        <v>137</v>
      </c>
      <c r="GF3" s="332">
        <v>138</v>
      </c>
      <c r="GG3" s="332">
        <v>139</v>
      </c>
      <c r="GH3" s="332">
        <v>140</v>
      </c>
      <c r="GI3" s="332">
        <v>141</v>
      </c>
      <c r="GJ3" s="332">
        <v>142</v>
      </c>
      <c r="GK3" s="332">
        <v>143</v>
      </c>
      <c r="GL3" s="332">
        <v>144</v>
      </c>
      <c r="GM3" s="332">
        <v>145</v>
      </c>
      <c r="GN3" s="332">
        <v>146</v>
      </c>
      <c r="GO3" s="332">
        <v>147</v>
      </c>
      <c r="GP3" s="332">
        <v>148</v>
      </c>
      <c r="GQ3" s="332">
        <v>149</v>
      </c>
      <c r="GR3" s="332">
        <v>150</v>
      </c>
      <c r="GS3" s="332">
        <v>151</v>
      </c>
      <c r="GT3" s="332">
        <v>152</v>
      </c>
      <c r="GU3" s="332">
        <v>153</v>
      </c>
      <c r="GV3" s="332">
        <v>154</v>
      </c>
      <c r="GW3" s="332">
        <v>155</v>
      </c>
      <c r="GX3" s="332">
        <v>156</v>
      </c>
      <c r="GY3" s="332">
        <v>157</v>
      </c>
      <c r="GZ3" s="332">
        <v>158</v>
      </c>
      <c r="HA3" s="332">
        <v>159</v>
      </c>
      <c r="HB3" s="332">
        <v>160</v>
      </c>
      <c r="HC3" s="332">
        <v>161</v>
      </c>
      <c r="HD3" s="332">
        <v>162</v>
      </c>
      <c r="HE3" s="332">
        <v>163</v>
      </c>
      <c r="HF3" s="332">
        <v>164</v>
      </c>
      <c r="HG3" s="332">
        <v>165</v>
      </c>
      <c r="HH3" s="332">
        <v>166</v>
      </c>
      <c r="HI3" s="332">
        <v>167</v>
      </c>
      <c r="HJ3" s="332">
        <v>168</v>
      </c>
      <c r="HK3" s="332">
        <v>169</v>
      </c>
      <c r="HL3" s="332">
        <v>170</v>
      </c>
      <c r="HM3" s="332">
        <v>171</v>
      </c>
      <c r="HN3" s="332">
        <v>172</v>
      </c>
      <c r="HO3" s="332">
        <v>173</v>
      </c>
      <c r="HP3" s="332">
        <v>174</v>
      </c>
      <c r="HQ3" s="332">
        <v>175</v>
      </c>
      <c r="HR3" s="332">
        <v>176</v>
      </c>
      <c r="HS3" s="332">
        <v>177</v>
      </c>
      <c r="HT3" s="332">
        <v>178</v>
      </c>
      <c r="HU3" s="332">
        <v>179</v>
      </c>
      <c r="HV3" s="332">
        <v>180</v>
      </c>
      <c r="HW3" s="332">
        <v>181</v>
      </c>
      <c r="HX3" s="394">
        <v>182</v>
      </c>
      <c r="HY3" s="396"/>
      <c r="HZ3" s="396"/>
    </row>
    <row r="4" spans="1:234">
      <c r="A4" s="333">
        <v>1</v>
      </c>
      <c r="B4" s="333" t="s">
        <v>1886</v>
      </c>
      <c r="C4" s="333"/>
      <c r="D4" s="334">
        <v>25.39</v>
      </c>
      <c r="E4" s="334">
        <v>18.92</v>
      </c>
      <c r="F4" s="334"/>
      <c r="G4" s="335">
        <v>0.0344</v>
      </c>
      <c r="H4" s="335">
        <v>0.0452</v>
      </c>
      <c r="I4" s="335"/>
      <c r="J4" s="335"/>
      <c r="K4" s="335"/>
      <c r="L4" s="335">
        <v>1.9156</v>
      </c>
      <c r="M4" s="337"/>
      <c r="N4" s="335">
        <v>1.9076</v>
      </c>
      <c r="O4" s="335">
        <v>1.9037</v>
      </c>
      <c r="P4" s="335">
        <v>1.8949</v>
      </c>
      <c r="Q4" s="335">
        <v>1.8883</v>
      </c>
      <c r="R4" s="335">
        <v>1.8879</v>
      </c>
      <c r="S4" s="335">
        <v>1.8809</v>
      </c>
      <c r="T4" s="335">
        <v>1.8732</v>
      </c>
      <c r="U4" s="335">
        <v>1.8643</v>
      </c>
      <c r="V4" s="335">
        <v>1.8541</v>
      </c>
      <c r="W4" s="335">
        <v>1.8421</v>
      </c>
      <c r="X4" s="335">
        <v>1.828</v>
      </c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41">
        <v>1.8933906</v>
      </c>
      <c r="AN4" s="341">
        <v>0.016495794</v>
      </c>
      <c r="AO4" s="341">
        <v>0.00017208613</v>
      </c>
      <c r="AP4" s="341">
        <v>-0.0023819428</v>
      </c>
      <c r="AQ4" s="341">
        <v>-5.8492005e-6</v>
      </c>
      <c r="AR4" s="341">
        <v>-1.7972933e-7</v>
      </c>
      <c r="AS4" s="344">
        <v>16.5</v>
      </c>
      <c r="AT4" s="344">
        <v>16.5</v>
      </c>
      <c r="AU4" s="344">
        <v>16.6</v>
      </c>
      <c r="AV4" s="344">
        <v>16.6</v>
      </c>
      <c r="AW4" s="344">
        <v>16.8</v>
      </c>
      <c r="AX4" s="344">
        <v>16.8</v>
      </c>
      <c r="AY4" s="344">
        <v>17</v>
      </c>
      <c r="AZ4" s="344">
        <v>17.2</v>
      </c>
      <c r="BA4" s="344">
        <v>17.2</v>
      </c>
      <c r="BB4" s="344">
        <v>17.3</v>
      </c>
      <c r="BC4" s="344">
        <v>17.4</v>
      </c>
      <c r="BD4" s="344">
        <v>16.9</v>
      </c>
      <c r="BE4" s="344">
        <v>16.9</v>
      </c>
      <c r="BF4" s="344">
        <v>16.9</v>
      </c>
      <c r="BG4" s="344">
        <v>17</v>
      </c>
      <c r="BH4" s="344">
        <v>17.2</v>
      </c>
      <c r="BI4" s="344">
        <v>17.3</v>
      </c>
      <c r="BJ4" s="344">
        <v>17.4</v>
      </c>
      <c r="BK4" s="344">
        <v>17.6</v>
      </c>
      <c r="BL4" s="344">
        <v>17.7</v>
      </c>
      <c r="BM4" s="344">
        <v>17.8</v>
      </c>
      <c r="BN4" s="344">
        <v>17.9</v>
      </c>
      <c r="BO4" s="351">
        <v>16</v>
      </c>
      <c r="BP4" s="352"/>
      <c r="BQ4" s="352"/>
      <c r="BR4" s="351">
        <v>15</v>
      </c>
      <c r="BS4" s="351"/>
      <c r="BT4" s="351"/>
      <c r="BU4" s="351"/>
      <c r="BV4" s="351"/>
      <c r="BW4" s="351"/>
      <c r="BX4" s="351"/>
      <c r="BY4" s="360"/>
      <c r="BZ4" s="360"/>
      <c r="CA4" s="360"/>
      <c r="CB4" s="360"/>
      <c r="CC4" s="360"/>
      <c r="CD4" s="360"/>
      <c r="CE4" s="367">
        <v>1</v>
      </c>
      <c r="CF4" s="367">
        <v>3</v>
      </c>
      <c r="CG4" s="367">
        <v>2</v>
      </c>
      <c r="CH4" s="367">
        <v>5</v>
      </c>
      <c r="CI4" s="367"/>
      <c r="CJ4" s="367"/>
      <c r="CK4" s="367"/>
      <c r="CL4" s="367"/>
      <c r="CM4" s="370">
        <v>534</v>
      </c>
      <c r="CN4" s="370">
        <v>565</v>
      </c>
      <c r="CO4" s="351"/>
      <c r="CP4" s="351"/>
      <c r="CQ4" s="351">
        <v>65</v>
      </c>
      <c r="CR4" s="351">
        <v>69</v>
      </c>
      <c r="CS4" s="351">
        <v>75</v>
      </c>
      <c r="CT4" s="351">
        <v>78</v>
      </c>
      <c r="CU4" s="371">
        <v>56.95248264</v>
      </c>
      <c r="CV4" s="371">
        <v>59.14154068</v>
      </c>
      <c r="CW4" s="371">
        <v>61.1790308</v>
      </c>
      <c r="CX4" s="371">
        <v>63.1234228</v>
      </c>
      <c r="CY4" s="371">
        <v>64.14391308</v>
      </c>
      <c r="CZ4" s="371">
        <v>65.12141376</v>
      </c>
      <c r="DA4" s="371">
        <v>65.9517145</v>
      </c>
      <c r="DB4" s="371">
        <v>66.72003528</v>
      </c>
      <c r="DC4" s="371">
        <v>67.3194345399999</v>
      </c>
      <c r="DD4" s="371">
        <v>67.8452782000001</v>
      </c>
      <c r="DE4" s="371">
        <v>68.3667243</v>
      </c>
      <c r="DF4" s="371">
        <v>68.89785292</v>
      </c>
      <c r="DG4" s="371">
        <v>69.23426626</v>
      </c>
      <c r="DH4" s="371">
        <v>69.835322</v>
      </c>
      <c r="DI4" s="371">
        <v>70.6459126</v>
      </c>
      <c r="DJ4" s="371">
        <v>71.5346929999999</v>
      </c>
      <c r="DK4" s="371">
        <v>72.4216000000001</v>
      </c>
      <c r="DL4" s="371">
        <v>73.4568999999999</v>
      </c>
      <c r="DM4" s="371">
        <v>74.4703108</v>
      </c>
      <c r="DN4" s="371">
        <v>75.4615366</v>
      </c>
      <c r="DO4" s="371">
        <v>76.3119615999999</v>
      </c>
      <c r="DP4" s="375"/>
      <c r="DQ4" s="367">
        <v>447</v>
      </c>
      <c r="DR4" s="367"/>
      <c r="DS4" s="357"/>
      <c r="DT4" s="357"/>
      <c r="DU4" s="333"/>
      <c r="DV4" s="347"/>
      <c r="DW4" s="347"/>
      <c r="DX4" s="378"/>
      <c r="DY4" s="347"/>
      <c r="DZ4" s="334">
        <v>5.62</v>
      </c>
      <c r="EA4" s="383"/>
      <c r="EB4" s="383"/>
      <c r="EC4" s="383"/>
      <c r="ED4" s="383"/>
      <c r="EE4" s="383"/>
      <c r="EF4" s="383"/>
      <c r="EG4" s="383"/>
      <c r="EH4" s="383"/>
      <c r="EI4" s="383"/>
      <c r="EJ4" s="383"/>
      <c r="EK4" s="383"/>
      <c r="EL4" s="383"/>
      <c r="EM4" s="383"/>
      <c r="EN4" s="383"/>
      <c r="EO4" s="383"/>
      <c r="EP4" s="383"/>
      <c r="EQ4" s="383"/>
      <c r="ER4" s="383"/>
      <c r="ES4" s="383"/>
      <c r="ET4" s="383"/>
      <c r="EU4" s="383"/>
      <c r="EV4" s="383"/>
      <c r="EW4" s="383"/>
      <c r="EX4" s="383">
        <v>0.69</v>
      </c>
      <c r="EY4" s="383">
        <v>0.756</v>
      </c>
      <c r="EZ4" s="383">
        <v>0.772</v>
      </c>
      <c r="FA4" s="383">
        <v>0.787</v>
      </c>
      <c r="FB4" s="383">
        <v>0.813</v>
      </c>
      <c r="FC4" s="383">
        <v>0.822</v>
      </c>
      <c r="FD4" s="383">
        <v>0.816</v>
      </c>
      <c r="FE4" s="383">
        <v>0.808</v>
      </c>
      <c r="FF4" s="383">
        <v>0.802</v>
      </c>
      <c r="FG4" s="383">
        <v>0.812</v>
      </c>
      <c r="FH4" s="383">
        <v>0.831</v>
      </c>
      <c r="FI4" s="383">
        <v>0.831</v>
      </c>
      <c r="FJ4" s="383">
        <v>0.833</v>
      </c>
      <c r="FK4" s="383">
        <v>0.841</v>
      </c>
      <c r="FL4" s="383">
        <v>0.841</v>
      </c>
      <c r="FM4" s="383">
        <v>0.832</v>
      </c>
      <c r="FN4" s="383">
        <v>0.833</v>
      </c>
      <c r="FO4" s="383">
        <v>0.825</v>
      </c>
      <c r="FP4" s="383">
        <v>0.828</v>
      </c>
      <c r="FQ4" s="383">
        <v>0.829</v>
      </c>
      <c r="FR4" s="383">
        <v>0.8</v>
      </c>
      <c r="FS4" s="383">
        <v>0.791</v>
      </c>
      <c r="FT4" s="383">
        <v>0.77</v>
      </c>
      <c r="FU4" s="383">
        <v>0.408</v>
      </c>
      <c r="FV4" s="383"/>
      <c r="FW4" s="383"/>
      <c r="FX4" s="383"/>
      <c r="FY4" s="383"/>
      <c r="FZ4" s="383"/>
      <c r="GA4" s="383"/>
      <c r="GB4" s="383"/>
      <c r="GC4" s="383"/>
      <c r="GD4" s="383"/>
      <c r="GE4" s="383"/>
      <c r="GF4" s="383"/>
      <c r="GG4" s="383"/>
      <c r="GH4" s="383"/>
      <c r="GI4" s="383"/>
      <c r="GJ4" s="383"/>
      <c r="GK4" s="383"/>
      <c r="GL4" s="383"/>
      <c r="GM4" s="383"/>
      <c r="GN4" s="383"/>
      <c r="GO4" s="383"/>
      <c r="GP4" s="383"/>
      <c r="GQ4" s="383"/>
      <c r="GR4" s="383"/>
      <c r="GS4" s="383"/>
      <c r="GT4" s="383"/>
      <c r="GU4" s="383"/>
      <c r="GV4" s="383"/>
      <c r="GW4" s="383"/>
      <c r="GX4" s="383"/>
      <c r="GY4" s="383"/>
      <c r="GZ4" s="383"/>
      <c r="HA4" s="383"/>
      <c r="HB4" s="383"/>
      <c r="HC4" s="383"/>
      <c r="HD4" s="383"/>
      <c r="HE4" s="383"/>
      <c r="HF4" s="383"/>
      <c r="HG4" s="383"/>
      <c r="HH4" s="383"/>
      <c r="HI4" s="383"/>
      <c r="HJ4" s="383"/>
      <c r="HK4" s="383"/>
      <c r="HL4" s="383"/>
      <c r="HM4" s="383"/>
      <c r="HN4" s="383"/>
      <c r="HO4" s="383"/>
      <c r="HP4" s="383"/>
      <c r="HQ4" s="383"/>
      <c r="HR4" s="383"/>
      <c r="HS4" s="383"/>
      <c r="HT4" s="383"/>
      <c r="HU4" s="332" t="s">
        <v>1887</v>
      </c>
      <c r="HV4" s="332">
        <v>22.5</v>
      </c>
      <c r="HW4" s="332" t="s">
        <v>303</v>
      </c>
      <c r="HX4" s="394" t="s">
        <v>1886</v>
      </c>
      <c r="HY4" s="397" t="s">
        <v>1888</v>
      </c>
      <c r="HZ4" s="396">
        <v>20240708</v>
      </c>
    </row>
    <row r="5" s="327" customFormat="1" spans="1:234">
      <c r="A5" s="333">
        <v>2</v>
      </c>
      <c r="B5" s="333" t="s">
        <v>1889</v>
      </c>
      <c r="C5" s="333" t="s">
        <v>1890</v>
      </c>
      <c r="D5" s="334"/>
      <c r="E5" s="334"/>
      <c r="F5" s="334">
        <v>95.77</v>
      </c>
      <c r="G5" s="335"/>
      <c r="H5" s="335">
        <v>0.0078</v>
      </c>
      <c r="I5" s="335">
        <v>0.0156</v>
      </c>
      <c r="J5" s="335"/>
      <c r="K5" s="335"/>
      <c r="L5" s="335"/>
      <c r="M5" s="335"/>
      <c r="N5" s="335"/>
      <c r="O5" s="335"/>
      <c r="P5" s="335"/>
      <c r="Q5" s="335"/>
      <c r="R5" s="335">
        <v>2.5293</v>
      </c>
      <c r="S5" s="335"/>
      <c r="T5" s="335">
        <v>2.5175</v>
      </c>
      <c r="U5" s="335"/>
      <c r="V5" s="335">
        <v>2.5127</v>
      </c>
      <c r="W5" s="339"/>
      <c r="X5" s="335">
        <v>2.5097</v>
      </c>
      <c r="Y5" s="335"/>
      <c r="Z5" s="335">
        <v>2.5072</v>
      </c>
      <c r="AA5" s="335"/>
      <c r="AB5" s="335">
        <v>2.5047</v>
      </c>
      <c r="AC5" s="335">
        <v>2.5021</v>
      </c>
      <c r="AD5" s="335">
        <v>2.4993</v>
      </c>
      <c r="AE5" s="335">
        <v>2.4961</v>
      </c>
      <c r="AF5" s="335">
        <v>2.494</v>
      </c>
      <c r="AG5" s="339">
        <v>2.4926</v>
      </c>
      <c r="AH5" s="335">
        <v>2.4886</v>
      </c>
      <c r="AI5" s="335">
        <v>2.4865</v>
      </c>
      <c r="AJ5" s="335">
        <v>2.4843</v>
      </c>
      <c r="AK5" s="335">
        <v>2.4794</v>
      </c>
      <c r="AL5" s="335"/>
      <c r="AM5" s="341">
        <v>2.5100146</v>
      </c>
      <c r="AN5" s="341">
        <v>0.077495165</v>
      </c>
      <c r="AO5" s="341">
        <v>0.0049371281</v>
      </c>
      <c r="AP5" s="341">
        <v>-0.00013389514</v>
      </c>
      <c r="AQ5" s="341">
        <v>-1.3508347e-7</v>
      </c>
      <c r="AR5" s="341">
        <v>5.7156655e-11</v>
      </c>
      <c r="AS5" s="344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  <c r="BK5" s="345"/>
      <c r="BL5" s="345"/>
      <c r="BM5" s="345"/>
      <c r="BN5" s="345"/>
      <c r="BO5" s="351"/>
      <c r="BP5" s="352"/>
      <c r="BQ5" s="353"/>
      <c r="BR5" s="354">
        <v>67</v>
      </c>
      <c r="BS5" s="354"/>
      <c r="BT5" s="354">
        <v>65</v>
      </c>
      <c r="BU5" s="354">
        <v>64</v>
      </c>
      <c r="BV5" s="354">
        <v>62</v>
      </c>
      <c r="BW5" s="354">
        <v>62</v>
      </c>
      <c r="BX5" s="354">
        <v>61</v>
      </c>
      <c r="BY5" s="361">
        <v>5.82025e-5</v>
      </c>
      <c r="BZ5" s="361">
        <v>2.04218e-8</v>
      </c>
      <c r="CA5" s="361">
        <v>-7.67374e-11</v>
      </c>
      <c r="CB5" s="361">
        <v>0.000165764</v>
      </c>
      <c r="CC5" s="361">
        <v>9.67536e-7</v>
      </c>
      <c r="CD5" s="361">
        <v>-4.58177</v>
      </c>
      <c r="CE5" s="367">
        <v>1</v>
      </c>
      <c r="CF5" s="367">
        <v>1</v>
      </c>
      <c r="CG5" s="367">
        <v>1</v>
      </c>
      <c r="CH5" s="367">
        <v>1</v>
      </c>
      <c r="CI5" s="367">
        <v>1</v>
      </c>
      <c r="CJ5" s="367">
        <v>1</v>
      </c>
      <c r="CK5" s="367"/>
      <c r="CL5" s="367"/>
      <c r="CM5" s="367">
        <v>369</v>
      </c>
      <c r="CN5" s="367">
        <v>409</v>
      </c>
      <c r="CO5" s="351"/>
      <c r="CP5" s="351"/>
      <c r="CQ5" s="351">
        <v>123</v>
      </c>
      <c r="CR5" s="351">
        <v>123</v>
      </c>
      <c r="CS5" s="351"/>
      <c r="CT5" s="351"/>
      <c r="CU5" s="372">
        <v>118.4884</v>
      </c>
      <c r="CV5" s="372">
        <v>120.1308</v>
      </c>
      <c r="CW5" s="372">
        <v>120.9288</v>
      </c>
      <c r="CX5" s="372">
        <v>121.6942</v>
      </c>
      <c r="CY5" s="372">
        <v>122.137061</v>
      </c>
      <c r="CZ5" s="372">
        <v>122.377413</v>
      </c>
      <c r="DA5" s="372">
        <v>122.634601</v>
      </c>
      <c r="DB5" s="372">
        <v>122.8325</v>
      </c>
      <c r="DC5" s="372">
        <v>123.02614</v>
      </c>
      <c r="DD5" s="372">
        <v>123.06267</v>
      </c>
      <c r="DE5" s="372">
        <v>123.09048</v>
      </c>
      <c r="DF5" s="372">
        <v>123.191</v>
      </c>
      <c r="DG5" s="372">
        <v>123.26255</v>
      </c>
      <c r="DH5" s="372">
        <v>123.50424</v>
      </c>
      <c r="DI5" s="372">
        <v>123.624807</v>
      </c>
      <c r="DJ5" s="372">
        <v>123.651578</v>
      </c>
      <c r="DK5" s="372">
        <v>123.594</v>
      </c>
      <c r="DL5" s="372">
        <v>123.4651</v>
      </c>
      <c r="DM5" s="372">
        <v>123.3608</v>
      </c>
      <c r="DN5" s="372">
        <v>123.35</v>
      </c>
      <c r="DO5" s="372">
        <v>123.5033</v>
      </c>
      <c r="DP5" s="375"/>
      <c r="DQ5" s="367">
        <v>150</v>
      </c>
      <c r="DR5" s="367"/>
      <c r="DS5" s="379">
        <v>22</v>
      </c>
      <c r="DT5" s="379">
        <v>8.3</v>
      </c>
      <c r="DU5" s="357"/>
      <c r="DV5" s="357"/>
      <c r="DW5" s="347"/>
      <c r="DX5" s="378">
        <v>0.331</v>
      </c>
      <c r="DY5" s="347"/>
      <c r="DZ5" s="334">
        <v>4.42</v>
      </c>
      <c r="EA5" s="384"/>
      <c r="EB5" s="384"/>
      <c r="EC5" s="384"/>
      <c r="ED5" s="384">
        <v>0.814</v>
      </c>
      <c r="EE5" s="384">
        <v>0.722</v>
      </c>
      <c r="EF5" s="384">
        <v>0.917</v>
      </c>
      <c r="EG5" s="384">
        <v>0.943</v>
      </c>
      <c r="EH5" s="384">
        <v>0.887</v>
      </c>
      <c r="EI5" s="384">
        <v>0.883</v>
      </c>
      <c r="EJ5" s="384">
        <v>0.933</v>
      </c>
      <c r="EK5" s="383"/>
      <c r="EL5" s="384">
        <v>0.991</v>
      </c>
      <c r="EM5" s="383"/>
      <c r="EN5" s="384">
        <v>0.999</v>
      </c>
      <c r="EO5" s="384">
        <v>0.999</v>
      </c>
      <c r="EP5" s="384">
        <v>0.999</v>
      </c>
      <c r="EQ5" s="384">
        <v>0.999</v>
      </c>
      <c r="ER5" s="384">
        <v>0.999</v>
      </c>
      <c r="ES5" s="384">
        <v>0.999</v>
      </c>
      <c r="ET5" s="384">
        <v>0.999</v>
      </c>
      <c r="EU5" s="384">
        <v>0.999</v>
      </c>
      <c r="EV5" s="384">
        <v>0.999</v>
      </c>
      <c r="EW5" s="384">
        <v>0.999</v>
      </c>
      <c r="EX5" s="384">
        <v>0.995</v>
      </c>
      <c r="EY5" s="384"/>
      <c r="EZ5" s="384">
        <v>0.993</v>
      </c>
      <c r="FA5" s="384"/>
      <c r="FB5" s="384">
        <v>0.998</v>
      </c>
      <c r="FC5" s="384"/>
      <c r="FD5" s="384">
        <v>0.998</v>
      </c>
      <c r="FE5" s="384"/>
      <c r="FF5" s="384">
        <v>0.999</v>
      </c>
      <c r="FG5" s="384"/>
      <c r="FH5" s="384"/>
      <c r="FI5" s="384">
        <v>0.997</v>
      </c>
      <c r="FJ5" s="384"/>
      <c r="FK5" s="384">
        <v>0.988</v>
      </c>
      <c r="FL5" s="384"/>
      <c r="FM5" s="384">
        <v>0.993</v>
      </c>
      <c r="FN5" s="384"/>
      <c r="FO5" s="384">
        <v>0.989</v>
      </c>
      <c r="FP5" s="384"/>
      <c r="FQ5" s="383"/>
      <c r="FR5" s="383"/>
      <c r="FS5" s="383"/>
      <c r="FT5" s="383"/>
      <c r="FU5" s="383"/>
      <c r="FV5" s="383"/>
      <c r="FW5" s="383"/>
      <c r="FX5" s="384"/>
      <c r="FY5" s="384"/>
      <c r="FZ5" s="384"/>
      <c r="GA5" s="392">
        <f>ED5^5</f>
        <v>0.357373235801824</v>
      </c>
      <c r="GB5" s="392">
        <f t="shared" ref="GB5:HR5" si="0">EE5^5</f>
        <v>0.196194120249632</v>
      </c>
      <c r="GC5" s="392">
        <f t="shared" si="0"/>
        <v>0.648405482564357</v>
      </c>
      <c r="GD5" s="392">
        <f t="shared" si="0"/>
        <v>0.745690248312943</v>
      </c>
      <c r="GE5" s="392">
        <f t="shared" si="0"/>
        <v>0.549057842453207</v>
      </c>
      <c r="GF5" s="392">
        <f t="shared" si="0"/>
        <v>0.536788889124643</v>
      </c>
      <c r="GG5" s="392">
        <f t="shared" si="0"/>
        <v>0.706981775479893</v>
      </c>
      <c r="GH5" s="392"/>
      <c r="GI5" s="392">
        <f t="shared" si="0"/>
        <v>0.955802742745951</v>
      </c>
      <c r="GJ5" s="392"/>
      <c r="GK5" s="392">
        <f t="shared" si="0"/>
        <v>0.995009990004999</v>
      </c>
      <c r="GL5" s="392">
        <f t="shared" si="0"/>
        <v>0.995009990004999</v>
      </c>
      <c r="GM5" s="392">
        <f t="shared" si="0"/>
        <v>0.995009990004999</v>
      </c>
      <c r="GN5" s="392">
        <f t="shared" si="0"/>
        <v>0.995009990004999</v>
      </c>
      <c r="GO5" s="392">
        <f t="shared" si="0"/>
        <v>0.995009990004999</v>
      </c>
      <c r="GP5" s="392">
        <f t="shared" si="0"/>
        <v>0.995009990004999</v>
      </c>
      <c r="GQ5" s="392">
        <f t="shared" si="0"/>
        <v>0.995009990004999</v>
      </c>
      <c r="GR5" s="392">
        <f t="shared" si="0"/>
        <v>0.995009990004999</v>
      </c>
      <c r="GS5" s="392">
        <f t="shared" si="0"/>
        <v>0.995009990004999</v>
      </c>
      <c r="GT5" s="392">
        <f t="shared" si="0"/>
        <v>0.995009990004999</v>
      </c>
      <c r="GU5" s="392">
        <f t="shared" si="0"/>
        <v>0.975248753121875</v>
      </c>
      <c r="GV5" s="392"/>
      <c r="GW5" s="392">
        <f t="shared" si="0"/>
        <v>0.965486581988193</v>
      </c>
      <c r="GX5" s="392"/>
      <c r="GY5" s="392">
        <f t="shared" si="0"/>
        <v>0.990039920079968</v>
      </c>
      <c r="GZ5" s="392"/>
      <c r="HA5" s="392">
        <f t="shared" si="0"/>
        <v>0.990039920079968</v>
      </c>
      <c r="HB5" s="392"/>
      <c r="HC5" s="392">
        <f t="shared" si="0"/>
        <v>0.995009990004999</v>
      </c>
      <c r="HD5" s="392"/>
      <c r="HE5" s="392"/>
      <c r="HF5" s="392">
        <f t="shared" si="0"/>
        <v>0.985089730404757</v>
      </c>
      <c r="HG5" s="392"/>
      <c r="HH5" s="392">
        <f t="shared" si="0"/>
        <v>0.941422823431168</v>
      </c>
      <c r="HI5" s="392"/>
      <c r="HJ5" s="392">
        <f t="shared" si="0"/>
        <v>0.965486581988193</v>
      </c>
      <c r="HK5" s="392"/>
      <c r="HL5" s="392">
        <f t="shared" si="0"/>
        <v>0.946196763043949</v>
      </c>
      <c r="HM5" s="392"/>
      <c r="HN5" s="392"/>
      <c r="HO5" s="392"/>
      <c r="HP5" s="392"/>
      <c r="HQ5" s="384"/>
      <c r="HR5" s="384"/>
      <c r="HS5" s="383"/>
      <c r="HT5" s="383"/>
      <c r="HU5" s="332" t="s">
        <v>1891</v>
      </c>
      <c r="HV5" s="332">
        <v>17</v>
      </c>
      <c r="HW5" s="332" t="s">
        <v>617</v>
      </c>
      <c r="HX5" s="394" t="s">
        <v>1889</v>
      </c>
      <c r="HY5" s="396"/>
      <c r="HZ5" s="396"/>
    </row>
    <row r="6" s="327" customFormat="1" spans="1:234">
      <c r="A6" s="333">
        <v>3</v>
      </c>
      <c r="B6" s="333" t="s">
        <v>1892</v>
      </c>
      <c r="C6" s="333" t="s">
        <v>1893</v>
      </c>
      <c r="D6" s="334"/>
      <c r="E6" s="334"/>
      <c r="F6" s="334">
        <v>102.93</v>
      </c>
      <c r="G6" s="335"/>
      <c r="H6" s="335">
        <v>0.0076</v>
      </c>
      <c r="I6" s="335">
        <v>0.0145</v>
      </c>
      <c r="J6" s="335"/>
      <c r="K6" s="335"/>
      <c r="L6" s="335"/>
      <c r="M6" s="335"/>
      <c r="N6" s="335"/>
      <c r="O6" s="335"/>
      <c r="P6" s="335"/>
      <c r="Q6" s="335"/>
      <c r="R6" s="335">
        <v>2.5265</v>
      </c>
      <c r="S6" s="335"/>
      <c r="T6" s="335">
        <v>2.5148</v>
      </c>
      <c r="U6" s="335"/>
      <c r="V6" s="335">
        <v>2.5101</v>
      </c>
      <c r="W6" s="335"/>
      <c r="X6" s="335">
        <v>2.5072</v>
      </c>
      <c r="Y6" s="335"/>
      <c r="Z6" s="335">
        <v>2.5047</v>
      </c>
      <c r="AA6" s="335"/>
      <c r="AB6" s="335">
        <v>2.5024</v>
      </c>
      <c r="AC6" s="335">
        <v>2.5</v>
      </c>
      <c r="AD6" s="335">
        <v>2.4974</v>
      </c>
      <c r="AE6" s="335">
        <v>2.4944</v>
      </c>
      <c r="AF6" s="335">
        <v>2.4925</v>
      </c>
      <c r="AG6" s="335">
        <v>2.4911</v>
      </c>
      <c r="AH6" s="335">
        <v>2.4875</v>
      </c>
      <c r="AI6" s="335">
        <v>2.4855</v>
      </c>
      <c r="AJ6" s="335">
        <v>2.4835</v>
      </c>
      <c r="AK6" s="335">
        <v>2.4787</v>
      </c>
      <c r="AL6" s="335"/>
      <c r="AM6" s="341">
        <v>2.5074929</v>
      </c>
      <c r="AN6" s="341">
        <v>0.075363484</v>
      </c>
      <c r="AO6" s="341">
        <v>0.0089642516</v>
      </c>
      <c r="AP6" s="341">
        <v>-0.00013362851</v>
      </c>
      <c r="AQ6" s="341">
        <v>-1.5544515e-8</v>
      </c>
      <c r="AR6" s="341">
        <v>-3.1301497e-10</v>
      </c>
      <c r="AS6" s="344"/>
      <c r="AT6" s="346"/>
      <c r="AU6" s="346"/>
      <c r="AV6" s="346"/>
      <c r="AW6" s="346"/>
      <c r="AX6" s="346"/>
      <c r="AY6" s="346"/>
      <c r="AZ6" s="346"/>
      <c r="BA6" s="346"/>
      <c r="BB6" s="346"/>
      <c r="BC6" s="346"/>
      <c r="BD6" s="346"/>
      <c r="BE6" s="346"/>
      <c r="BF6" s="346"/>
      <c r="BG6" s="346"/>
      <c r="BH6" s="346"/>
      <c r="BI6" s="346"/>
      <c r="BJ6" s="346"/>
      <c r="BK6" s="346"/>
      <c r="BL6" s="346"/>
      <c r="BM6" s="346"/>
      <c r="BN6" s="346"/>
      <c r="BO6" s="351"/>
      <c r="BP6" s="352"/>
      <c r="BQ6" s="353"/>
      <c r="BR6" s="354">
        <v>41</v>
      </c>
      <c r="BS6" s="354"/>
      <c r="BT6" s="354">
        <v>40</v>
      </c>
      <c r="BU6" s="354">
        <v>39</v>
      </c>
      <c r="BV6" s="354">
        <v>39</v>
      </c>
      <c r="BW6" s="354">
        <v>37</v>
      </c>
      <c r="BX6" s="354">
        <v>37</v>
      </c>
      <c r="BY6" s="361">
        <v>3.41318e-5</v>
      </c>
      <c r="BZ6" s="361">
        <v>3.57898e-8</v>
      </c>
      <c r="CA6" s="361">
        <v>5.35457e-10</v>
      </c>
      <c r="CB6" s="361">
        <v>3.75406e-5</v>
      </c>
      <c r="CC6" s="361">
        <v>6.49642e-7</v>
      </c>
      <c r="CD6" s="361">
        <v>-2.08675</v>
      </c>
      <c r="CE6" s="367">
        <v>1</v>
      </c>
      <c r="CF6" s="367">
        <v>1</v>
      </c>
      <c r="CG6" s="367">
        <v>2</v>
      </c>
      <c r="CH6" s="367">
        <v>1</v>
      </c>
      <c r="CI6" s="367">
        <v>1</v>
      </c>
      <c r="CJ6" s="367">
        <v>1</v>
      </c>
      <c r="CK6" s="367"/>
      <c r="CL6" s="367"/>
      <c r="CM6" s="367">
        <v>292</v>
      </c>
      <c r="CN6" s="367">
        <v>347</v>
      </c>
      <c r="CO6" s="351"/>
      <c r="CP6" s="351"/>
      <c r="CQ6" s="351">
        <v>164</v>
      </c>
      <c r="CR6" s="351">
        <v>165</v>
      </c>
      <c r="CS6" s="351"/>
      <c r="CT6" s="351"/>
      <c r="CU6" s="371">
        <v>160.6924928</v>
      </c>
      <c r="CV6" s="371">
        <v>162.3217536</v>
      </c>
      <c r="CW6" s="371">
        <v>163.1133696</v>
      </c>
      <c r="CX6" s="371">
        <v>163.8726464</v>
      </c>
      <c r="CY6" s="371">
        <v>164.311964512</v>
      </c>
      <c r="CZ6" s="371">
        <v>164.550393696</v>
      </c>
      <c r="DA6" s="371">
        <v>164.805524192</v>
      </c>
      <c r="DB6" s="371">
        <v>165.00184</v>
      </c>
      <c r="DC6" s="371">
        <v>165.19393088</v>
      </c>
      <c r="DD6" s="371">
        <v>165.23016864</v>
      </c>
      <c r="DE6" s="371">
        <v>165.25775616</v>
      </c>
      <c r="DF6" s="371">
        <v>165.357472</v>
      </c>
      <c r="DG6" s="371">
        <v>165.4284496</v>
      </c>
      <c r="DH6" s="371">
        <v>165.66820608</v>
      </c>
      <c r="DI6" s="371">
        <v>165.787808544</v>
      </c>
      <c r="DJ6" s="371">
        <v>165.814365376</v>
      </c>
      <c r="DK6" s="371">
        <v>165.757248</v>
      </c>
      <c r="DL6" s="371">
        <v>165.86293792</v>
      </c>
      <c r="DM6" s="371">
        <v>165.975259136</v>
      </c>
      <c r="DN6" s="371">
        <v>166.25152</v>
      </c>
      <c r="DO6" s="371">
        <v>166.6672736</v>
      </c>
      <c r="DP6" s="375"/>
      <c r="DQ6" s="367">
        <v>152</v>
      </c>
      <c r="DR6" s="367"/>
      <c r="DS6" s="379">
        <v>18.6</v>
      </c>
      <c r="DT6" s="379">
        <v>6.8</v>
      </c>
      <c r="DU6" s="357"/>
      <c r="DV6" s="357"/>
      <c r="DW6" s="347"/>
      <c r="DX6" s="378">
        <v>0.367</v>
      </c>
      <c r="DY6" s="347"/>
      <c r="DZ6" s="334">
        <v>4.41</v>
      </c>
      <c r="EA6" s="384"/>
      <c r="EB6" s="384"/>
      <c r="EC6" s="384"/>
      <c r="ED6" s="384">
        <v>0.664</v>
      </c>
      <c r="EE6" s="384">
        <v>0.768</v>
      </c>
      <c r="EF6" s="384">
        <v>0.914</v>
      </c>
      <c r="EG6" s="384">
        <v>0.825</v>
      </c>
      <c r="EH6" s="384">
        <v>0.816</v>
      </c>
      <c r="EI6" s="384">
        <v>0.856</v>
      </c>
      <c r="EJ6" s="384">
        <v>0.898</v>
      </c>
      <c r="EK6" s="383"/>
      <c r="EL6" s="384">
        <v>0.985</v>
      </c>
      <c r="EM6" s="383"/>
      <c r="EN6" s="384">
        <v>0.998</v>
      </c>
      <c r="EO6" s="384">
        <v>0.999</v>
      </c>
      <c r="EP6" s="384">
        <v>0.999</v>
      </c>
      <c r="EQ6" s="384">
        <v>0.999</v>
      </c>
      <c r="ER6" s="384">
        <v>0.999</v>
      </c>
      <c r="ES6" s="384">
        <v>0.999</v>
      </c>
      <c r="ET6" s="384">
        <v>0.999</v>
      </c>
      <c r="EU6" s="384">
        <v>0.999</v>
      </c>
      <c r="EV6" s="384">
        <v>0.999</v>
      </c>
      <c r="EW6" s="384">
        <v>0.998</v>
      </c>
      <c r="EX6" s="384">
        <v>0.987</v>
      </c>
      <c r="EY6" s="384"/>
      <c r="EZ6" s="384">
        <v>0.986</v>
      </c>
      <c r="FA6" s="384"/>
      <c r="FB6" s="384">
        <v>0.996</v>
      </c>
      <c r="FC6" s="384"/>
      <c r="FD6" s="384">
        <v>0.998</v>
      </c>
      <c r="FE6" s="384"/>
      <c r="FF6" s="384">
        <v>0.998</v>
      </c>
      <c r="FG6" s="384"/>
      <c r="FH6" s="384"/>
      <c r="FI6" s="384">
        <v>0.997</v>
      </c>
      <c r="FJ6" s="384"/>
      <c r="FK6" s="384">
        <v>0.99</v>
      </c>
      <c r="FL6" s="384"/>
      <c r="FM6" s="384">
        <v>0.994</v>
      </c>
      <c r="FN6" s="384"/>
      <c r="FO6" s="384">
        <v>0.987</v>
      </c>
      <c r="FP6" s="384"/>
      <c r="FQ6" s="383"/>
      <c r="FR6" s="383"/>
      <c r="FS6" s="383"/>
      <c r="FT6" s="383"/>
      <c r="FU6" s="383"/>
      <c r="FV6" s="383"/>
      <c r="FW6" s="383"/>
      <c r="FX6" s="384"/>
      <c r="FY6" s="384"/>
      <c r="FZ6" s="384"/>
      <c r="GA6" s="392">
        <f t="shared" ref="GA6:GA13" si="1">ED6^5</f>
        <v>0.129074483789824</v>
      </c>
      <c r="GB6" s="392">
        <f t="shared" ref="GB6:GB13" si="2">EE6^5</f>
        <v>0.267181325549568</v>
      </c>
      <c r="GC6" s="392">
        <f t="shared" ref="GC6:GC13" si="3">EF6^5</f>
        <v>0.637868239809824</v>
      </c>
      <c r="GD6" s="392">
        <f t="shared" ref="GD6:GD13" si="4">EG6^5</f>
        <v>0.382181572265625</v>
      </c>
      <c r="GE6" s="392">
        <f t="shared" ref="GE6:GE13" si="5">EH6^5</f>
        <v>0.361785197592576</v>
      </c>
      <c r="GF6" s="392">
        <f t="shared" ref="GF6:GF13" si="6">EI6^5</f>
        <v>0.459588151115776</v>
      </c>
      <c r="GG6" s="392">
        <f t="shared" ref="GG6:GG13" si="7">EJ6^5</f>
        <v>0.583958095271968</v>
      </c>
      <c r="GH6" s="392"/>
      <c r="GI6" s="392">
        <f t="shared" ref="GI6:GI13" si="8">EL6^5</f>
        <v>0.927216502365625</v>
      </c>
      <c r="GJ6" s="392"/>
      <c r="GK6" s="392">
        <f t="shared" ref="GK6:GK13" si="9">EN6^5</f>
        <v>0.990039920079968</v>
      </c>
      <c r="GL6" s="392">
        <f t="shared" ref="GL6:GL13" si="10">EO6^5</f>
        <v>0.995009990004999</v>
      </c>
      <c r="GM6" s="392">
        <f t="shared" ref="GM6:GM13" si="11">EP6^5</f>
        <v>0.995009990004999</v>
      </c>
      <c r="GN6" s="392">
        <f t="shared" ref="GN6:GN13" si="12">EQ6^5</f>
        <v>0.995009990004999</v>
      </c>
      <c r="GO6" s="392">
        <f t="shared" ref="GO6:GO13" si="13">ER6^5</f>
        <v>0.995009990004999</v>
      </c>
      <c r="GP6" s="392">
        <f t="shared" ref="GP6:GP13" si="14">ES6^5</f>
        <v>0.995009990004999</v>
      </c>
      <c r="GQ6" s="392">
        <f t="shared" ref="GQ6:GQ13" si="15">ET6^5</f>
        <v>0.995009990004999</v>
      </c>
      <c r="GR6" s="392">
        <f t="shared" ref="GR6:GR13" si="16">EU6^5</f>
        <v>0.995009990004999</v>
      </c>
      <c r="GS6" s="392">
        <f t="shared" ref="GS6:GS13" si="17">EV6^5</f>
        <v>0.995009990004999</v>
      </c>
      <c r="GT6" s="392">
        <f t="shared" ref="GT6:GT13" si="18">EW6^5</f>
        <v>0.990039920079968</v>
      </c>
      <c r="GU6" s="392">
        <f t="shared" ref="GU6:GU13" si="19">EX6^5</f>
        <v>0.936668172433707</v>
      </c>
      <c r="GV6" s="392"/>
      <c r="GW6" s="392">
        <f t="shared" ref="GW6:GW13" si="20">EZ6^5</f>
        <v>0.931932751542176</v>
      </c>
      <c r="GX6" s="392"/>
      <c r="GY6" s="392">
        <f t="shared" ref="GY6:GY13" si="21">FB6^5</f>
        <v>0.980159361278976</v>
      </c>
      <c r="GZ6" s="392"/>
      <c r="HA6" s="392">
        <f t="shared" ref="HA6:HA13" si="22">FD6^5</f>
        <v>0.990039920079968</v>
      </c>
      <c r="HB6" s="392"/>
      <c r="HC6" s="392">
        <f t="shared" ref="HC6:HC13" si="23">FF6^5</f>
        <v>0.990039920079968</v>
      </c>
      <c r="HD6" s="392"/>
      <c r="HE6" s="392"/>
      <c r="HF6" s="392">
        <f t="shared" ref="HF6:HF13" si="24">FI6^5</f>
        <v>0.985089730404757</v>
      </c>
      <c r="HG6" s="392"/>
      <c r="HH6" s="392">
        <f t="shared" ref="HH6:HH13" si="25">FK6^5</f>
        <v>0.9509900499</v>
      </c>
      <c r="HI6" s="392"/>
      <c r="HJ6" s="392">
        <f t="shared" ref="HJ6:HJ13" si="26">FM6^5</f>
        <v>0.970357846472224</v>
      </c>
      <c r="HK6" s="392"/>
      <c r="HL6" s="392">
        <f t="shared" ref="HL6:HL13" si="27">FO6^5</f>
        <v>0.936668172433707</v>
      </c>
      <c r="HM6" s="392"/>
      <c r="HN6" s="392"/>
      <c r="HO6" s="392"/>
      <c r="HP6" s="392"/>
      <c r="HQ6" s="384"/>
      <c r="HR6" s="384"/>
      <c r="HS6" s="383"/>
      <c r="HT6" s="383"/>
      <c r="HU6" s="332" t="s">
        <v>1891</v>
      </c>
      <c r="HV6" s="332">
        <v>12.5</v>
      </c>
      <c r="HW6" s="332" t="s">
        <v>339</v>
      </c>
      <c r="HX6" s="394" t="s">
        <v>1892</v>
      </c>
      <c r="HY6" s="396"/>
      <c r="HZ6" s="396"/>
    </row>
    <row r="7" s="327" customFormat="1" spans="1:234">
      <c r="A7" s="333">
        <v>4</v>
      </c>
      <c r="B7" s="333" t="s">
        <v>1894</v>
      </c>
      <c r="C7" s="333" t="s">
        <v>1895</v>
      </c>
      <c r="D7" s="334"/>
      <c r="E7" s="334"/>
      <c r="F7" s="334">
        <v>86.07</v>
      </c>
      <c r="G7" s="335"/>
      <c r="H7" s="335">
        <v>0.0094</v>
      </c>
      <c r="I7" s="335">
        <v>0.0184</v>
      </c>
      <c r="J7" s="335"/>
      <c r="K7" s="335"/>
      <c r="L7" s="335"/>
      <c r="M7" s="335"/>
      <c r="N7" s="335"/>
      <c r="O7" s="335"/>
      <c r="P7" s="335"/>
      <c r="Q7" s="335"/>
      <c r="R7" s="335">
        <v>2.6261</v>
      </c>
      <c r="S7" s="335"/>
      <c r="T7" s="335">
        <v>2.6118</v>
      </c>
      <c r="U7" s="335"/>
      <c r="V7" s="335">
        <v>2.606</v>
      </c>
      <c r="W7" s="335"/>
      <c r="X7" s="335">
        <v>2.6024</v>
      </c>
      <c r="Y7" s="335"/>
      <c r="Z7" s="335">
        <v>2.5993</v>
      </c>
      <c r="AA7" s="335"/>
      <c r="AB7" s="335">
        <v>2.5963</v>
      </c>
      <c r="AC7" s="335">
        <v>2.5933</v>
      </c>
      <c r="AD7" s="335">
        <v>2.5899</v>
      </c>
      <c r="AE7" s="335">
        <v>2.5862</v>
      </c>
      <c r="AF7" s="335">
        <v>2.5837</v>
      </c>
      <c r="AG7" s="335">
        <v>2.582</v>
      </c>
      <c r="AH7" s="335">
        <v>2.5774</v>
      </c>
      <c r="AI7" s="335">
        <v>2.5749</v>
      </c>
      <c r="AJ7" s="335">
        <v>2.5723</v>
      </c>
      <c r="AK7" s="335">
        <v>2.5666</v>
      </c>
      <c r="AL7" s="335"/>
      <c r="AM7" s="341">
        <v>2.6027335</v>
      </c>
      <c r="AN7" s="341">
        <v>0.094148223</v>
      </c>
      <c r="AO7" s="341">
        <v>0.0050288851</v>
      </c>
      <c r="AP7" s="341">
        <v>-0.00016360399</v>
      </c>
      <c r="AQ7" s="341">
        <v>-1.1188941e-7</v>
      </c>
      <c r="AR7" s="341">
        <v>-3.3257266e-11</v>
      </c>
      <c r="AS7" s="344"/>
      <c r="AT7" s="346"/>
      <c r="AU7" s="346"/>
      <c r="AV7" s="346"/>
      <c r="AW7" s="346"/>
      <c r="AX7" s="346"/>
      <c r="AY7" s="346"/>
      <c r="AZ7" s="346"/>
      <c r="BA7" s="346"/>
      <c r="BB7" s="346"/>
      <c r="BC7" s="346"/>
      <c r="BD7" s="346"/>
      <c r="BE7" s="346"/>
      <c r="BF7" s="346"/>
      <c r="BG7" s="346"/>
      <c r="BH7" s="346"/>
      <c r="BI7" s="346"/>
      <c r="BJ7" s="346"/>
      <c r="BK7" s="346"/>
      <c r="BL7" s="346"/>
      <c r="BM7" s="346"/>
      <c r="BN7" s="346"/>
      <c r="BO7" s="351"/>
      <c r="BP7" s="352"/>
      <c r="BQ7" s="353"/>
      <c r="BR7" s="354">
        <v>42</v>
      </c>
      <c r="BS7" s="354"/>
      <c r="BT7" s="354">
        <v>40</v>
      </c>
      <c r="BU7" s="354">
        <v>39</v>
      </c>
      <c r="BV7" s="354">
        <v>39</v>
      </c>
      <c r="BW7" s="354">
        <v>39</v>
      </c>
      <c r="BX7" s="354">
        <v>39</v>
      </c>
      <c r="BY7" s="361">
        <v>3.47396e-5</v>
      </c>
      <c r="BZ7" s="361">
        <v>-7.61268e-9</v>
      </c>
      <c r="CA7" s="361">
        <v>2.63506e-10</v>
      </c>
      <c r="CB7" s="361">
        <v>1.45448e-5</v>
      </c>
      <c r="CC7" s="361">
        <v>4.85455e-8</v>
      </c>
      <c r="CD7" s="361">
        <v>0.833183</v>
      </c>
      <c r="CE7" s="367">
        <v>1</v>
      </c>
      <c r="CF7" s="367">
        <v>1</v>
      </c>
      <c r="CG7" s="367">
        <v>2</v>
      </c>
      <c r="CH7" s="367">
        <v>1</v>
      </c>
      <c r="CI7" s="367">
        <v>4</v>
      </c>
      <c r="CJ7" s="367">
        <v>1</v>
      </c>
      <c r="CK7" s="367"/>
      <c r="CL7" s="367"/>
      <c r="CM7" s="367">
        <v>266</v>
      </c>
      <c r="CN7" s="367">
        <v>301</v>
      </c>
      <c r="CO7" s="351"/>
      <c r="CP7" s="351"/>
      <c r="CQ7" s="351">
        <v>162</v>
      </c>
      <c r="CR7" s="351">
        <v>164</v>
      </c>
      <c r="CS7" s="351"/>
      <c r="CT7" s="351"/>
      <c r="CU7" s="371">
        <v>158.5480742</v>
      </c>
      <c r="CV7" s="371">
        <v>160.2118254</v>
      </c>
      <c r="CW7" s="371">
        <v>161.0201994</v>
      </c>
      <c r="CX7" s="371">
        <v>161.7955496</v>
      </c>
      <c r="CY7" s="371">
        <v>162.244167793</v>
      </c>
      <c r="CZ7" s="371">
        <v>162.487644369</v>
      </c>
      <c r="DA7" s="371">
        <v>162.748175813</v>
      </c>
      <c r="DB7" s="371">
        <v>162.9486475</v>
      </c>
      <c r="DC7" s="371">
        <v>163.14480482</v>
      </c>
      <c r="DD7" s="371">
        <v>163.18180971</v>
      </c>
      <c r="DE7" s="371">
        <v>163.20998124</v>
      </c>
      <c r="DF7" s="371">
        <v>163.311808</v>
      </c>
      <c r="DG7" s="371">
        <v>163.38428815</v>
      </c>
      <c r="DH7" s="371">
        <v>163.62912012</v>
      </c>
      <c r="DI7" s="371">
        <v>163.751254491</v>
      </c>
      <c r="DJ7" s="371">
        <v>163.778373514</v>
      </c>
      <c r="DK7" s="371">
        <v>163.7720047</v>
      </c>
      <c r="DL7" s="371">
        <v>163.95894713</v>
      </c>
      <c r="DM7" s="371">
        <v>164.24838154</v>
      </c>
      <c r="DN7" s="371">
        <v>164.472875</v>
      </c>
      <c r="DO7" s="371">
        <v>164.6281679</v>
      </c>
      <c r="DP7" s="375"/>
      <c r="DQ7" s="367">
        <v>137</v>
      </c>
      <c r="DR7" s="367"/>
      <c r="DS7" s="379">
        <v>19.8</v>
      </c>
      <c r="DT7" s="379">
        <v>7.7</v>
      </c>
      <c r="DU7" s="357"/>
      <c r="DV7" s="357"/>
      <c r="DW7" s="347"/>
      <c r="DX7" s="378">
        <v>0.291</v>
      </c>
      <c r="DY7" s="385">
        <v>10.1</v>
      </c>
      <c r="DZ7" s="334">
        <v>4.71</v>
      </c>
      <c r="EA7" s="384"/>
      <c r="EB7" s="384"/>
      <c r="EC7" s="384"/>
      <c r="ED7" s="384">
        <v>0.377</v>
      </c>
      <c r="EE7" s="384">
        <v>0.785</v>
      </c>
      <c r="EF7" s="384">
        <v>0.923</v>
      </c>
      <c r="EG7" s="384">
        <v>0.95</v>
      </c>
      <c r="EH7" s="384">
        <v>0.811</v>
      </c>
      <c r="EI7" s="384">
        <v>0.799</v>
      </c>
      <c r="EJ7" s="384">
        <v>0.911</v>
      </c>
      <c r="EK7" s="383"/>
      <c r="EL7" s="384">
        <v>0.988</v>
      </c>
      <c r="EM7" s="383"/>
      <c r="EN7" s="384">
        <v>0.997</v>
      </c>
      <c r="EO7" s="384">
        <v>0.998</v>
      </c>
      <c r="EP7" s="384">
        <v>0.998</v>
      </c>
      <c r="EQ7" s="384">
        <v>0.998</v>
      </c>
      <c r="ER7" s="384">
        <v>0.995</v>
      </c>
      <c r="ES7" s="384">
        <v>0.998</v>
      </c>
      <c r="ET7" s="384">
        <v>0.998</v>
      </c>
      <c r="EU7" s="384">
        <v>0.999</v>
      </c>
      <c r="EV7" s="384">
        <v>0.998</v>
      </c>
      <c r="EW7" s="384">
        <v>0.998</v>
      </c>
      <c r="EX7" s="384">
        <v>0.998</v>
      </c>
      <c r="EY7" s="384"/>
      <c r="EZ7" s="384">
        <v>0.991</v>
      </c>
      <c r="FA7" s="384"/>
      <c r="FB7" s="384">
        <v>0.998</v>
      </c>
      <c r="FC7" s="384"/>
      <c r="FD7" s="384">
        <v>0.998</v>
      </c>
      <c r="FE7" s="384"/>
      <c r="FF7" s="384">
        <v>0.996</v>
      </c>
      <c r="FG7" s="384"/>
      <c r="FH7" s="384"/>
      <c r="FI7" s="384">
        <v>0.994</v>
      </c>
      <c r="FJ7" s="384"/>
      <c r="FK7" s="384">
        <v>0.992</v>
      </c>
      <c r="FL7" s="384"/>
      <c r="FM7" s="384">
        <v>0.993</v>
      </c>
      <c r="FN7" s="384"/>
      <c r="FO7" s="384">
        <v>0.977</v>
      </c>
      <c r="FP7" s="384"/>
      <c r="FQ7" s="383"/>
      <c r="FR7" s="383"/>
      <c r="FS7" s="383"/>
      <c r="FT7" s="383"/>
      <c r="FU7" s="383"/>
      <c r="FV7" s="383"/>
      <c r="FW7" s="383"/>
      <c r="FX7" s="384"/>
      <c r="FY7" s="384"/>
      <c r="FZ7" s="384"/>
      <c r="GA7" s="392">
        <f t="shared" si="1"/>
        <v>0.007615646045657</v>
      </c>
      <c r="GB7" s="392">
        <f t="shared" si="2"/>
        <v>0.298090601740625</v>
      </c>
      <c r="GC7" s="392">
        <f t="shared" si="3"/>
        <v>0.669897728420843</v>
      </c>
      <c r="GD7" s="392">
        <f t="shared" si="4"/>
        <v>0.7737809375</v>
      </c>
      <c r="GE7" s="392">
        <f t="shared" si="5"/>
        <v>0.350836097125051</v>
      </c>
      <c r="GF7" s="392">
        <f t="shared" si="6"/>
        <v>0.325637113603999</v>
      </c>
      <c r="GG7" s="392">
        <f t="shared" si="7"/>
        <v>0.627468437145551</v>
      </c>
      <c r="GH7" s="392"/>
      <c r="GI7" s="392">
        <f t="shared" si="8"/>
        <v>0.941422823431168</v>
      </c>
      <c r="GJ7" s="392"/>
      <c r="GK7" s="392">
        <f t="shared" si="9"/>
        <v>0.985089730404757</v>
      </c>
      <c r="GL7" s="392">
        <f t="shared" si="10"/>
        <v>0.990039920079968</v>
      </c>
      <c r="GM7" s="392">
        <f t="shared" si="11"/>
        <v>0.990039920079968</v>
      </c>
      <c r="GN7" s="392">
        <f t="shared" si="12"/>
        <v>0.990039920079968</v>
      </c>
      <c r="GO7" s="392">
        <f t="shared" si="13"/>
        <v>0.975248753121875</v>
      </c>
      <c r="GP7" s="392">
        <f t="shared" si="14"/>
        <v>0.990039920079968</v>
      </c>
      <c r="GQ7" s="392">
        <f t="shared" si="15"/>
        <v>0.990039920079968</v>
      </c>
      <c r="GR7" s="392">
        <f t="shared" si="16"/>
        <v>0.995009990004999</v>
      </c>
      <c r="GS7" s="392">
        <f t="shared" si="17"/>
        <v>0.990039920079968</v>
      </c>
      <c r="GT7" s="392">
        <f t="shared" si="18"/>
        <v>0.990039920079968</v>
      </c>
      <c r="GU7" s="392">
        <f t="shared" si="19"/>
        <v>0.990039920079968</v>
      </c>
      <c r="GV7" s="392"/>
      <c r="GW7" s="392">
        <f t="shared" si="20"/>
        <v>0.955802742745951</v>
      </c>
      <c r="GX7" s="392"/>
      <c r="GY7" s="392">
        <f t="shared" si="21"/>
        <v>0.990039920079968</v>
      </c>
      <c r="GZ7" s="392"/>
      <c r="HA7" s="392">
        <f t="shared" si="22"/>
        <v>0.990039920079968</v>
      </c>
      <c r="HB7" s="392"/>
      <c r="HC7" s="392">
        <f t="shared" si="23"/>
        <v>0.980159361278976</v>
      </c>
      <c r="HD7" s="392"/>
      <c r="HE7" s="392"/>
      <c r="HF7" s="392">
        <f t="shared" si="24"/>
        <v>0.970357846472224</v>
      </c>
      <c r="HG7" s="392"/>
      <c r="HH7" s="392">
        <f t="shared" si="25"/>
        <v>0.960634900447232</v>
      </c>
      <c r="HI7" s="392"/>
      <c r="HJ7" s="392">
        <f t="shared" si="26"/>
        <v>0.965486581988193</v>
      </c>
      <c r="HK7" s="392"/>
      <c r="HL7" s="392">
        <f t="shared" si="27"/>
        <v>0.890169722768657</v>
      </c>
      <c r="HM7" s="392"/>
      <c r="HN7" s="392"/>
      <c r="HO7" s="392"/>
      <c r="HP7" s="392"/>
      <c r="HQ7" s="384"/>
      <c r="HR7" s="384"/>
      <c r="HS7" s="383"/>
      <c r="HT7" s="383"/>
      <c r="HU7" s="332" t="s">
        <v>1891</v>
      </c>
      <c r="HV7" s="332">
        <v>12.5</v>
      </c>
      <c r="HW7" s="332" t="s">
        <v>617</v>
      </c>
      <c r="HX7" s="394" t="s">
        <v>1894</v>
      </c>
      <c r="HY7" s="396"/>
      <c r="HZ7" s="396"/>
    </row>
    <row r="8" s="327" customFormat="1" spans="1:234">
      <c r="A8" s="333">
        <v>5</v>
      </c>
      <c r="B8" s="333" t="s">
        <v>1896</v>
      </c>
      <c r="C8" s="333" t="s">
        <v>1897</v>
      </c>
      <c r="D8" s="334"/>
      <c r="E8" s="334"/>
      <c r="F8" s="334">
        <v>132.77</v>
      </c>
      <c r="G8" s="335"/>
      <c r="H8" s="335">
        <v>0.0106</v>
      </c>
      <c r="I8" s="335">
        <v>0.0133</v>
      </c>
      <c r="J8" s="335"/>
      <c r="K8" s="335"/>
      <c r="L8" s="335"/>
      <c r="M8" s="335"/>
      <c r="N8" s="335"/>
      <c r="O8" s="335"/>
      <c r="P8" s="335"/>
      <c r="Q8" s="335"/>
      <c r="R8" s="335">
        <v>2.8095</v>
      </c>
      <c r="S8" s="335"/>
      <c r="T8" s="335">
        <v>2.7914</v>
      </c>
      <c r="U8" s="335"/>
      <c r="V8" s="335">
        <v>2.7846</v>
      </c>
      <c r="W8" s="339"/>
      <c r="X8" s="335">
        <v>2.7808</v>
      </c>
      <c r="Y8" s="335"/>
      <c r="Z8" s="335">
        <v>2.7779</v>
      </c>
      <c r="AA8" s="335"/>
      <c r="AB8" s="335">
        <v>2.7754</v>
      </c>
      <c r="AC8" s="335">
        <v>2.773</v>
      </c>
      <c r="AD8" s="335">
        <v>2.7704</v>
      </c>
      <c r="AE8" s="335">
        <v>2.7677</v>
      </c>
      <c r="AF8" s="335">
        <v>2.7659</v>
      </c>
      <c r="AG8" s="339">
        <v>2.7647</v>
      </c>
      <c r="AH8" s="335">
        <v>2.7614</v>
      </c>
      <c r="AI8" s="335">
        <v>2.7597</v>
      </c>
      <c r="AJ8" s="335">
        <v>2.7578</v>
      </c>
      <c r="AK8" s="335">
        <v>2.7538</v>
      </c>
      <c r="AL8" s="335"/>
      <c r="AM8" s="341">
        <v>2.7790481</v>
      </c>
      <c r="AN8" s="341">
        <v>0.11911498</v>
      </c>
      <c r="AO8" s="341">
        <v>0.015043403</v>
      </c>
      <c r="AP8" s="341">
        <v>-0.00012268557</v>
      </c>
      <c r="AQ8" s="341">
        <v>-1.0906501e-8</v>
      </c>
      <c r="AR8" s="341">
        <v>-1.8517301e-10</v>
      </c>
      <c r="AS8" s="344"/>
      <c r="AT8" s="344"/>
      <c r="AU8" s="344"/>
      <c r="AV8" s="344"/>
      <c r="AW8" s="344"/>
      <c r="AX8" s="344"/>
      <c r="AY8" s="344"/>
      <c r="AZ8" s="344"/>
      <c r="BA8" s="344"/>
      <c r="BB8" s="344"/>
      <c r="BC8" s="344"/>
      <c r="BD8" s="344"/>
      <c r="BE8" s="344"/>
      <c r="BF8" s="344"/>
      <c r="BG8" s="344"/>
      <c r="BH8" s="344"/>
      <c r="BI8" s="344"/>
      <c r="BJ8" s="344"/>
      <c r="BK8" s="344"/>
      <c r="BL8" s="344"/>
      <c r="BM8" s="344"/>
      <c r="BN8" s="344"/>
      <c r="BO8" s="351"/>
      <c r="BP8" s="352"/>
      <c r="BQ8" s="353"/>
      <c r="BR8" s="354">
        <v>21</v>
      </c>
      <c r="BS8" s="354"/>
      <c r="BT8" s="354">
        <v>19</v>
      </c>
      <c r="BU8" s="354">
        <v>18</v>
      </c>
      <c r="BV8" s="354">
        <v>18</v>
      </c>
      <c r="BW8" s="354">
        <v>17</v>
      </c>
      <c r="BX8" s="354">
        <v>16</v>
      </c>
      <c r="BY8" s="361">
        <v>1.39794e-5</v>
      </c>
      <c r="BZ8" s="361">
        <v>6.65805e-8</v>
      </c>
      <c r="CA8" s="361">
        <v>-1.6112e-10</v>
      </c>
      <c r="CB8" s="361">
        <v>3.04933e-5</v>
      </c>
      <c r="CC8" s="361">
        <v>8.1525e-8</v>
      </c>
      <c r="CD8" s="361">
        <v>-0.727149</v>
      </c>
      <c r="CE8" s="367">
        <v>1</v>
      </c>
      <c r="CF8" s="367">
        <v>1</v>
      </c>
      <c r="CG8" s="367">
        <v>2</v>
      </c>
      <c r="CH8" s="367">
        <v>1</v>
      </c>
      <c r="CI8" s="367">
        <v>2</v>
      </c>
      <c r="CJ8" s="367">
        <v>1</v>
      </c>
      <c r="CK8" s="367"/>
      <c r="CL8" s="367"/>
      <c r="CM8" s="367">
        <v>174</v>
      </c>
      <c r="CN8" s="367">
        <v>199</v>
      </c>
      <c r="CO8" s="351"/>
      <c r="CP8" s="351"/>
      <c r="CQ8" s="351">
        <v>209</v>
      </c>
      <c r="CR8" s="351">
        <v>212</v>
      </c>
      <c r="CS8" s="351"/>
      <c r="CT8" s="351"/>
      <c r="CU8" s="371">
        <v>201.9519000492</v>
      </c>
      <c r="CV8" s="371">
        <v>204.50919686004</v>
      </c>
      <c r="CW8" s="371">
        <v>206.1317729744</v>
      </c>
      <c r="CX8" s="371">
        <v>207.1290991246</v>
      </c>
      <c r="CY8" s="371">
        <v>207.797061527647</v>
      </c>
      <c r="CZ8" s="371">
        <v>208.301933454536</v>
      </c>
      <c r="DA8" s="371">
        <v>208.835445385281</v>
      </c>
      <c r="DB8" s="371">
        <v>209.256123188225</v>
      </c>
      <c r="DC8" s="371">
        <v>209.86463425982</v>
      </c>
      <c r="DD8" s="371">
        <v>210.391223332471</v>
      </c>
      <c r="DE8" s="371">
        <v>210.94847011624</v>
      </c>
      <c r="DF8" s="371">
        <v>211.3079448983</v>
      </c>
      <c r="DG8" s="371">
        <v>211.517267956315</v>
      </c>
      <c r="DH8" s="371">
        <v>212.148760477512</v>
      </c>
      <c r="DI8" s="371">
        <v>212.644705143491</v>
      </c>
      <c r="DJ8" s="371">
        <v>213.296795881045</v>
      </c>
      <c r="DK8" s="371">
        <v>214.0604563222</v>
      </c>
      <c r="DL8" s="371">
        <v>215.14366048463</v>
      </c>
      <c r="DM8" s="371">
        <v>216.03007005904</v>
      </c>
      <c r="DN8" s="371">
        <v>216.828662805</v>
      </c>
      <c r="DO8" s="371">
        <v>217.04863799429</v>
      </c>
      <c r="DP8" s="375"/>
      <c r="DQ8" s="367">
        <v>115</v>
      </c>
      <c r="DR8" s="367"/>
      <c r="DS8" s="379">
        <v>19.8</v>
      </c>
      <c r="DT8" s="379">
        <v>7.3</v>
      </c>
      <c r="DU8" s="357"/>
      <c r="DV8" s="357"/>
      <c r="DW8" s="347"/>
      <c r="DX8" s="378">
        <v>0.366</v>
      </c>
      <c r="DY8" s="385"/>
      <c r="DZ8" s="334">
        <v>4.72</v>
      </c>
      <c r="EA8" s="384"/>
      <c r="EB8" s="384"/>
      <c r="EC8" s="384"/>
      <c r="ED8" s="384">
        <v>0.84</v>
      </c>
      <c r="EE8" s="384">
        <v>0.896</v>
      </c>
      <c r="EF8" s="384">
        <v>0.897</v>
      </c>
      <c r="EG8" s="384">
        <v>0.897</v>
      </c>
      <c r="EH8" s="384">
        <v>0.951</v>
      </c>
      <c r="EI8" s="384">
        <v>0.977</v>
      </c>
      <c r="EJ8" s="384">
        <v>0.987</v>
      </c>
      <c r="EK8" s="383"/>
      <c r="EL8" s="384">
        <v>0.99</v>
      </c>
      <c r="EM8" s="383"/>
      <c r="EN8" s="384">
        <v>0.993</v>
      </c>
      <c r="EO8" s="384">
        <v>0.995</v>
      </c>
      <c r="EP8" s="384">
        <v>0.996</v>
      </c>
      <c r="EQ8" s="384">
        <v>0.997</v>
      </c>
      <c r="ER8" s="384">
        <v>0.997</v>
      </c>
      <c r="ES8" s="384">
        <v>0.996</v>
      </c>
      <c r="ET8" s="384">
        <v>0.996</v>
      </c>
      <c r="EU8" s="384">
        <v>0.997</v>
      </c>
      <c r="EV8" s="384">
        <v>0.996</v>
      </c>
      <c r="EW8" s="384">
        <v>0.996</v>
      </c>
      <c r="EX8" s="384">
        <v>0.996</v>
      </c>
      <c r="EY8" s="384"/>
      <c r="EZ8" s="384">
        <v>0.996</v>
      </c>
      <c r="FA8" s="384"/>
      <c r="FB8" s="384">
        <v>0.997</v>
      </c>
      <c r="FC8" s="384"/>
      <c r="FD8" s="384">
        <v>0.997</v>
      </c>
      <c r="FE8" s="384"/>
      <c r="FF8" s="384">
        <v>0.996</v>
      </c>
      <c r="FG8" s="384"/>
      <c r="FH8" s="383"/>
      <c r="FI8" s="384">
        <v>0.997</v>
      </c>
      <c r="FJ8" s="384"/>
      <c r="FK8" s="384">
        <v>0.995</v>
      </c>
      <c r="FL8" s="384"/>
      <c r="FM8" s="384">
        <v>0.995</v>
      </c>
      <c r="FN8" s="383"/>
      <c r="FO8" s="384">
        <v>0.923</v>
      </c>
      <c r="FP8" s="384"/>
      <c r="FQ8" s="383"/>
      <c r="FR8" s="383"/>
      <c r="FS8" s="383"/>
      <c r="FT8" s="383"/>
      <c r="FU8" s="383"/>
      <c r="FV8" s="383"/>
      <c r="FW8" s="383"/>
      <c r="FX8" s="384"/>
      <c r="FY8" s="384"/>
      <c r="FZ8" s="384"/>
      <c r="GA8" s="392">
        <f t="shared" si="1"/>
        <v>0.4182119424</v>
      </c>
      <c r="GB8" s="392">
        <f t="shared" si="2"/>
        <v>0.577484122750976</v>
      </c>
      <c r="GC8" s="392">
        <f t="shared" si="3"/>
        <v>0.580713891664257</v>
      </c>
      <c r="GD8" s="392">
        <f t="shared" si="4"/>
        <v>0.580713891664257</v>
      </c>
      <c r="GE8" s="392">
        <f t="shared" si="5"/>
        <v>0.777862051529751</v>
      </c>
      <c r="GF8" s="392">
        <f t="shared" si="6"/>
        <v>0.890169722768657</v>
      </c>
      <c r="GG8" s="392">
        <f t="shared" si="7"/>
        <v>0.936668172433707</v>
      </c>
      <c r="GH8" s="392"/>
      <c r="GI8" s="392">
        <f t="shared" si="8"/>
        <v>0.9509900499</v>
      </c>
      <c r="GJ8" s="392"/>
      <c r="GK8" s="392">
        <f t="shared" si="9"/>
        <v>0.965486581988193</v>
      </c>
      <c r="GL8" s="392">
        <f t="shared" si="10"/>
        <v>0.975248753121875</v>
      </c>
      <c r="GM8" s="392">
        <f t="shared" si="11"/>
        <v>0.980159361278976</v>
      </c>
      <c r="GN8" s="392">
        <f t="shared" si="12"/>
        <v>0.985089730404757</v>
      </c>
      <c r="GO8" s="392">
        <f t="shared" si="13"/>
        <v>0.985089730404757</v>
      </c>
      <c r="GP8" s="392">
        <f t="shared" si="14"/>
        <v>0.980159361278976</v>
      </c>
      <c r="GQ8" s="392">
        <f t="shared" si="15"/>
        <v>0.980159361278976</v>
      </c>
      <c r="GR8" s="392">
        <f t="shared" si="16"/>
        <v>0.985089730404757</v>
      </c>
      <c r="GS8" s="392">
        <f t="shared" si="17"/>
        <v>0.980159361278976</v>
      </c>
      <c r="GT8" s="392">
        <f t="shared" si="18"/>
        <v>0.980159361278976</v>
      </c>
      <c r="GU8" s="392">
        <f t="shared" si="19"/>
        <v>0.980159361278976</v>
      </c>
      <c r="GV8" s="392"/>
      <c r="GW8" s="392">
        <f t="shared" si="20"/>
        <v>0.980159361278976</v>
      </c>
      <c r="GX8" s="392"/>
      <c r="GY8" s="392">
        <f t="shared" si="21"/>
        <v>0.985089730404757</v>
      </c>
      <c r="GZ8" s="392"/>
      <c r="HA8" s="392">
        <f t="shared" si="22"/>
        <v>0.985089730404757</v>
      </c>
      <c r="HB8" s="392"/>
      <c r="HC8" s="392">
        <f t="shared" si="23"/>
        <v>0.980159361278976</v>
      </c>
      <c r="HD8" s="392"/>
      <c r="HE8" s="392"/>
      <c r="HF8" s="392">
        <f t="shared" si="24"/>
        <v>0.985089730404757</v>
      </c>
      <c r="HG8" s="392"/>
      <c r="HH8" s="392">
        <f t="shared" si="25"/>
        <v>0.975248753121875</v>
      </c>
      <c r="HI8" s="392"/>
      <c r="HJ8" s="392">
        <f t="shared" si="26"/>
        <v>0.975248753121875</v>
      </c>
      <c r="HK8" s="392"/>
      <c r="HL8" s="392">
        <f t="shared" si="27"/>
        <v>0.669897728420843</v>
      </c>
      <c r="HM8" s="392"/>
      <c r="HN8" s="392"/>
      <c r="HO8" s="392"/>
      <c r="HP8" s="392"/>
      <c r="HQ8" s="384"/>
      <c r="HR8" s="384"/>
      <c r="HS8" s="383"/>
      <c r="HT8" s="383"/>
      <c r="HU8" s="332" t="s">
        <v>1891</v>
      </c>
      <c r="HV8" s="332">
        <v>10</v>
      </c>
      <c r="HW8" s="332" t="s">
        <v>339</v>
      </c>
      <c r="HX8" s="394" t="s">
        <v>1896</v>
      </c>
      <c r="HY8" s="396"/>
      <c r="HZ8" s="396"/>
    </row>
    <row r="9" s="327" customFormat="1" spans="1:234">
      <c r="A9" s="333">
        <v>6</v>
      </c>
      <c r="B9" s="333" t="s">
        <v>1898</v>
      </c>
      <c r="C9" s="333" t="s">
        <v>1899</v>
      </c>
      <c r="D9" s="334"/>
      <c r="E9" s="334"/>
      <c r="F9" s="334">
        <v>93.63</v>
      </c>
      <c r="G9" s="335"/>
      <c r="H9" s="335">
        <v>0.0093</v>
      </c>
      <c r="I9" s="335">
        <v>0.0171</v>
      </c>
      <c r="J9" s="335"/>
      <c r="K9" s="335"/>
      <c r="L9" s="335"/>
      <c r="M9" s="335"/>
      <c r="N9" s="335"/>
      <c r="O9" s="335"/>
      <c r="P9" s="335"/>
      <c r="Q9" s="335"/>
      <c r="R9" s="335">
        <v>2.6423</v>
      </c>
      <c r="S9" s="335"/>
      <c r="T9" s="335">
        <v>2.6279</v>
      </c>
      <c r="U9" s="335"/>
      <c r="V9" s="339">
        <v>2.6222</v>
      </c>
      <c r="W9" s="335"/>
      <c r="X9" s="335">
        <v>2.6186</v>
      </c>
      <c r="Y9" s="335"/>
      <c r="Z9" s="335">
        <v>2.6157</v>
      </c>
      <c r="AA9" s="335"/>
      <c r="AB9" s="335">
        <v>2.6129</v>
      </c>
      <c r="AC9" s="335">
        <v>2.61</v>
      </c>
      <c r="AD9" s="335">
        <v>2.6068</v>
      </c>
      <c r="AE9" s="335">
        <v>2.6033</v>
      </c>
      <c r="AF9" s="335">
        <v>2.6011</v>
      </c>
      <c r="AG9" s="339">
        <v>2.5994</v>
      </c>
      <c r="AH9" s="335">
        <v>2.5952</v>
      </c>
      <c r="AI9" s="335">
        <v>2.5929</v>
      </c>
      <c r="AJ9" s="335">
        <v>2.5905</v>
      </c>
      <c r="AK9" s="335">
        <v>2.585</v>
      </c>
      <c r="AL9" s="335"/>
      <c r="AM9" s="341">
        <v>2.6191393</v>
      </c>
      <c r="AN9" s="341">
        <v>0.089681707</v>
      </c>
      <c r="AO9" s="341">
        <v>0.019616489</v>
      </c>
      <c r="AP9" s="341">
        <v>-0.00016512236</v>
      </c>
      <c r="AQ9" s="341">
        <v>1.7019611e-8</v>
      </c>
      <c r="AR9" s="341">
        <v>-3.7871669e-10</v>
      </c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51"/>
      <c r="BP9" s="352"/>
      <c r="BQ9" s="352"/>
      <c r="BR9" s="351">
        <v>72</v>
      </c>
      <c r="BS9" s="351"/>
      <c r="BT9" s="351">
        <v>70</v>
      </c>
      <c r="BU9" s="351">
        <v>70</v>
      </c>
      <c r="BV9" s="351">
        <v>70</v>
      </c>
      <c r="BW9" s="351">
        <v>70</v>
      </c>
      <c r="BX9" s="351">
        <v>70</v>
      </c>
      <c r="BY9" s="361">
        <v>6.14573e-5</v>
      </c>
      <c r="BZ9" s="361">
        <v>1.00146e-7</v>
      </c>
      <c r="CA9" s="361">
        <v>4.99576e-10</v>
      </c>
      <c r="CB9" s="361">
        <v>1.79054e-5</v>
      </c>
      <c r="CC9" s="361">
        <v>4.39155e-9</v>
      </c>
      <c r="CD9" s="361">
        <v>0.9292</v>
      </c>
      <c r="CE9" s="367">
        <v>1</v>
      </c>
      <c r="CF9" s="367">
        <v>1</v>
      </c>
      <c r="CG9" s="367">
        <v>1</v>
      </c>
      <c r="CH9" s="367">
        <v>1</v>
      </c>
      <c r="CI9" s="367">
        <v>2</v>
      </c>
      <c r="CJ9" s="367">
        <v>1</v>
      </c>
      <c r="CK9" s="367"/>
      <c r="CL9" s="367"/>
      <c r="CM9" s="367">
        <v>282</v>
      </c>
      <c r="CN9" s="367">
        <v>314</v>
      </c>
      <c r="CO9" s="351"/>
      <c r="CP9" s="351"/>
      <c r="CQ9" s="351">
        <v>140</v>
      </c>
      <c r="CR9" s="351">
        <v>141</v>
      </c>
      <c r="CS9" s="351"/>
      <c r="CT9" s="351"/>
      <c r="CU9" s="371">
        <v>137.013226</v>
      </c>
      <c r="CV9" s="371">
        <v>138.680262</v>
      </c>
      <c r="CW9" s="371">
        <v>139.490232</v>
      </c>
      <c r="CX9" s="371">
        <v>140.267113</v>
      </c>
      <c r="CY9" s="371">
        <v>140.716616915</v>
      </c>
      <c r="CZ9" s="371">
        <v>140.960574195</v>
      </c>
      <c r="DA9" s="371">
        <v>141.221620015</v>
      </c>
      <c r="DB9" s="371">
        <v>141.4224875</v>
      </c>
      <c r="DC9" s="371">
        <v>141.6190321</v>
      </c>
      <c r="DD9" s="371">
        <v>141.65611005</v>
      </c>
      <c r="DE9" s="371">
        <v>141.6843372</v>
      </c>
      <c r="DF9" s="371">
        <v>141.786365</v>
      </c>
      <c r="DG9" s="371">
        <v>141.85898825</v>
      </c>
      <c r="DH9" s="371">
        <v>142.1043036</v>
      </c>
      <c r="DI9" s="371">
        <v>142.226679105</v>
      </c>
      <c r="DJ9" s="371">
        <v>142.25385167</v>
      </c>
      <c r="DK9" s="371">
        <v>142.19541</v>
      </c>
      <c r="DL9" s="371">
        <v>142.0645765</v>
      </c>
      <c r="DM9" s="371">
        <v>141.958712</v>
      </c>
      <c r="DN9" s="371">
        <v>141.94775</v>
      </c>
      <c r="DO9" s="371">
        <v>142.1033495</v>
      </c>
      <c r="DP9" s="375">
        <v>0.33</v>
      </c>
      <c r="DQ9" s="367">
        <v>132</v>
      </c>
      <c r="DR9" s="367">
        <v>996</v>
      </c>
      <c r="DS9" s="379">
        <v>21.3</v>
      </c>
      <c r="DT9" s="379">
        <v>8.5</v>
      </c>
      <c r="DU9" s="357"/>
      <c r="DV9" s="357"/>
      <c r="DW9" s="347"/>
      <c r="DX9" s="378">
        <v>0.25</v>
      </c>
      <c r="DY9" s="385">
        <v>9.7</v>
      </c>
      <c r="DZ9" s="334">
        <v>4.68</v>
      </c>
      <c r="EA9" s="384"/>
      <c r="EB9" s="384"/>
      <c r="EC9" s="384"/>
      <c r="ED9" s="384">
        <v>0.719</v>
      </c>
      <c r="EE9" s="384">
        <v>0.709</v>
      </c>
      <c r="EF9" s="384">
        <v>0.893</v>
      </c>
      <c r="EG9" s="384">
        <v>0.916</v>
      </c>
      <c r="EH9" s="384">
        <v>0.746</v>
      </c>
      <c r="EI9" s="384">
        <v>0.752</v>
      </c>
      <c r="EJ9" s="384">
        <v>0.879</v>
      </c>
      <c r="EK9" s="383"/>
      <c r="EL9" s="384">
        <v>0.982</v>
      </c>
      <c r="EM9" s="383"/>
      <c r="EN9" s="384">
        <v>0.997</v>
      </c>
      <c r="EO9" s="384">
        <v>0.998</v>
      </c>
      <c r="EP9" s="384">
        <v>0.999</v>
      </c>
      <c r="EQ9" s="384">
        <v>0.999</v>
      </c>
      <c r="ER9" s="384">
        <v>0.999</v>
      </c>
      <c r="ES9" s="384">
        <v>0.999</v>
      </c>
      <c r="ET9" s="384">
        <v>0.999</v>
      </c>
      <c r="EU9" s="384">
        <v>0.999</v>
      </c>
      <c r="EV9" s="384">
        <v>0.998</v>
      </c>
      <c r="EW9" s="384">
        <v>0.997</v>
      </c>
      <c r="EX9" s="384">
        <v>0.987</v>
      </c>
      <c r="EY9" s="384"/>
      <c r="EZ9" s="384">
        <v>0.985</v>
      </c>
      <c r="FA9" s="384"/>
      <c r="FB9" s="384">
        <v>0.996</v>
      </c>
      <c r="FC9" s="384"/>
      <c r="FD9" s="384">
        <v>0.998</v>
      </c>
      <c r="FE9" s="384"/>
      <c r="FF9" s="384">
        <v>0.996</v>
      </c>
      <c r="FG9" s="384"/>
      <c r="FH9" s="383"/>
      <c r="FI9" s="384">
        <v>0.994</v>
      </c>
      <c r="FJ9" s="384"/>
      <c r="FK9" s="384">
        <v>0.992</v>
      </c>
      <c r="FL9" s="384"/>
      <c r="FM9" s="384">
        <v>0.996</v>
      </c>
      <c r="FN9" s="383"/>
      <c r="FO9" s="384">
        <v>0.947</v>
      </c>
      <c r="FP9" s="384"/>
      <c r="FQ9" s="383"/>
      <c r="FR9" s="383"/>
      <c r="FS9" s="383"/>
      <c r="FT9" s="383"/>
      <c r="FU9" s="383"/>
      <c r="FV9" s="383"/>
      <c r="FW9" s="383"/>
      <c r="FX9" s="384"/>
      <c r="FY9" s="384"/>
      <c r="FZ9" s="384"/>
      <c r="GA9" s="392">
        <f t="shared" si="1"/>
        <v>0.192151797699599</v>
      </c>
      <c r="GB9" s="392">
        <f t="shared" si="2"/>
        <v>0.179155925122549</v>
      </c>
      <c r="GC9" s="392">
        <f t="shared" si="3"/>
        <v>0.567880942487693</v>
      </c>
      <c r="GD9" s="392">
        <f t="shared" si="4"/>
        <v>0.644877713560576</v>
      </c>
      <c r="GE9" s="392">
        <f t="shared" si="5"/>
        <v>0.231043703458976</v>
      </c>
      <c r="GF9" s="392">
        <f t="shared" si="6"/>
        <v>0.240485670060032</v>
      </c>
      <c r="GG9" s="392">
        <f t="shared" si="7"/>
        <v>0.524740246980399</v>
      </c>
      <c r="GH9" s="392"/>
      <c r="GI9" s="392">
        <f t="shared" si="8"/>
        <v>0.913182202990432</v>
      </c>
      <c r="GJ9" s="392"/>
      <c r="GK9" s="392">
        <f t="shared" si="9"/>
        <v>0.985089730404757</v>
      </c>
      <c r="GL9" s="392">
        <f t="shared" si="10"/>
        <v>0.990039920079968</v>
      </c>
      <c r="GM9" s="392">
        <f t="shared" si="11"/>
        <v>0.995009990004999</v>
      </c>
      <c r="GN9" s="392">
        <f t="shared" si="12"/>
        <v>0.995009990004999</v>
      </c>
      <c r="GO9" s="392">
        <f t="shared" si="13"/>
        <v>0.995009990004999</v>
      </c>
      <c r="GP9" s="392">
        <f t="shared" si="14"/>
        <v>0.995009990004999</v>
      </c>
      <c r="GQ9" s="392">
        <f t="shared" si="15"/>
        <v>0.995009990004999</v>
      </c>
      <c r="GR9" s="392">
        <f t="shared" si="16"/>
        <v>0.995009990004999</v>
      </c>
      <c r="GS9" s="392">
        <f t="shared" si="17"/>
        <v>0.990039920079968</v>
      </c>
      <c r="GT9" s="392">
        <f t="shared" si="18"/>
        <v>0.985089730404757</v>
      </c>
      <c r="GU9" s="392">
        <f t="shared" si="19"/>
        <v>0.936668172433707</v>
      </c>
      <c r="GV9" s="392"/>
      <c r="GW9" s="392">
        <f t="shared" si="20"/>
        <v>0.927216502365625</v>
      </c>
      <c r="GX9" s="392"/>
      <c r="GY9" s="392">
        <f t="shared" si="21"/>
        <v>0.980159361278976</v>
      </c>
      <c r="GZ9" s="392"/>
      <c r="HA9" s="392">
        <f t="shared" si="22"/>
        <v>0.990039920079968</v>
      </c>
      <c r="HB9" s="392"/>
      <c r="HC9" s="392">
        <f t="shared" si="23"/>
        <v>0.980159361278976</v>
      </c>
      <c r="HD9" s="392"/>
      <c r="HE9" s="392"/>
      <c r="HF9" s="392">
        <f t="shared" si="24"/>
        <v>0.970357846472224</v>
      </c>
      <c r="HG9" s="392"/>
      <c r="HH9" s="392">
        <f t="shared" si="25"/>
        <v>0.960634900447232</v>
      </c>
      <c r="HI9" s="392"/>
      <c r="HJ9" s="392">
        <f t="shared" si="26"/>
        <v>0.980159361278976</v>
      </c>
      <c r="HK9" s="392"/>
      <c r="HL9" s="392">
        <f t="shared" si="27"/>
        <v>0.761640264209507</v>
      </c>
      <c r="HM9" s="392"/>
      <c r="HN9" s="392"/>
      <c r="HO9" s="392"/>
      <c r="HP9" s="392"/>
      <c r="HQ9" s="384"/>
      <c r="HR9" s="384"/>
      <c r="HS9" s="383"/>
      <c r="HT9" s="383"/>
      <c r="HU9" s="332" t="s">
        <v>1891</v>
      </c>
      <c r="HV9" s="332">
        <v>13.5</v>
      </c>
      <c r="HW9" s="332" t="s">
        <v>303</v>
      </c>
      <c r="HX9" s="394" t="s">
        <v>1898</v>
      </c>
      <c r="HY9" s="396"/>
      <c r="HZ9" s="396"/>
    </row>
    <row r="10" s="327" customFormat="1" spans="1:234">
      <c r="A10" s="333">
        <v>7</v>
      </c>
      <c r="B10" s="333" t="s">
        <v>1900</v>
      </c>
      <c r="C10" s="333" t="s">
        <v>1901</v>
      </c>
      <c r="D10" s="334"/>
      <c r="E10" s="334"/>
      <c r="F10" s="334">
        <v>137.71</v>
      </c>
      <c r="G10" s="335"/>
      <c r="H10" s="335">
        <v>0.0106</v>
      </c>
      <c r="I10" s="335">
        <v>0.0129</v>
      </c>
      <c r="J10" s="335"/>
      <c r="K10" s="335"/>
      <c r="L10" s="335"/>
      <c r="M10" s="335"/>
      <c r="N10" s="335"/>
      <c r="O10" s="335"/>
      <c r="P10" s="335"/>
      <c r="Q10" s="335"/>
      <c r="R10" s="335">
        <v>2.8197</v>
      </c>
      <c r="S10" s="335"/>
      <c r="T10" s="335">
        <v>2.8015</v>
      </c>
      <c r="U10" s="335"/>
      <c r="V10" s="339">
        <v>2.7947</v>
      </c>
      <c r="W10" s="335"/>
      <c r="X10" s="335">
        <v>2.7909</v>
      </c>
      <c r="Y10" s="335"/>
      <c r="Z10" s="335">
        <v>2.788</v>
      </c>
      <c r="AA10" s="335"/>
      <c r="AB10" s="335">
        <v>2.7856</v>
      </c>
      <c r="AC10" s="335">
        <v>2.7832</v>
      </c>
      <c r="AD10" s="335">
        <v>2.7807</v>
      </c>
      <c r="AE10" s="335">
        <v>2.7781</v>
      </c>
      <c r="AF10" s="335">
        <v>2.7764</v>
      </c>
      <c r="AG10" s="339">
        <v>2.7752</v>
      </c>
      <c r="AH10" s="335">
        <v>2.772</v>
      </c>
      <c r="AI10" s="335">
        <v>2.7703</v>
      </c>
      <c r="AJ10" s="335">
        <v>2.7685</v>
      </c>
      <c r="AK10" s="335">
        <v>2.7646</v>
      </c>
      <c r="AL10" s="335"/>
      <c r="AM10" s="341">
        <v>2.7890145</v>
      </c>
      <c r="AN10" s="341">
        <v>0.12022832</v>
      </c>
      <c r="AO10" s="341">
        <v>0.014096806</v>
      </c>
      <c r="AP10" s="341">
        <v>-0.00011959367</v>
      </c>
      <c r="AQ10" s="341">
        <v>3.8785934e-9</v>
      </c>
      <c r="AR10" s="341">
        <v>-2.3183781e-10</v>
      </c>
      <c r="AS10" s="344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51"/>
      <c r="BP10" s="352"/>
      <c r="BQ10" s="352"/>
      <c r="BR10" s="351">
        <v>37</v>
      </c>
      <c r="BS10" s="351"/>
      <c r="BT10" s="351">
        <v>34</v>
      </c>
      <c r="BU10" s="351">
        <v>32</v>
      </c>
      <c r="BV10" s="351">
        <v>32</v>
      </c>
      <c r="BW10" s="351">
        <v>32</v>
      </c>
      <c r="BX10" s="351">
        <v>32</v>
      </c>
      <c r="BY10" s="361">
        <v>2.65967e-5</v>
      </c>
      <c r="BZ10" s="361">
        <v>-3.30028e-8</v>
      </c>
      <c r="CA10" s="361">
        <v>-2.13498e-10</v>
      </c>
      <c r="CB10" s="361">
        <v>3.3559e-5</v>
      </c>
      <c r="CC10" s="361">
        <v>4.18229e-8</v>
      </c>
      <c r="CD10" s="361">
        <v>0.0448973</v>
      </c>
      <c r="CE10" s="367">
        <v>1</v>
      </c>
      <c r="CF10" s="367">
        <v>1</v>
      </c>
      <c r="CG10" s="367">
        <v>1</v>
      </c>
      <c r="CH10" s="367">
        <v>1</v>
      </c>
      <c r="CI10" s="367">
        <v>2</v>
      </c>
      <c r="CJ10" s="367">
        <v>1</v>
      </c>
      <c r="CK10" s="367"/>
      <c r="CL10" s="367"/>
      <c r="CM10" s="367">
        <v>184</v>
      </c>
      <c r="CN10" s="367">
        <v>216</v>
      </c>
      <c r="CO10" s="351"/>
      <c r="CP10" s="351"/>
      <c r="CQ10" s="351">
        <v>206</v>
      </c>
      <c r="CR10" s="351">
        <v>208</v>
      </c>
      <c r="CS10" s="351"/>
      <c r="CT10" s="351"/>
      <c r="CU10" s="371">
        <v>202.844096</v>
      </c>
      <c r="CV10" s="371">
        <v>204.511132</v>
      </c>
      <c r="CW10" s="371">
        <v>205.321102</v>
      </c>
      <c r="CX10" s="371">
        <v>206.097983</v>
      </c>
      <c r="CY10" s="371">
        <v>206.547486915</v>
      </c>
      <c r="CZ10" s="371">
        <v>206.791444195</v>
      </c>
      <c r="DA10" s="371">
        <v>207.052490015</v>
      </c>
      <c r="DB10" s="371">
        <v>207.2533575</v>
      </c>
      <c r="DC10" s="371">
        <v>207.4499021</v>
      </c>
      <c r="DD10" s="371">
        <v>207.48698005</v>
      </c>
      <c r="DE10" s="371">
        <v>207.5152072</v>
      </c>
      <c r="DF10" s="371">
        <v>207.617235</v>
      </c>
      <c r="DG10" s="371">
        <v>207.68985825</v>
      </c>
      <c r="DH10" s="371">
        <v>207.9351736</v>
      </c>
      <c r="DI10" s="371">
        <v>208.057549105</v>
      </c>
      <c r="DJ10" s="371">
        <v>208.208472167</v>
      </c>
      <c r="DK10" s="371">
        <v>208.502628</v>
      </c>
      <c r="DL10" s="371">
        <v>208.8954465</v>
      </c>
      <c r="DM10" s="371">
        <v>209.4789582</v>
      </c>
      <c r="DN10" s="371">
        <v>209.77862</v>
      </c>
      <c r="DO10" s="371">
        <v>210.09342195</v>
      </c>
      <c r="DP10" s="375">
        <v>0.24</v>
      </c>
      <c r="DQ10" s="367">
        <v>118</v>
      </c>
      <c r="DR10" s="367"/>
      <c r="DS10" s="379">
        <v>18.5</v>
      </c>
      <c r="DT10" s="379">
        <v>7</v>
      </c>
      <c r="DU10" s="357"/>
      <c r="DV10" s="357"/>
      <c r="DW10" s="347"/>
      <c r="DX10" s="378">
        <v>0.331</v>
      </c>
      <c r="DY10" s="347"/>
      <c r="DZ10" s="334">
        <v>4.63</v>
      </c>
      <c r="EA10" s="384"/>
      <c r="EB10" s="384"/>
      <c r="EC10" s="384"/>
      <c r="ED10" s="384">
        <v>0.849</v>
      </c>
      <c r="EE10" s="384">
        <v>0.911</v>
      </c>
      <c r="EF10" s="384">
        <v>0.906</v>
      </c>
      <c r="EG10" s="384">
        <v>0.9</v>
      </c>
      <c r="EH10" s="384">
        <v>0.954</v>
      </c>
      <c r="EI10" s="384">
        <v>0.979</v>
      </c>
      <c r="EJ10" s="384">
        <v>0.989</v>
      </c>
      <c r="EK10" s="383"/>
      <c r="EL10" s="384">
        <v>0.992</v>
      </c>
      <c r="EM10" s="383"/>
      <c r="EN10" s="384">
        <v>0.994</v>
      </c>
      <c r="EO10" s="384">
        <v>0.996</v>
      </c>
      <c r="EP10" s="384">
        <v>0.997</v>
      </c>
      <c r="EQ10" s="384">
        <v>0.997</v>
      </c>
      <c r="ER10" s="384">
        <v>0.997</v>
      </c>
      <c r="ES10" s="384">
        <v>0.996</v>
      </c>
      <c r="ET10" s="384">
        <v>0.997</v>
      </c>
      <c r="EU10" s="384">
        <v>0.997</v>
      </c>
      <c r="EV10" s="384">
        <v>0.996</v>
      </c>
      <c r="EW10" s="384">
        <v>0.996</v>
      </c>
      <c r="EX10" s="384">
        <v>0.996</v>
      </c>
      <c r="EY10" s="384"/>
      <c r="EZ10" s="384">
        <v>0.996</v>
      </c>
      <c r="FA10" s="384"/>
      <c r="FB10" s="384">
        <v>0.996</v>
      </c>
      <c r="FC10" s="384"/>
      <c r="FD10" s="384">
        <v>0.996</v>
      </c>
      <c r="FE10" s="384"/>
      <c r="FF10" s="384">
        <v>0.995</v>
      </c>
      <c r="FG10" s="384"/>
      <c r="FH10" s="383"/>
      <c r="FI10" s="384">
        <v>0.996</v>
      </c>
      <c r="FJ10" s="384"/>
      <c r="FK10" s="384">
        <v>0.994</v>
      </c>
      <c r="FL10" s="384"/>
      <c r="FM10" s="384">
        <v>0.992</v>
      </c>
      <c r="FN10" s="383"/>
      <c r="FO10" s="384">
        <v>0.99</v>
      </c>
      <c r="FP10" s="384"/>
      <c r="FQ10" s="383"/>
      <c r="FR10" s="383"/>
      <c r="FS10" s="383"/>
      <c r="FT10" s="383"/>
      <c r="FU10" s="383"/>
      <c r="FV10" s="383"/>
      <c r="FW10" s="383"/>
      <c r="FX10" s="384"/>
      <c r="FY10" s="384"/>
      <c r="FZ10" s="384"/>
      <c r="GA10" s="392">
        <f t="shared" si="1"/>
        <v>0.441101415279249</v>
      </c>
      <c r="GB10" s="392">
        <f t="shared" si="2"/>
        <v>0.627468437145551</v>
      </c>
      <c r="GC10" s="392">
        <f t="shared" si="3"/>
        <v>0.610437195439776</v>
      </c>
      <c r="GD10" s="392">
        <f t="shared" si="4"/>
        <v>0.59049</v>
      </c>
      <c r="GE10" s="392">
        <f t="shared" si="5"/>
        <v>0.790208821317024</v>
      </c>
      <c r="GF10" s="392">
        <f t="shared" si="6"/>
        <v>0.899318358320899</v>
      </c>
      <c r="GG10" s="392">
        <f t="shared" si="7"/>
        <v>0.946196763043949</v>
      </c>
      <c r="GH10" s="392"/>
      <c r="GI10" s="392">
        <f t="shared" si="8"/>
        <v>0.960634900447232</v>
      </c>
      <c r="GJ10" s="392"/>
      <c r="GK10" s="392">
        <f t="shared" si="9"/>
        <v>0.970357846472224</v>
      </c>
      <c r="GL10" s="392">
        <f t="shared" si="10"/>
        <v>0.980159361278976</v>
      </c>
      <c r="GM10" s="392">
        <f t="shared" si="11"/>
        <v>0.985089730404757</v>
      </c>
      <c r="GN10" s="392">
        <f t="shared" si="12"/>
        <v>0.985089730404757</v>
      </c>
      <c r="GO10" s="392">
        <f t="shared" si="13"/>
        <v>0.985089730404757</v>
      </c>
      <c r="GP10" s="392">
        <f t="shared" si="14"/>
        <v>0.980159361278976</v>
      </c>
      <c r="GQ10" s="392">
        <f t="shared" si="15"/>
        <v>0.985089730404757</v>
      </c>
      <c r="GR10" s="392">
        <f t="shared" si="16"/>
        <v>0.985089730404757</v>
      </c>
      <c r="GS10" s="392">
        <f t="shared" si="17"/>
        <v>0.980159361278976</v>
      </c>
      <c r="GT10" s="392">
        <f t="shared" si="18"/>
        <v>0.980159361278976</v>
      </c>
      <c r="GU10" s="392">
        <f t="shared" si="19"/>
        <v>0.980159361278976</v>
      </c>
      <c r="GV10" s="392"/>
      <c r="GW10" s="392">
        <f t="shared" si="20"/>
        <v>0.980159361278976</v>
      </c>
      <c r="GX10" s="392"/>
      <c r="GY10" s="392">
        <f t="shared" si="21"/>
        <v>0.980159361278976</v>
      </c>
      <c r="GZ10" s="392"/>
      <c r="HA10" s="392">
        <f t="shared" si="22"/>
        <v>0.980159361278976</v>
      </c>
      <c r="HB10" s="392"/>
      <c r="HC10" s="392">
        <f t="shared" si="23"/>
        <v>0.975248753121875</v>
      </c>
      <c r="HD10" s="392"/>
      <c r="HE10" s="392"/>
      <c r="HF10" s="392">
        <f t="shared" si="24"/>
        <v>0.980159361278976</v>
      </c>
      <c r="HG10" s="392"/>
      <c r="HH10" s="392">
        <f t="shared" si="25"/>
        <v>0.970357846472224</v>
      </c>
      <c r="HI10" s="392"/>
      <c r="HJ10" s="392">
        <f t="shared" si="26"/>
        <v>0.960634900447232</v>
      </c>
      <c r="HK10" s="392"/>
      <c r="HL10" s="392">
        <f t="shared" si="27"/>
        <v>0.9509900499</v>
      </c>
      <c r="HM10" s="392"/>
      <c r="HN10" s="392"/>
      <c r="HO10" s="392"/>
      <c r="HP10" s="392"/>
      <c r="HQ10" s="384"/>
      <c r="HR10" s="384"/>
      <c r="HS10" s="383"/>
      <c r="HT10" s="383"/>
      <c r="HU10" s="332" t="s">
        <v>1891</v>
      </c>
      <c r="HV10" s="332">
        <v>10</v>
      </c>
      <c r="HW10" s="332" t="s">
        <v>282</v>
      </c>
      <c r="HX10" s="394" t="s">
        <v>1900</v>
      </c>
      <c r="HY10" s="396"/>
      <c r="HZ10" s="396"/>
    </row>
    <row r="11" s="327" customFormat="1" spans="1:234">
      <c r="A11" s="333">
        <v>8</v>
      </c>
      <c r="B11" s="336" t="s">
        <v>1902</v>
      </c>
      <c r="C11" s="333" t="s">
        <v>1903</v>
      </c>
      <c r="D11" s="334"/>
      <c r="E11" s="334"/>
      <c r="F11" s="334">
        <v>154.57</v>
      </c>
      <c r="G11" s="335"/>
      <c r="H11" s="335">
        <v>0.0081</v>
      </c>
      <c r="I11" s="335">
        <v>0.0104</v>
      </c>
      <c r="J11" s="335"/>
      <c r="K11" s="335"/>
      <c r="L11" s="338"/>
      <c r="M11" s="335"/>
      <c r="N11" s="338"/>
      <c r="O11" s="338"/>
      <c r="P11" s="338"/>
      <c r="Q11" s="338"/>
      <c r="R11" s="338">
        <v>2.6413</v>
      </c>
      <c r="S11" s="338"/>
      <c r="T11" s="335">
        <v>2.6271</v>
      </c>
      <c r="U11" s="338"/>
      <c r="V11" s="340">
        <v>2.6219</v>
      </c>
      <c r="W11" s="338"/>
      <c r="X11" s="338">
        <v>2.619</v>
      </c>
      <c r="Y11" s="335"/>
      <c r="Z11" s="338">
        <v>2.6168</v>
      </c>
      <c r="AA11" s="338"/>
      <c r="AB11" s="338">
        <v>2.6149</v>
      </c>
      <c r="AC11" s="338">
        <v>2.613</v>
      </c>
      <c r="AD11" s="338">
        <v>2.611</v>
      </c>
      <c r="AE11" s="338">
        <v>2.6089</v>
      </c>
      <c r="AF11" s="335">
        <v>2.6075</v>
      </c>
      <c r="AG11" s="338">
        <v>2.6066</v>
      </c>
      <c r="AH11" s="340">
        <v>2.604</v>
      </c>
      <c r="AI11" s="338">
        <v>2.6026</v>
      </c>
      <c r="AJ11" s="338">
        <v>2.6011</v>
      </c>
      <c r="AK11" s="338">
        <v>2.5979</v>
      </c>
      <c r="AL11" s="338"/>
      <c r="AM11" s="341">
        <v>2.617854</v>
      </c>
      <c r="AN11" s="341">
        <v>0.087753077</v>
      </c>
      <c r="AO11" s="341">
        <v>0.027480087</v>
      </c>
      <c r="AP11" s="341">
        <v>-9.7270254e-5</v>
      </c>
      <c r="AQ11" s="341">
        <v>1.2742318e-8</v>
      </c>
      <c r="AR11" s="341">
        <v>-2.4376453e-10</v>
      </c>
      <c r="AS11" s="344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51"/>
      <c r="BP11" s="353"/>
      <c r="BQ11" s="353"/>
      <c r="BR11" s="354">
        <v>18</v>
      </c>
      <c r="BS11" s="354"/>
      <c r="BT11" s="354">
        <v>17</v>
      </c>
      <c r="BU11" s="354">
        <v>17</v>
      </c>
      <c r="BV11" s="354">
        <v>17</v>
      </c>
      <c r="BW11" s="354"/>
      <c r="BX11" s="354"/>
      <c r="BY11" s="361">
        <v>1.45032e-5</v>
      </c>
      <c r="BZ11" s="361">
        <v>3.49366e-8</v>
      </c>
      <c r="CA11" s="361">
        <v>2.4919e-10</v>
      </c>
      <c r="CB11" s="361">
        <v>1.32518e-5</v>
      </c>
      <c r="CC11" s="361">
        <v>2.46745e-8</v>
      </c>
      <c r="CD11" s="361">
        <v>0.973196</v>
      </c>
      <c r="CE11" s="368">
        <v>1</v>
      </c>
      <c r="CF11" s="368">
        <v>1</v>
      </c>
      <c r="CG11" s="368">
        <v>1</v>
      </c>
      <c r="CH11" s="368">
        <v>1</v>
      </c>
      <c r="CI11" s="368">
        <v>1</v>
      </c>
      <c r="CJ11" s="368">
        <v>1</v>
      </c>
      <c r="CK11" s="368"/>
      <c r="CL11" s="368"/>
      <c r="CM11" s="367">
        <v>228</v>
      </c>
      <c r="CN11" s="367">
        <v>281</v>
      </c>
      <c r="CO11" s="354"/>
      <c r="CP11" s="354"/>
      <c r="CQ11" s="351">
        <v>206</v>
      </c>
      <c r="CR11" s="351">
        <v>209</v>
      </c>
      <c r="CS11" s="354"/>
      <c r="CT11" s="354"/>
      <c r="CU11" s="371">
        <v>198.692101701832</v>
      </c>
      <c r="CV11" s="371">
        <v>201.386213892052</v>
      </c>
      <c r="CW11" s="371">
        <v>203.09559782853</v>
      </c>
      <c r="CX11" s="371">
        <v>204.146280927766</v>
      </c>
      <c r="CY11" s="371">
        <v>204.849979319376</v>
      </c>
      <c r="CZ11" s="371">
        <v>205.381861894354</v>
      </c>
      <c r="DA11" s="371">
        <v>205.943916713394</v>
      </c>
      <c r="DB11" s="371">
        <v>206.387100778795</v>
      </c>
      <c r="DC11" s="371">
        <v>207.02816719272</v>
      </c>
      <c r="DD11" s="371">
        <v>207.582928780758</v>
      </c>
      <c r="DE11" s="371">
        <v>208.169988267459</v>
      </c>
      <c r="DF11" s="371">
        <v>208.548694950359</v>
      </c>
      <c r="DG11" s="371">
        <v>208.769216791978</v>
      </c>
      <c r="DH11" s="371">
        <v>209.434494163059</v>
      </c>
      <c r="DI11" s="371">
        <v>209.956971868668</v>
      </c>
      <c r="DJ11" s="371">
        <v>210.643949460681</v>
      </c>
      <c r="DK11" s="371">
        <v>211.448465735438</v>
      </c>
      <c r="DL11" s="371">
        <v>212.589621320558</v>
      </c>
      <c r="DM11" s="371">
        <v>213.523453807199</v>
      </c>
      <c r="DN11" s="371">
        <v>214.364771265068</v>
      </c>
      <c r="DO11" s="371">
        <v>214.596515126985</v>
      </c>
      <c r="DP11" s="376">
        <v>0.37</v>
      </c>
      <c r="DQ11" s="368">
        <v>126</v>
      </c>
      <c r="DR11" s="368"/>
      <c r="DS11" s="380">
        <v>15.6</v>
      </c>
      <c r="DT11" s="380">
        <v>6.1</v>
      </c>
      <c r="DU11" s="357"/>
      <c r="DV11" s="357"/>
      <c r="DW11" s="347"/>
      <c r="DX11" s="381">
        <v>0.287</v>
      </c>
      <c r="DY11" s="347"/>
      <c r="DZ11" s="386">
        <v>4.49</v>
      </c>
      <c r="EA11" s="384"/>
      <c r="EB11" s="384"/>
      <c r="EC11" s="384"/>
      <c r="ED11" s="384">
        <v>0.526</v>
      </c>
      <c r="EE11" s="384">
        <v>0.865</v>
      </c>
      <c r="EF11" s="384">
        <v>0.912</v>
      </c>
      <c r="EG11" s="384">
        <v>0.902</v>
      </c>
      <c r="EH11" s="384">
        <v>0.853</v>
      </c>
      <c r="EI11" s="384">
        <v>0.873</v>
      </c>
      <c r="EJ11" s="384">
        <v>0.941</v>
      </c>
      <c r="EK11" s="383"/>
      <c r="EL11" s="384">
        <v>0.983</v>
      </c>
      <c r="EM11" s="383"/>
      <c r="EN11" s="384">
        <v>0.99</v>
      </c>
      <c r="EO11" s="384">
        <v>0.996</v>
      </c>
      <c r="EP11" s="384">
        <v>0.998</v>
      </c>
      <c r="EQ11" s="384">
        <v>0.998</v>
      </c>
      <c r="ER11" s="384">
        <v>0.992</v>
      </c>
      <c r="ES11" s="384">
        <v>0.996</v>
      </c>
      <c r="ET11" s="384">
        <v>0.997</v>
      </c>
      <c r="EU11" s="384">
        <v>0.998</v>
      </c>
      <c r="EV11" s="384">
        <v>0.998</v>
      </c>
      <c r="EW11" s="384">
        <v>0.996</v>
      </c>
      <c r="EX11" s="384">
        <v>0.985</v>
      </c>
      <c r="EY11" s="383"/>
      <c r="EZ11" s="384">
        <v>0.982</v>
      </c>
      <c r="FA11" s="384"/>
      <c r="FB11" s="384">
        <v>0.996</v>
      </c>
      <c r="FC11" s="384"/>
      <c r="FD11" s="384">
        <v>0.996</v>
      </c>
      <c r="FE11" s="384"/>
      <c r="FF11" s="384">
        <v>0.995</v>
      </c>
      <c r="FG11" s="384"/>
      <c r="FH11" s="384"/>
      <c r="FI11" s="384">
        <v>0.996</v>
      </c>
      <c r="FJ11" s="384"/>
      <c r="FK11" s="384">
        <v>0.994</v>
      </c>
      <c r="FL11" s="384"/>
      <c r="FM11" s="384">
        <v>0.992</v>
      </c>
      <c r="FN11" s="384"/>
      <c r="FO11" s="384">
        <v>0.99</v>
      </c>
      <c r="FP11" s="384"/>
      <c r="FQ11" s="383"/>
      <c r="FR11" s="383"/>
      <c r="FS11" s="383"/>
      <c r="FT11" s="383"/>
      <c r="FU11" s="383"/>
      <c r="FV11" s="383"/>
      <c r="FW11" s="383"/>
      <c r="FX11" s="384"/>
      <c r="FY11" s="384"/>
      <c r="FZ11" s="384"/>
      <c r="GA11" s="392">
        <f t="shared" si="1"/>
        <v>0.040265094321376</v>
      </c>
      <c r="GB11" s="392">
        <f t="shared" si="2"/>
        <v>0.484262162790625</v>
      </c>
      <c r="GC11" s="392">
        <f t="shared" si="3"/>
        <v>0.630919850360832</v>
      </c>
      <c r="GD11" s="392">
        <f t="shared" si="4"/>
        <v>0.597080224872032</v>
      </c>
      <c r="GE11" s="392">
        <f t="shared" si="5"/>
        <v>0.451590872919493</v>
      </c>
      <c r="GF11" s="392">
        <f t="shared" si="6"/>
        <v>0.507073854835593</v>
      </c>
      <c r="GG11" s="392">
        <f t="shared" si="7"/>
        <v>0.737816081880701</v>
      </c>
      <c r="GH11" s="392"/>
      <c r="GI11" s="392">
        <f t="shared" si="8"/>
        <v>0.917841286185143</v>
      </c>
      <c r="GJ11" s="392"/>
      <c r="GK11" s="392">
        <f t="shared" si="9"/>
        <v>0.9509900499</v>
      </c>
      <c r="GL11" s="392">
        <f t="shared" si="10"/>
        <v>0.980159361278976</v>
      </c>
      <c r="GM11" s="392">
        <f t="shared" si="11"/>
        <v>0.990039920079968</v>
      </c>
      <c r="GN11" s="392">
        <f t="shared" si="12"/>
        <v>0.990039920079968</v>
      </c>
      <c r="GO11" s="392">
        <f t="shared" si="13"/>
        <v>0.960634900447232</v>
      </c>
      <c r="GP11" s="392">
        <f t="shared" si="14"/>
        <v>0.980159361278976</v>
      </c>
      <c r="GQ11" s="392">
        <f t="shared" si="15"/>
        <v>0.985089730404757</v>
      </c>
      <c r="GR11" s="392">
        <f t="shared" si="16"/>
        <v>0.990039920079968</v>
      </c>
      <c r="GS11" s="392">
        <f t="shared" si="17"/>
        <v>0.990039920079968</v>
      </c>
      <c r="GT11" s="392">
        <f t="shared" si="18"/>
        <v>0.980159361278976</v>
      </c>
      <c r="GU11" s="392">
        <f t="shared" si="19"/>
        <v>0.927216502365625</v>
      </c>
      <c r="GV11" s="392"/>
      <c r="GW11" s="392">
        <f t="shared" si="20"/>
        <v>0.913182202990432</v>
      </c>
      <c r="GX11" s="392"/>
      <c r="GY11" s="392">
        <f t="shared" si="21"/>
        <v>0.980159361278976</v>
      </c>
      <c r="GZ11" s="392"/>
      <c r="HA11" s="392">
        <f t="shared" si="22"/>
        <v>0.980159361278976</v>
      </c>
      <c r="HB11" s="392"/>
      <c r="HC11" s="392">
        <f t="shared" si="23"/>
        <v>0.975248753121875</v>
      </c>
      <c r="HD11" s="392"/>
      <c r="HE11" s="392"/>
      <c r="HF11" s="392">
        <f t="shared" si="24"/>
        <v>0.980159361278976</v>
      </c>
      <c r="HG11" s="392"/>
      <c r="HH11" s="392">
        <f t="shared" si="25"/>
        <v>0.970357846472224</v>
      </c>
      <c r="HI11" s="392"/>
      <c r="HJ11" s="392">
        <f t="shared" si="26"/>
        <v>0.960634900447232</v>
      </c>
      <c r="HK11" s="392"/>
      <c r="HL11" s="392">
        <f t="shared" si="27"/>
        <v>0.9509900499</v>
      </c>
      <c r="HM11" s="392"/>
      <c r="HN11" s="392"/>
      <c r="HO11" s="392"/>
      <c r="HP11" s="392"/>
      <c r="HQ11" s="384"/>
      <c r="HR11" s="384"/>
      <c r="HS11" s="383"/>
      <c r="HT11" s="383"/>
      <c r="HU11" s="332" t="s">
        <v>1891</v>
      </c>
      <c r="HV11" s="332">
        <v>12</v>
      </c>
      <c r="HW11" s="332" t="s">
        <v>303</v>
      </c>
      <c r="HX11" s="394" t="s">
        <v>1902</v>
      </c>
      <c r="HY11" s="396"/>
      <c r="HZ11" s="396"/>
    </row>
    <row r="12" s="327" customFormat="1" spans="1:234">
      <c r="A12" s="333">
        <v>9</v>
      </c>
      <c r="B12" s="333" t="s">
        <v>1904</v>
      </c>
      <c r="C12" s="333" t="s">
        <v>1905</v>
      </c>
      <c r="D12" s="334"/>
      <c r="E12" s="334">
        <v>159.19</v>
      </c>
      <c r="F12" s="334"/>
      <c r="G12" s="335"/>
      <c r="H12" s="335">
        <v>0.0089</v>
      </c>
      <c r="I12" s="335"/>
      <c r="J12" s="335">
        <v>2.6133</v>
      </c>
      <c r="K12" s="335">
        <v>2.5652</v>
      </c>
      <c r="L12" s="335">
        <v>2.5121</v>
      </c>
      <c r="M12" s="335">
        <v>2.5023</v>
      </c>
      <c r="N12" s="335">
        <v>2.4816</v>
      </c>
      <c r="O12" s="335"/>
      <c r="P12" s="335">
        <v>2.4437</v>
      </c>
      <c r="Q12" s="335"/>
      <c r="R12" s="335">
        <v>2.4318</v>
      </c>
      <c r="S12" s="335">
        <v>2.4255</v>
      </c>
      <c r="T12" s="335">
        <v>2.4217</v>
      </c>
      <c r="U12" s="335"/>
      <c r="V12" s="335">
        <v>2.4168</v>
      </c>
      <c r="W12" s="335"/>
      <c r="X12" s="335">
        <v>2.4128</v>
      </c>
      <c r="Y12" s="335"/>
      <c r="Z12" s="335">
        <v>2.4087</v>
      </c>
      <c r="AA12" s="335"/>
      <c r="AB12" s="335">
        <v>2.4043</v>
      </c>
      <c r="AC12" s="335">
        <v>2.3994</v>
      </c>
      <c r="AD12" s="335">
        <v>2.3936</v>
      </c>
      <c r="AE12" s="335">
        <v>2.387</v>
      </c>
      <c r="AF12" s="335"/>
      <c r="AG12" s="335">
        <v>2.3793</v>
      </c>
      <c r="AH12" s="335">
        <v>2.37</v>
      </c>
      <c r="AI12" s="335"/>
      <c r="AJ12" s="335"/>
      <c r="AK12" s="335"/>
      <c r="AL12" s="335"/>
      <c r="AM12" s="341">
        <v>2.4180937</v>
      </c>
      <c r="AN12" s="341">
        <v>0.058099763</v>
      </c>
      <c r="AO12" s="341">
        <v>0.0054197832</v>
      </c>
      <c r="AP12" s="341">
        <v>-0.00031062129</v>
      </c>
      <c r="AQ12" s="341">
        <v>2.295558e-7</v>
      </c>
      <c r="AR12" s="341">
        <v>-2.8583874e-9</v>
      </c>
      <c r="AS12" s="347"/>
      <c r="AT12" s="347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55"/>
      <c r="BP12" s="356"/>
      <c r="BQ12" s="352"/>
      <c r="BR12" s="357">
        <v>-1.4</v>
      </c>
      <c r="BS12" s="358"/>
      <c r="BT12" s="357">
        <v>-2.8</v>
      </c>
      <c r="BU12" s="357">
        <v>-3.9</v>
      </c>
      <c r="BV12" s="357">
        <v>-4</v>
      </c>
      <c r="BW12" s="357">
        <v>-4.2</v>
      </c>
      <c r="BX12" s="351"/>
      <c r="BY12" s="362">
        <v>-4.64123e-6</v>
      </c>
      <c r="BZ12" s="362">
        <v>4.63395e-9</v>
      </c>
      <c r="CA12" s="362">
        <v>2.54086e-11</v>
      </c>
      <c r="CB12" s="362">
        <v>2.4681e-5</v>
      </c>
      <c r="CC12" s="362">
        <v>4.44783e-8</v>
      </c>
      <c r="CD12" s="362">
        <v>5.91022e-8</v>
      </c>
      <c r="CE12" s="367">
        <v>1</v>
      </c>
      <c r="CF12" s="367">
        <v>1</v>
      </c>
      <c r="CG12" s="367">
        <v>1</v>
      </c>
      <c r="CH12" s="367">
        <v>1</v>
      </c>
      <c r="CI12" s="367">
        <v>4</v>
      </c>
      <c r="CJ12" s="367">
        <v>2</v>
      </c>
      <c r="CK12" s="367"/>
      <c r="CL12" s="367"/>
      <c r="CM12" s="367">
        <v>205</v>
      </c>
      <c r="CN12" s="367">
        <v>227</v>
      </c>
      <c r="CO12" s="351"/>
      <c r="CP12" s="351"/>
      <c r="CQ12" s="351">
        <v>218</v>
      </c>
      <c r="CR12" s="351">
        <v>221</v>
      </c>
      <c r="CS12" s="351"/>
      <c r="CT12" s="351"/>
      <c r="CU12" s="351">
        <v>209</v>
      </c>
      <c r="CV12" s="351">
        <v>210</v>
      </c>
      <c r="CW12" s="351">
        <v>212</v>
      </c>
      <c r="CX12" s="355">
        <v>213</v>
      </c>
      <c r="CY12" s="355">
        <v>214</v>
      </c>
      <c r="CZ12" s="355">
        <v>215</v>
      </c>
      <c r="DA12" s="355">
        <v>216</v>
      </c>
      <c r="DB12" s="355">
        <v>217</v>
      </c>
      <c r="DC12" s="355">
        <v>218</v>
      </c>
      <c r="DD12" s="355">
        <v>218</v>
      </c>
      <c r="DE12" s="355">
        <v>219</v>
      </c>
      <c r="DF12" s="355">
        <v>220</v>
      </c>
      <c r="DG12" s="355">
        <v>221</v>
      </c>
      <c r="DH12" s="355">
        <v>222</v>
      </c>
      <c r="DI12" s="355">
        <v>223</v>
      </c>
      <c r="DJ12" s="355">
        <v>224</v>
      </c>
      <c r="DK12" s="355">
        <v>231</v>
      </c>
      <c r="DL12" s="355">
        <v>236</v>
      </c>
      <c r="DM12" s="355">
        <v>241</v>
      </c>
      <c r="DN12" s="355">
        <v>246</v>
      </c>
      <c r="DO12" s="355">
        <v>254</v>
      </c>
      <c r="DP12" s="377"/>
      <c r="DQ12" s="367">
        <v>112</v>
      </c>
      <c r="DR12" s="367"/>
      <c r="DS12" s="379">
        <v>17.1</v>
      </c>
      <c r="DT12" s="379">
        <v>6.5</v>
      </c>
      <c r="DU12" s="357"/>
      <c r="DV12" s="357"/>
      <c r="DW12" s="347"/>
      <c r="DX12" s="378">
        <v>0.3</v>
      </c>
      <c r="DY12" s="347"/>
      <c r="DZ12" s="334">
        <v>3.19</v>
      </c>
      <c r="EA12" s="383"/>
      <c r="EB12" s="383"/>
      <c r="EC12" s="383"/>
      <c r="ED12" s="383"/>
      <c r="EE12" s="383"/>
      <c r="EF12" s="383"/>
      <c r="EG12" s="383"/>
      <c r="EH12" s="383"/>
      <c r="EI12" s="383">
        <v>0.678</v>
      </c>
      <c r="EJ12" s="383">
        <v>0.82</v>
      </c>
      <c r="EK12" s="383">
        <v>0.795</v>
      </c>
      <c r="EL12" s="383">
        <v>0.928</v>
      </c>
      <c r="EM12" s="383">
        <v>0.929</v>
      </c>
      <c r="EN12" s="383">
        <v>0.916</v>
      </c>
      <c r="EO12" s="383">
        <v>0.932</v>
      </c>
      <c r="EP12" s="383">
        <v>0.967</v>
      </c>
      <c r="EQ12" s="383">
        <v>0.992</v>
      </c>
      <c r="ER12" s="383">
        <v>0.999</v>
      </c>
      <c r="ES12" s="383">
        <v>0.999</v>
      </c>
      <c r="ET12" s="383">
        <v>0.999</v>
      </c>
      <c r="EU12" s="383">
        <v>0.999</v>
      </c>
      <c r="EV12" s="383">
        <v>0.999</v>
      </c>
      <c r="EW12" s="383">
        <v>0.999</v>
      </c>
      <c r="EX12" s="383">
        <v>0.999</v>
      </c>
      <c r="EY12" s="383"/>
      <c r="EZ12" s="383">
        <v>0.999</v>
      </c>
      <c r="FA12" s="383"/>
      <c r="FB12" s="383">
        <v>0.999</v>
      </c>
      <c r="FC12" s="383"/>
      <c r="FD12" s="383">
        <v>0.999</v>
      </c>
      <c r="FE12" s="383"/>
      <c r="FF12" s="383">
        <v>0.999</v>
      </c>
      <c r="FG12" s="383"/>
      <c r="FH12" s="383"/>
      <c r="FI12" s="383">
        <v>0.999</v>
      </c>
      <c r="FJ12" s="383"/>
      <c r="FK12" s="383">
        <v>0.999</v>
      </c>
      <c r="FL12" s="383"/>
      <c r="FM12" s="383">
        <v>0.999</v>
      </c>
      <c r="FN12" s="383"/>
      <c r="FO12" s="383">
        <v>0.999</v>
      </c>
      <c r="FP12" s="383">
        <v>0.999</v>
      </c>
      <c r="FQ12" s="383"/>
      <c r="FR12" s="383">
        <v>0.996</v>
      </c>
      <c r="FS12" s="383">
        <v>0.833</v>
      </c>
      <c r="FT12" s="383"/>
      <c r="FU12" s="383"/>
      <c r="FV12" s="383"/>
      <c r="FW12" s="383"/>
      <c r="FX12" s="383"/>
      <c r="FY12" s="383"/>
      <c r="FZ12" s="383"/>
      <c r="GA12" s="392"/>
      <c r="GB12" s="392"/>
      <c r="GC12" s="392"/>
      <c r="GD12" s="392"/>
      <c r="GE12" s="392"/>
      <c r="GF12" s="392">
        <f t="shared" si="6"/>
        <v>0.143267759542368</v>
      </c>
      <c r="GG12" s="392">
        <f t="shared" si="7"/>
        <v>0.3707398432</v>
      </c>
      <c r="GH12" s="392">
        <f>EK12^5</f>
        <v>0.317567202496875</v>
      </c>
      <c r="GI12" s="392">
        <f t="shared" si="8"/>
        <v>0.688239954362368</v>
      </c>
      <c r="GJ12" s="392">
        <f>EM12^5</f>
        <v>0.691956144175649</v>
      </c>
      <c r="GK12" s="392">
        <f t="shared" si="9"/>
        <v>0.644877713560576</v>
      </c>
      <c r="GL12" s="392">
        <f t="shared" si="10"/>
        <v>0.703201132946432</v>
      </c>
      <c r="GM12" s="392">
        <f t="shared" si="11"/>
        <v>0.845536520469607</v>
      </c>
      <c r="GN12" s="392">
        <f t="shared" si="12"/>
        <v>0.960634900447232</v>
      </c>
      <c r="GO12" s="392">
        <f t="shared" si="13"/>
        <v>0.995009990004999</v>
      </c>
      <c r="GP12" s="392">
        <f t="shared" si="14"/>
        <v>0.995009990004999</v>
      </c>
      <c r="GQ12" s="392">
        <f t="shared" si="15"/>
        <v>0.995009990004999</v>
      </c>
      <c r="GR12" s="392">
        <f t="shared" si="16"/>
        <v>0.995009990004999</v>
      </c>
      <c r="GS12" s="392">
        <f t="shared" si="17"/>
        <v>0.995009990004999</v>
      </c>
      <c r="GT12" s="392">
        <f t="shared" si="18"/>
        <v>0.995009990004999</v>
      </c>
      <c r="GU12" s="392">
        <f t="shared" si="19"/>
        <v>0.995009990004999</v>
      </c>
      <c r="GV12" s="392"/>
      <c r="GW12" s="392">
        <f t="shared" si="20"/>
        <v>0.995009990004999</v>
      </c>
      <c r="GX12" s="392"/>
      <c r="GY12" s="392">
        <f t="shared" si="21"/>
        <v>0.995009990004999</v>
      </c>
      <c r="GZ12" s="392"/>
      <c r="HA12" s="392">
        <f t="shared" si="22"/>
        <v>0.995009990004999</v>
      </c>
      <c r="HB12" s="392"/>
      <c r="HC12" s="392">
        <f t="shared" si="23"/>
        <v>0.995009990004999</v>
      </c>
      <c r="HD12" s="392"/>
      <c r="HE12" s="392"/>
      <c r="HF12" s="392">
        <f t="shared" si="24"/>
        <v>0.995009990004999</v>
      </c>
      <c r="HG12" s="392"/>
      <c r="HH12" s="392">
        <f t="shared" si="25"/>
        <v>0.995009990004999</v>
      </c>
      <c r="HI12" s="392"/>
      <c r="HJ12" s="392">
        <f t="shared" si="26"/>
        <v>0.995009990004999</v>
      </c>
      <c r="HK12" s="392"/>
      <c r="HL12" s="392">
        <f t="shared" si="27"/>
        <v>0.995009990004999</v>
      </c>
      <c r="HM12" s="392">
        <f>FP12^5</f>
        <v>0.995009990004999</v>
      </c>
      <c r="HN12" s="392"/>
      <c r="HO12" s="392">
        <f>FR12^5</f>
        <v>0.980159361278976</v>
      </c>
      <c r="HP12" s="392">
        <f>FS12^5</f>
        <v>0.401074459619393</v>
      </c>
      <c r="HQ12" s="384"/>
      <c r="HR12" s="384"/>
      <c r="HS12" s="383"/>
      <c r="HT12" s="383"/>
      <c r="HU12" s="332" t="s">
        <v>1891</v>
      </c>
      <c r="HV12" s="332">
        <v>12</v>
      </c>
      <c r="HW12" s="332" t="s">
        <v>617</v>
      </c>
      <c r="HX12" s="394" t="s">
        <v>1904</v>
      </c>
      <c r="HY12" s="396"/>
      <c r="HZ12" s="396"/>
    </row>
    <row r="13" s="327" customFormat="1" spans="1:234">
      <c r="A13" s="333">
        <v>10</v>
      </c>
      <c r="B13" s="336" t="s">
        <v>1906</v>
      </c>
      <c r="C13" s="333"/>
      <c r="D13" s="334"/>
      <c r="E13" s="334"/>
      <c r="F13" s="334">
        <v>207.7</v>
      </c>
      <c r="G13" s="335"/>
      <c r="H13" s="335">
        <v>0.0215</v>
      </c>
      <c r="I13" s="335">
        <v>0.0103</v>
      </c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>
        <v>3.1767</v>
      </c>
      <c r="U13" s="335"/>
      <c r="V13" s="335">
        <v>3.1622</v>
      </c>
      <c r="W13" s="335"/>
      <c r="X13" s="335">
        <v>3.1552</v>
      </c>
      <c r="Y13" s="335"/>
      <c r="Z13" s="335">
        <v>3.1507</v>
      </c>
      <c r="AA13" s="335"/>
      <c r="AB13" s="335">
        <v>3.1477</v>
      </c>
      <c r="AC13" s="335">
        <v>3.1452</v>
      </c>
      <c r="AD13" s="335">
        <v>3.1429</v>
      </c>
      <c r="AE13" s="335">
        <v>3.1408</v>
      </c>
      <c r="AF13" s="335">
        <v>3.1393</v>
      </c>
      <c r="AG13" s="335">
        <v>3.1385</v>
      </c>
      <c r="AH13" s="335">
        <v>3.1361</v>
      </c>
      <c r="AI13" s="335">
        <v>3.1349</v>
      </c>
      <c r="AJ13" s="335"/>
      <c r="AK13" s="335"/>
      <c r="AL13" s="335"/>
      <c r="AM13" s="341">
        <v>3.1453861</v>
      </c>
      <c r="AN13" s="341">
        <v>0.28871318</v>
      </c>
      <c r="AO13" s="341">
        <v>-0.017639771</v>
      </c>
      <c r="AP13" s="341">
        <v>-7.2158095e-5</v>
      </c>
      <c r="AQ13" s="341">
        <v>-7.1772673e-9</v>
      </c>
      <c r="AR13" s="341">
        <v>-2.384425e-10</v>
      </c>
      <c r="AS13" s="344"/>
      <c r="AT13" s="344"/>
      <c r="AU13" s="344"/>
      <c r="AV13" s="344"/>
      <c r="AW13" s="344"/>
      <c r="AX13" s="344"/>
      <c r="AY13" s="344"/>
      <c r="AZ13" s="344"/>
      <c r="BA13" s="344"/>
      <c r="BB13" s="344"/>
      <c r="BC13" s="344"/>
      <c r="BD13" s="344"/>
      <c r="BE13" s="344"/>
      <c r="BF13" s="344"/>
      <c r="BG13" s="344"/>
      <c r="BH13" s="344"/>
      <c r="BI13" s="344"/>
      <c r="BJ13" s="344"/>
      <c r="BK13" s="344"/>
      <c r="BL13" s="344"/>
      <c r="BM13" s="344"/>
      <c r="BN13" s="344"/>
      <c r="BO13" s="351"/>
      <c r="BP13" s="352"/>
      <c r="BQ13" s="352"/>
      <c r="BR13" s="351">
        <v>181</v>
      </c>
      <c r="BS13" s="351"/>
      <c r="BT13" s="351">
        <v>168</v>
      </c>
      <c r="BU13" s="351">
        <v>161</v>
      </c>
      <c r="BV13" s="351">
        <v>160</v>
      </c>
      <c r="BW13" s="351">
        <v>159</v>
      </c>
      <c r="BX13" s="351">
        <v>157</v>
      </c>
      <c r="BY13" s="362">
        <v>0.000116845</v>
      </c>
      <c r="BZ13" s="362">
        <v>2.20933e-7</v>
      </c>
      <c r="CA13" s="362">
        <v>-2.0949e-9</v>
      </c>
      <c r="CB13" s="362">
        <v>0.000132867</v>
      </c>
      <c r="CC13" s="362">
        <v>3.75602e-7</v>
      </c>
      <c r="CD13" s="362">
        <v>0.292771</v>
      </c>
      <c r="CE13" s="368">
        <v>1</v>
      </c>
      <c r="CF13" s="368">
        <v>1</v>
      </c>
      <c r="CG13" s="368">
        <v>1</v>
      </c>
      <c r="CH13" s="368">
        <v>1</v>
      </c>
      <c r="CI13" s="368">
        <v>1</v>
      </c>
      <c r="CJ13" s="368">
        <v>1</v>
      </c>
      <c r="CK13" s="368"/>
      <c r="CL13" s="368"/>
      <c r="CM13" s="367">
        <v>190</v>
      </c>
      <c r="CN13" s="367">
        <v>210</v>
      </c>
      <c r="CO13" s="351"/>
      <c r="CP13" s="351"/>
      <c r="CQ13" s="351">
        <v>163</v>
      </c>
      <c r="CR13" s="351">
        <v>167</v>
      </c>
      <c r="CS13" s="351"/>
      <c r="CT13" s="351"/>
      <c r="CU13" s="371">
        <v>159.7</v>
      </c>
      <c r="CV13" s="371">
        <v>161.3</v>
      </c>
      <c r="CW13" s="371">
        <v>162.3</v>
      </c>
      <c r="CX13" s="371">
        <v>162.9</v>
      </c>
      <c r="CY13" s="371">
        <v>163.3</v>
      </c>
      <c r="CZ13" s="371">
        <v>163.6</v>
      </c>
      <c r="DA13" s="371">
        <v>163.9</v>
      </c>
      <c r="DB13" s="371">
        <v>164.2</v>
      </c>
      <c r="DC13" s="371">
        <v>164.5</v>
      </c>
      <c r="DD13" s="371">
        <v>164.9</v>
      </c>
      <c r="DE13" s="371">
        <v>165.2</v>
      </c>
      <c r="DF13" s="371">
        <v>165.4</v>
      </c>
      <c r="DG13" s="371">
        <v>165.6</v>
      </c>
      <c r="DH13" s="371">
        <v>165.9</v>
      </c>
      <c r="DI13" s="371">
        <v>166.2</v>
      </c>
      <c r="DJ13" s="371">
        <v>166.6</v>
      </c>
      <c r="DK13" s="371">
        <v>167.1</v>
      </c>
      <c r="DL13" s="371">
        <v>167.8</v>
      </c>
      <c r="DM13" s="371">
        <v>168.3</v>
      </c>
      <c r="DN13" s="371">
        <v>168.8</v>
      </c>
      <c r="DO13" s="371">
        <v>168.9</v>
      </c>
      <c r="DP13" s="375"/>
      <c r="DQ13" s="368">
        <v>112</v>
      </c>
      <c r="DR13" s="367"/>
      <c r="DS13" s="379">
        <v>21.8</v>
      </c>
      <c r="DT13" s="379">
        <v>8.1</v>
      </c>
      <c r="DU13" s="357"/>
      <c r="DV13" s="357"/>
      <c r="DW13" s="347"/>
      <c r="DX13" s="378">
        <v>0.344</v>
      </c>
      <c r="DY13" s="347"/>
      <c r="DZ13" s="386">
        <v>5.31</v>
      </c>
      <c r="EA13" s="383"/>
      <c r="EB13" s="383"/>
      <c r="EC13" s="383"/>
      <c r="ED13" s="383">
        <v>0.858</v>
      </c>
      <c r="EE13" s="383">
        <v>0.926</v>
      </c>
      <c r="EF13" s="383">
        <v>0.933</v>
      </c>
      <c r="EG13" s="383">
        <v>0.838</v>
      </c>
      <c r="EH13" s="383">
        <v>0.609</v>
      </c>
      <c r="EI13" s="383">
        <v>0.761</v>
      </c>
      <c r="EJ13" s="383">
        <v>0.917810910433599</v>
      </c>
      <c r="EK13" s="383"/>
      <c r="EL13" s="383">
        <v>0.972</v>
      </c>
      <c r="EM13" s="383"/>
      <c r="EN13" s="383">
        <v>0.978</v>
      </c>
      <c r="EO13" s="383">
        <v>0.979</v>
      </c>
      <c r="EP13" s="383">
        <v>0.98</v>
      </c>
      <c r="EQ13" s="383">
        <v>0.975</v>
      </c>
      <c r="ER13" s="383">
        <v>0.967</v>
      </c>
      <c r="ES13" s="383">
        <v>0.978</v>
      </c>
      <c r="ET13" s="383">
        <v>0.979</v>
      </c>
      <c r="EU13" s="383">
        <v>0.98</v>
      </c>
      <c r="EV13" s="383">
        <v>0.979</v>
      </c>
      <c r="EW13" s="383">
        <v>0.978</v>
      </c>
      <c r="EX13" s="383">
        <v>0.977</v>
      </c>
      <c r="EY13" s="383"/>
      <c r="EZ13" s="383">
        <v>0.976</v>
      </c>
      <c r="FA13" s="383"/>
      <c r="FB13" s="383">
        <v>0.975</v>
      </c>
      <c r="FC13" s="383"/>
      <c r="FD13" s="383">
        <v>0.971</v>
      </c>
      <c r="FE13" s="383"/>
      <c r="FF13" s="383">
        <v>0.966</v>
      </c>
      <c r="FG13" s="383"/>
      <c r="FH13" s="383"/>
      <c r="FI13" s="383">
        <v>0.956</v>
      </c>
      <c r="FJ13" s="383"/>
      <c r="FK13" s="383"/>
      <c r="FL13" s="383"/>
      <c r="FM13" s="383"/>
      <c r="FN13" s="383"/>
      <c r="FO13" s="383"/>
      <c r="FP13" s="383"/>
      <c r="FQ13" s="383"/>
      <c r="FR13" s="383"/>
      <c r="FS13" s="383"/>
      <c r="FT13" s="383"/>
      <c r="FU13" s="383"/>
      <c r="FV13" s="383"/>
      <c r="FW13" s="383"/>
      <c r="FX13" s="383"/>
      <c r="FY13" s="383"/>
      <c r="FZ13" s="383"/>
      <c r="GA13" s="392">
        <f t="shared" si="1"/>
        <v>0.464982319140768</v>
      </c>
      <c r="GB13" s="392">
        <f t="shared" si="2"/>
        <v>0.680855473873376</v>
      </c>
      <c r="GC13" s="392">
        <f t="shared" si="3"/>
        <v>0.706981775479893</v>
      </c>
      <c r="GD13" s="392">
        <f t="shared" si="4"/>
        <v>0.413256880579168</v>
      </c>
      <c r="GE13" s="392">
        <f t="shared" si="5"/>
        <v>0.083769604142049</v>
      </c>
      <c r="GF13" s="392">
        <f t="shared" si="6"/>
        <v>0.255225041939801</v>
      </c>
      <c r="GG13" s="392">
        <f t="shared" si="7"/>
        <v>0.651277508354129</v>
      </c>
      <c r="GH13" s="392"/>
      <c r="GI13" s="392">
        <f t="shared" si="8"/>
        <v>0.867623536069632</v>
      </c>
      <c r="GJ13" s="392"/>
      <c r="GK13" s="392">
        <f t="shared" si="9"/>
        <v>0.894734686126368</v>
      </c>
      <c r="GL13" s="392">
        <f t="shared" si="10"/>
        <v>0.899318358320899</v>
      </c>
      <c r="GM13" s="392">
        <f t="shared" si="11"/>
        <v>0.9039207968</v>
      </c>
      <c r="GN13" s="392">
        <f t="shared" si="12"/>
        <v>0.881095693359375</v>
      </c>
      <c r="GO13" s="392">
        <f t="shared" si="13"/>
        <v>0.845536520469607</v>
      </c>
      <c r="GP13" s="392">
        <f t="shared" si="14"/>
        <v>0.894734686126368</v>
      </c>
      <c r="GQ13" s="392">
        <f t="shared" si="15"/>
        <v>0.899318358320899</v>
      </c>
      <c r="GR13" s="392">
        <f t="shared" si="16"/>
        <v>0.9039207968</v>
      </c>
      <c r="GS13" s="392">
        <f t="shared" si="17"/>
        <v>0.899318358320899</v>
      </c>
      <c r="GT13" s="392">
        <f t="shared" si="18"/>
        <v>0.894734686126368</v>
      </c>
      <c r="GU13" s="392">
        <f t="shared" si="19"/>
        <v>0.890169722768657</v>
      </c>
      <c r="GV13" s="392"/>
      <c r="GW13" s="392">
        <f t="shared" si="20"/>
        <v>0.885623410917376</v>
      </c>
      <c r="GX13" s="392"/>
      <c r="GY13" s="392">
        <f t="shared" si="21"/>
        <v>0.881095693359375</v>
      </c>
      <c r="GZ13" s="392"/>
      <c r="HA13" s="392">
        <f t="shared" si="22"/>
        <v>0.863169625893851</v>
      </c>
      <c r="HB13" s="392"/>
      <c r="HC13" s="392">
        <f t="shared" si="23"/>
        <v>0.841173596244576</v>
      </c>
      <c r="HD13" s="392"/>
      <c r="HE13" s="392"/>
      <c r="HF13" s="392">
        <f t="shared" si="24"/>
        <v>0.798526735563776</v>
      </c>
      <c r="HG13" s="384"/>
      <c r="HH13" s="384"/>
      <c r="HI13" s="384"/>
      <c r="HJ13" s="384"/>
      <c r="HK13" s="384"/>
      <c r="HL13" s="384"/>
      <c r="HM13" s="384"/>
      <c r="HN13" s="384"/>
      <c r="HO13" s="384"/>
      <c r="HP13" s="384"/>
      <c r="HQ13" s="384"/>
      <c r="HR13" s="384"/>
      <c r="HS13" s="383"/>
      <c r="HT13" s="383"/>
      <c r="HU13" s="332" t="s">
        <v>1891</v>
      </c>
      <c r="HV13" s="332">
        <v>17</v>
      </c>
      <c r="HW13" s="332" t="s">
        <v>303</v>
      </c>
      <c r="HX13" s="394" t="s">
        <v>1906</v>
      </c>
      <c r="HY13" s="396"/>
      <c r="HZ13" s="396"/>
    </row>
    <row r="14" spans="45:220">
      <c r="AS14" s="348"/>
      <c r="AT14" s="348"/>
      <c r="AU14" s="348"/>
      <c r="AV14" s="348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 s="348"/>
      <c r="BJ14" s="348"/>
      <c r="BK14" s="348"/>
      <c r="BL14" s="348"/>
      <c r="BM14" s="348"/>
      <c r="BN14" s="348"/>
      <c r="CU14" s="373"/>
      <c r="CV14" s="348"/>
      <c r="CW14" s="348"/>
      <c r="CX14" s="348"/>
      <c r="CY14" s="348"/>
      <c r="CZ14" s="348"/>
      <c r="DA14" s="348"/>
      <c r="DB14" s="348"/>
      <c r="DC14" s="348"/>
      <c r="DD14" s="348"/>
      <c r="DE14" s="348"/>
      <c r="DF14" s="348"/>
      <c r="DG14" s="348"/>
      <c r="DH14" s="348"/>
      <c r="DI14" s="348"/>
      <c r="DJ14" s="348"/>
      <c r="DK14" s="348"/>
      <c r="DL14" s="348"/>
      <c r="DM14" s="348"/>
      <c r="DN14" s="348"/>
      <c r="DO14" s="348"/>
      <c r="DQ14" s="382"/>
      <c r="DR14" s="382"/>
      <c r="ED14" s="387"/>
      <c r="EE14" s="387"/>
      <c r="EF14" s="387"/>
      <c r="EG14" s="387"/>
      <c r="EH14" s="387"/>
      <c r="EI14" s="387"/>
      <c r="EJ14" s="387"/>
      <c r="EL14" s="387"/>
      <c r="EN14" s="387"/>
      <c r="EO14" s="387"/>
      <c r="EP14" s="387"/>
      <c r="EQ14" s="387"/>
      <c r="ER14" s="387"/>
      <c r="ES14" s="387"/>
      <c r="ET14" s="387"/>
      <c r="EU14" s="387"/>
      <c r="EV14" s="387"/>
      <c r="EW14" s="387"/>
      <c r="EX14" s="387"/>
      <c r="EY14" s="387"/>
      <c r="EZ14" s="387"/>
      <c r="FA14" s="387"/>
      <c r="FB14" s="387"/>
      <c r="FC14" s="387"/>
      <c r="FD14" s="387"/>
      <c r="FE14" s="387"/>
      <c r="FF14" s="387"/>
      <c r="FG14" s="387"/>
      <c r="FH14" s="387"/>
      <c r="FI14" s="387"/>
      <c r="FJ14" s="387"/>
      <c r="FK14" s="387"/>
      <c r="FL14" s="387"/>
      <c r="FM14" s="387"/>
      <c r="FN14" s="387"/>
      <c r="FO14" s="387"/>
      <c r="GA14" s="387"/>
      <c r="GB14" s="387"/>
      <c r="GC14" s="387"/>
      <c r="GD14" s="387"/>
      <c r="GE14" s="387"/>
      <c r="GF14" s="387"/>
      <c r="GG14" s="387"/>
      <c r="GI14" s="387"/>
      <c r="GK14" s="387"/>
      <c r="GL14" s="387"/>
      <c r="GM14" s="387"/>
      <c r="GN14" s="387"/>
      <c r="GO14" s="387"/>
      <c r="GP14" s="387"/>
      <c r="GQ14" s="387"/>
      <c r="GR14" s="387"/>
      <c r="GS14" s="387"/>
      <c r="GT14" s="387"/>
      <c r="GU14" s="387"/>
      <c r="GV14" s="387"/>
      <c r="GW14" s="387"/>
      <c r="GX14" s="387"/>
      <c r="GY14" s="387"/>
      <c r="GZ14" s="387"/>
      <c r="HA14" s="387"/>
      <c r="HB14" s="387"/>
      <c r="HC14" s="387"/>
      <c r="HD14" s="387"/>
      <c r="HE14" s="387"/>
      <c r="HF14" s="387"/>
      <c r="HG14" s="387"/>
      <c r="HH14" s="387"/>
      <c r="HI14" s="387"/>
      <c r="HJ14" s="387"/>
      <c r="HK14" s="387"/>
      <c r="HL14" s="387"/>
    </row>
    <row r="15" spans="45:220">
      <c r="AS15" s="348"/>
      <c r="AT15" s="348"/>
      <c r="AU15" s="348"/>
      <c r="AV15" s="348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 s="348"/>
      <c r="BJ15" s="348"/>
      <c r="BK15" s="348"/>
      <c r="BL15" s="348"/>
      <c r="BM15" s="348"/>
      <c r="BN15" s="348"/>
      <c r="CU15" s="373"/>
      <c r="CV15" s="348"/>
      <c r="CW15" s="348"/>
      <c r="CX15" s="348"/>
      <c r="CY15" s="348"/>
      <c r="CZ15" s="348"/>
      <c r="DA15" s="348"/>
      <c r="DB15" s="348"/>
      <c r="DC15" s="348"/>
      <c r="DD15" s="348"/>
      <c r="DE15" s="348"/>
      <c r="DF15" s="348"/>
      <c r="DG15" s="348"/>
      <c r="DH15" s="348"/>
      <c r="DI15" s="348"/>
      <c r="DJ15" s="348"/>
      <c r="DK15" s="348"/>
      <c r="DL15" s="348"/>
      <c r="DM15" s="348"/>
      <c r="DN15" s="348"/>
      <c r="DO15" s="348"/>
      <c r="EA15" s="388"/>
      <c r="EB15" s="388"/>
      <c r="EC15" s="388"/>
      <c r="ED15" s="388"/>
      <c r="EE15" s="388"/>
      <c r="EF15" s="388"/>
      <c r="EG15" s="388"/>
      <c r="EH15" s="388"/>
      <c r="EI15" s="388"/>
      <c r="EJ15" s="388"/>
      <c r="EL15" s="388"/>
      <c r="EN15" s="388"/>
      <c r="EO15" s="388"/>
      <c r="EP15" s="388"/>
      <c r="EQ15" s="388"/>
      <c r="ER15" s="388"/>
      <c r="ES15" s="388"/>
      <c r="ET15" s="388"/>
      <c r="EU15" s="388"/>
      <c r="EV15" s="388"/>
      <c r="EW15" s="388"/>
      <c r="EX15" s="388"/>
      <c r="EY15" s="388"/>
      <c r="EZ15" s="388"/>
      <c r="FA15" s="388"/>
      <c r="FB15" s="388"/>
      <c r="FC15" s="388"/>
      <c r="FD15" s="388"/>
      <c r="FE15" s="388"/>
      <c r="FF15" s="388"/>
      <c r="FG15" s="388"/>
      <c r="FH15" s="388"/>
      <c r="FI15" s="388"/>
      <c r="FJ15" s="387"/>
      <c r="FK15" s="387"/>
      <c r="FL15" s="387"/>
      <c r="FM15" s="387"/>
      <c r="FN15" s="387"/>
      <c r="FO15" s="387"/>
      <c r="FX15" s="388"/>
      <c r="FY15" s="388"/>
      <c r="FZ15" s="388"/>
      <c r="GA15" s="388"/>
      <c r="GB15" s="388"/>
      <c r="GC15" s="388"/>
      <c r="GD15" s="388"/>
      <c r="GE15" s="388"/>
      <c r="GF15" s="388"/>
      <c r="GG15" s="388"/>
      <c r="GI15" s="388"/>
      <c r="GK15" s="388"/>
      <c r="GL15" s="388"/>
      <c r="GM15" s="388"/>
      <c r="GN15" s="388"/>
      <c r="GO15" s="388"/>
      <c r="GP15" s="388"/>
      <c r="GQ15" s="388"/>
      <c r="GR15" s="388"/>
      <c r="GS15" s="388"/>
      <c r="GT15" s="388"/>
      <c r="GU15" s="388"/>
      <c r="GV15" s="388"/>
      <c r="GW15" s="388"/>
      <c r="GX15" s="388"/>
      <c r="GY15" s="388"/>
      <c r="GZ15" s="388"/>
      <c r="HA15" s="388"/>
      <c r="HB15" s="388"/>
      <c r="HC15" s="388"/>
      <c r="HD15" s="388"/>
      <c r="HE15" s="388"/>
      <c r="HF15" s="388"/>
      <c r="HG15" s="387"/>
      <c r="HH15" s="387"/>
      <c r="HI15" s="387"/>
      <c r="HJ15" s="387"/>
      <c r="HK15" s="387"/>
      <c r="HL15" s="387"/>
    </row>
    <row r="16" spans="45:220">
      <c r="AS16" s="348"/>
      <c r="AT16" s="348"/>
      <c r="AU16" s="348"/>
      <c r="AV16" s="348"/>
      <c r="AW16" s="348"/>
      <c r="AX16" s="348"/>
      <c r="AY16" s="348"/>
      <c r="AZ16" s="348"/>
      <c r="BA16" s="348"/>
      <c r="BB16" s="348"/>
      <c r="BC16" s="348"/>
      <c r="BD16" s="348"/>
      <c r="BE16" s="348"/>
      <c r="BF16" s="348"/>
      <c r="BG16" s="348"/>
      <c r="BH16" s="348"/>
      <c r="BI16" s="348"/>
      <c r="BJ16" s="348"/>
      <c r="BK16" s="348"/>
      <c r="BL16" s="348"/>
      <c r="BM16" s="348"/>
      <c r="BN16" s="348"/>
      <c r="CU16" s="373"/>
      <c r="CV16" s="348"/>
      <c r="CW16" s="348"/>
      <c r="CX16" s="348"/>
      <c r="CY16" s="348"/>
      <c r="CZ16" s="348"/>
      <c r="DA16" s="348"/>
      <c r="DB16" s="348"/>
      <c r="DC16" s="348"/>
      <c r="DD16" s="348"/>
      <c r="DE16" s="348"/>
      <c r="DF16" s="348"/>
      <c r="DG16" s="348"/>
      <c r="DH16" s="348"/>
      <c r="DI16" s="348"/>
      <c r="DJ16" s="348"/>
      <c r="DK16" s="348"/>
      <c r="DL16" s="348"/>
      <c r="DM16" s="348"/>
      <c r="DN16" s="348"/>
      <c r="DO16" s="348"/>
      <c r="FJ16" s="387"/>
      <c r="FK16" s="387"/>
      <c r="FL16" s="387"/>
      <c r="FM16" s="387"/>
      <c r="FN16" s="387"/>
      <c r="FO16" s="387"/>
      <c r="HG16" s="387"/>
      <c r="HH16" s="387"/>
      <c r="HI16" s="387"/>
      <c r="HJ16" s="387"/>
      <c r="HK16" s="387"/>
      <c r="HL16" s="387"/>
    </row>
    <row r="17" spans="45:220">
      <c r="AS17" s="348"/>
      <c r="AT17" s="348"/>
      <c r="AU17" s="348"/>
      <c r="AV17" s="348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CU17" s="373"/>
      <c r="CV17" s="348"/>
      <c r="CW17" s="348"/>
      <c r="CX17" s="348"/>
      <c r="CY17" s="348"/>
      <c r="CZ17" s="348"/>
      <c r="DA17" s="348"/>
      <c r="DB17" s="348"/>
      <c r="DC17" s="348"/>
      <c r="DD17" s="348"/>
      <c r="DE17" s="348"/>
      <c r="DF17" s="348"/>
      <c r="DG17" s="348"/>
      <c r="DH17" s="348"/>
      <c r="DI17" s="348"/>
      <c r="DJ17" s="348"/>
      <c r="DK17" s="348"/>
      <c r="DL17" s="348"/>
      <c r="DM17" s="348"/>
      <c r="DN17" s="348"/>
      <c r="DO17" s="348"/>
      <c r="ED17" s="387"/>
      <c r="EE17" s="387"/>
      <c r="EF17" s="387"/>
      <c r="EG17" s="387"/>
      <c r="EH17" s="387"/>
      <c r="EI17" s="387"/>
      <c r="EJ17" s="387"/>
      <c r="EL17" s="387"/>
      <c r="EN17" s="387"/>
      <c r="EO17" s="387"/>
      <c r="EP17" s="387"/>
      <c r="EQ17" s="387"/>
      <c r="ER17" s="387"/>
      <c r="ES17" s="387"/>
      <c r="ET17" s="387"/>
      <c r="EU17" s="387"/>
      <c r="EV17" s="387"/>
      <c r="EW17" s="387"/>
      <c r="EX17" s="387"/>
      <c r="EY17" s="387"/>
      <c r="EZ17" s="387"/>
      <c r="FA17" s="387"/>
      <c r="FB17" s="387"/>
      <c r="FC17" s="387"/>
      <c r="FD17" s="387"/>
      <c r="FE17" s="387"/>
      <c r="FF17" s="387"/>
      <c r="FG17" s="387"/>
      <c r="FH17" s="387"/>
      <c r="FI17" s="387"/>
      <c r="FJ17" s="387"/>
      <c r="FK17" s="387"/>
      <c r="FL17" s="387"/>
      <c r="FM17" s="387"/>
      <c r="FN17" s="387"/>
      <c r="FO17" s="387"/>
      <c r="GA17" s="387"/>
      <c r="GB17" s="387"/>
      <c r="GC17" s="387"/>
      <c r="GD17" s="387"/>
      <c r="GE17" s="387"/>
      <c r="GF17" s="387"/>
      <c r="GG17" s="387"/>
      <c r="GI17" s="387"/>
      <c r="GK17" s="387"/>
      <c r="GL17" s="387"/>
      <c r="GM17" s="387"/>
      <c r="GN17" s="387"/>
      <c r="GO17" s="387"/>
      <c r="GP17" s="387"/>
      <c r="GQ17" s="387"/>
      <c r="GR17" s="387"/>
      <c r="GS17" s="387"/>
      <c r="GT17" s="387"/>
      <c r="GU17" s="387"/>
      <c r="GV17" s="387"/>
      <c r="GW17" s="387"/>
      <c r="GX17" s="387"/>
      <c r="GY17" s="387"/>
      <c r="GZ17" s="387"/>
      <c r="HA17" s="387"/>
      <c r="HB17" s="387"/>
      <c r="HC17" s="387"/>
      <c r="HD17" s="387"/>
      <c r="HE17" s="387"/>
      <c r="HF17" s="387"/>
      <c r="HG17" s="387"/>
      <c r="HH17" s="387"/>
      <c r="HI17" s="387"/>
      <c r="HJ17" s="387"/>
      <c r="HK17" s="387"/>
      <c r="HL17" s="387"/>
    </row>
    <row r="18" spans="45:220">
      <c r="AS18" s="348"/>
      <c r="AT18" s="348"/>
      <c r="AU18" s="348"/>
      <c r="AV18" s="348"/>
      <c r="AW18" s="348"/>
      <c r="AX18" s="348"/>
      <c r="AY18" s="348"/>
      <c r="AZ18" s="348"/>
      <c r="BA18" s="348"/>
      <c r="BB18" s="348"/>
      <c r="BC18" s="348"/>
      <c r="BD18" s="348"/>
      <c r="BE18" s="348"/>
      <c r="BF18" s="348"/>
      <c r="BG18" s="348"/>
      <c r="BH18" s="348"/>
      <c r="BI18" s="348"/>
      <c r="BJ18" s="348"/>
      <c r="BK18" s="348"/>
      <c r="BL18" s="348"/>
      <c r="BM18" s="348"/>
      <c r="BN18" s="348"/>
      <c r="CU18" s="373"/>
      <c r="CV18" s="348"/>
      <c r="CW18" s="348"/>
      <c r="CX18" s="348"/>
      <c r="CY18" s="348"/>
      <c r="CZ18" s="348"/>
      <c r="DA18" s="348"/>
      <c r="DB18" s="348"/>
      <c r="DC18" s="348"/>
      <c r="DD18" s="348"/>
      <c r="DE18" s="348"/>
      <c r="DF18" s="348"/>
      <c r="DG18" s="348"/>
      <c r="DH18" s="348"/>
      <c r="DI18" s="348"/>
      <c r="DJ18" s="348"/>
      <c r="DK18" s="348"/>
      <c r="DL18" s="348"/>
      <c r="DM18" s="348"/>
      <c r="DN18" s="348"/>
      <c r="DO18" s="348"/>
      <c r="ED18" s="387"/>
      <c r="EE18" s="387"/>
      <c r="EF18" s="387"/>
      <c r="EG18" s="387"/>
      <c r="EH18" s="387"/>
      <c r="EI18" s="387"/>
      <c r="EJ18" s="387"/>
      <c r="EL18" s="387"/>
      <c r="EN18" s="387"/>
      <c r="EO18" s="387"/>
      <c r="EP18" s="387"/>
      <c r="EQ18" s="387"/>
      <c r="ER18" s="387"/>
      <c r="ES18" s="387"/>
      <c r="ET18" s="387"/>
      <c r="EU18" s="387"/>
      <c r="EV18" s="387"/>
      <c r="EW18" s="387"/>
      <c r="EX18" s="387"/>
      <c r="EY18" s="387"/>
      <c r="EZ18" s="387"/>
      <c r="FA18" s="387"/>
      <c r="FB18" s="387"/>
      <c r="FC18" s="387"/>
      <c r="FD18" s="387"/>
      <c r="FE18" s="387"/>
      <c r="FF18" s="387"/>
      <c r="FG18" s="387"/>
      <c r="FH18" s="387"/>
      <c r="FI18" s="387"/>
      <c r="FJ18" s="387"/>
      <c r="FK18" s="387"/>
      <c r="FL18" s="387"/>
      <c r="FM18" s="387"/>
      <c r="FN18" s="387"/>
      <c r="FO18" s="387"/>
      <c r="GA18" s="387"/>
      <c r="GB18" s="387"/>
      <c r="GC18" s="387"/>
      <c r="GD18" s="387"/>
      <c r="GE18" s="387"/>
      <c r="GF18" s="387"/>
      <c r="GG18" s="387"/>
      <c r="GI18" s="387"/>
      <c r="GK18" s="387"/>
      <c r="GL18" s="387"/>
      <c r="GM18" s="387"/>
      <c r="GN18" s="387"/>
      <c r="GO18" s="387"/>
      <c r="GP18" s="387"/>
      <c r="GQ18" s="387"/>
      <c r="GR18" s="387"/>
      <c r="GS18" s="387"/>
      <c r="GT18" s="387"/>
      <c r="GU18" s="387"/>
      <c r="GV18" s="387"/>
      <c r="GW18" s="387"/>
      <c r="GX18" s="387"/>
      <c r="GY18" s="387"/>
      <c r="GZ18" s="387"/>
      <c r="HA18" s="387"/>
      <c r="HB18" s="387"/>
      <c r="HC18" s="387"/>
      <c r="HD18" s="387"/>
      <c r="HE18" s="387"/>
      <c r="HF18" s="387"/>
      <c r="HG18" s="387"/>
      <c r="HH18" s="387"/>
      <c r="HI18" s="387"/>
      <c r="HJ18" s="387"/>
      <c r="HK18" s="387"/>
      <c r="HL18" s="387"/>
    </row>
    <row r="19" spans="45:220">
      <c r="AS19" s="348"/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 s="348"/>
      <c r="BJ19" s="348"/>
      <c r="BK19" s="348"/>
      <c r="BL19" s="348"/>
      <c r="BM19" s="348"/>
      <c r="BN19" s="348"/>
      <c r="CU19" s="373"/>
      <c r="CV19" s="348"/>
      <c r="CW19" s="348"/>
      <c r="CX19" s="348"/>
      <c r="CY19" s="348"/>
      <c r="CZ19" s="348"/>
      <c r="DA19" s="348"/>
      <c r="DB19" s="348"/>
      <c r="DC19" s="348"/>
      <c r="DD19" s="348"/>
      <c r="DE19" s="348"/>
      <c r="DF19" s="348"/>
      <c r="DG19" s="348"/>
      <c r="DH19" s="348"/>
      <c r="DI19" s="348"/>
      <c r="DJ19" s="348"/>
      <c r="DK19" s="348"/>
      <c r="DL19" s="348"/>
      <c r="DM19" s="348"/>
      <c r="DN19" s="348"/>
      <c r="DO19" s="348"/>
      <c r="ED19" s="387"/>
      <c r="EE19" s="387"/>
      <c r="EF19" s="387"/>
      <c r="EG19" s="387"/>
      <c r="EH19" s="387"/>
      <c r="EI19" s="387"/>
      <c r="EJ19" s="387"/>
      <c r="EL19" s="387"/>
      <c r="EN19" s="387"/>
      <c r="EO19" s="387"/>
      <c r="EP19" s="387"/>
      <c r="EQ19" s="387"/>
      <c r="ER19" s="387"/>
      <c r="ES19" s="387"/>
      <c r="ET19" s="387"/>
      <c r="EU19" s="387"/>
      <c r="EV19" s="387"/>
      <c r="EW19" s="387"/>
      <c r="EX19" s="387"/>
      <c r="EY19" s="387"/>
      <c r="EZ19" s="387"/>
      <c r="FA19" s="387"/>
      <c r="FB19" s="387"/>
      <c r="FC19" s="387"/>
      <c r="FD19" s="387"/>
      <c r="FE19" s="387"/>
      <c r="FF19" s="387"/>
      <c r="FG19" s="387"/>
      <c r="FH19" s="387"/>
      <c r="FI19" s="387"/>
      <c r="FJ19" s="387"/>
      <c r="FK19" s="387"/>
      <c r="FL19" s="387"/>
      <c r="FM19" s="387"/>
      <c r="FO19" s="387"/>
      <c r="GA19" s="387"/>
      <c r="GB19" s="387"/>
      <c r="GC19" s="387"/>
      <c r="GD19" s="387"/>
      <c r="GE19" s="387"/>
      <c r="GF19" s="387"/>
      <c r="GG19" s="387"/>
      <c r="GI19" s="387"/>
      <c r="GK19" s="387"/>
      <c r="GL19" s="387"/>
      <c r="GM19" s="387"/>
      <c r="GN19" s="387"/>
      <c r="GO19" s="387"/>
      <c r="GP19" s="387"/>
      <c r="GQ19" s="387"/>
      <c r="GR19" s="387"/>
      <c r="GS19" s="387"/>
      <c r="GT19" s="387"/>
      <c r="GU19" s="387"/>
      <c r="GV19" s="387"/>
      <c r="GW19" s="387"/>
      <c r="GX19" s="387"/>
      <c r="GY19" s="387"/>
      <c r="GZ19" s="387"/>
      <c r="HA19" s="387"/>
      <c r="HB19" s="387"/>
      <c r="HC19" s="387"/>
      <c r="HD19" s="387"/>
      <c r="HE19" s="387"/>
      <c r="HF19" s="387"/>
      <c r="HG19" s="387"/>
      <c r="HH19" s="387"/>
      <c r="HI19" s="387"/>
      <c r="HJ19" s="387"/>
      <c r="HL19" s="387"/>
    </row>
    <row r="20" spans="45:183">
      <c r="AS20" s="348"/>
      <c r="AT20" s="348"/>
      <c r="AU20" s="348"/>
      <c r="AV20" s="348"/>
      <c r="AW20" s="348"/>
      <c r="AX20" s="348"/>
      <c r="AY20" s="348"/>
      <c r="AZ20" s="348"/>
      <c r="BA20" s="348"/>
      <c r="BB20" s="348"/>
      <c r="BC20" s="348"/>
      <c r="BD20" s="348"/>
      <c r="BE20" s="348"/>
      <c r="BF20" s="348"/>
      <c r="BG20" s="348"/>
      <c r="BH20" s="348"/>
      <c r="BI20" s="348"/>
      <c r="BJ20" s="348"/>
      <c r="BK20" s="348"/>
      <c r="BL20" s="348"/>
      <c r="BM20" s="348"/>
      <c r="BN20" s="348"/>
      <c r="CU20" s="373"/>
      <c r="CV20" s="348"/>
      <c r="CW20" s="348"/>
      <c r="CX20" s="348"/>
      <c r="CY20" s="348"/>
      <c r="CZ20" s="348"/>
      <c r="DA20" s="348"/>
      <c r="DB20" s="348"/>
      <c r="DC20" s="348"/>
      <c r="DD20" s="348"/>
      <c r="DE20" s="348"/>
      <c r="DF20" s="348"/>
      <c r="DG20" s="348"/>
      <c r="DH20" s="348"/>
      <c r="DI20" s="348"/>
      <c r="DJ20" s="348"/>
      <c r="DK20" s="348"/>
      <c r="DL20" s="348"/>
      <c r="DM20" s="348"/>
      <c r="DN20" s="348"/>
      <c r="DO20" s="348"/>
      <c r="ED20" s="387"/>
      <c r="GA20" s="387"/>
    </row>
    <row r="21" spans="45:183"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8"/>
      <c r="BG21" s="348"/>
      <c r="BH21" s="348"/>
      <c r="BI21" s="348"/>
      <c r="BJ21" s="348"/>
      <c r="BK21" s="348"/>
      <c r="BL21" s="348"/>
      <c r="BM21" s="348"/>
      <c r="BN21" s="348"/>
      <c r="CU21" s="373"/>
      <c r="CV21" s="348"/>
      <c r="CW21" s="348"/>
      <c r="CX21" s="348"/>
      <c r="CY21" s="348"/>
      <c r="CZ21" s="348"/>
      <c r="DA21" s="348"/>
      <c r="DB21" s="348"/>
      <c r="DC21" s="348"/>
      <c r="DD21" s="348"/>
      <c r="DE21" s="348"/>
      <c r="DF21" s="348"/>
      <c r="DG21" s="348"/>
      <c r="DH21" s="348"/>
      <c r="DI21" s="348"/>
      <c r="DJ21" s="348"/>
      <c r="DK21" s="348"/>
      <c r="DL21" s="348"/>
      <c r="DM21" s="348"/>
      <c r="DN21" s="348"/>
      <c r="DO21" s="348"/>
      <c r="ED21" s="387"/>
      <c r="GA21" s="387"/>
    </row>
    <row r="22" spans="45:119">
      <c r="AS22" s="348"/>
      <c r="AT22" s="348"/>
      <c r="AU22" s="348"/>
      <c r="AV22" s="348"/>
      <c r="AW22" s="348"/>
      <c r="AX22" s="348"/>
      <c r="AY22" s="348"/>
      <c r="AZ22" s="348"/>
      <c r="BA22" s="348"/>
      <c r="BB22" s="348"/>
      <c r="BC22" s="348"/>
      <c r="BD22" s="348"/>
      <c r="BE22" s="348"/>
      <c r="BF22" s="348"/>
      <c r="BG22" s="348"/>
      <c r="BH22" s="348"/>
      <c r="BI22" s="348"/>
      <c r="BJ22" s="348"/>
      <c r="BK22" s="348"/>
      <c r="BL22" s="348"/>
      <c r="BM22" s="348"/>
      <c r="BN22" s="348"/>
      <c r="CU22" s="373"/>
      <c r="CV22" s="348"/>
      <c r="CW22" s="348"/>
      <c r="CX22" s="348"/>
      <c r="CY22" s="348"/>
      <c r="CZ22" s="348"/>
      <c r="DA22" s="348"/>
      <c r="DB22" s="348"/>
      <c r="DC22" s="348"/>
      <c r="DD22" s="348"/>
      <c r="DE22" s="348"/>
      <c r="DF22" s="348"/>
      <c r="DG22" s="348"/>
      <c r="DH22" s="348"/>
      <c r="DI22" s="348"/>
      <c r="DJ22" s="348"/>
      <c r="DK22" s="348"/>
      <c r="DL22" s="348"/>
      <c r="DM22" s="348"/>
      <c r="DN22" s="348"/>
      <c r="DO22" s="348"/>
    </row>
    <row r="23" spans="45:119">
      <c r="AS23" s="348"/>
      <c r="AT23" s="348"/>
      <c r="AU23" s="348"/>
      <c r="AV23" s="348"/>
      <c r="AW23" s="348"/>
      <c r="AX23" s="348"/>
      <c r="AY23" s="348"/>
      <c r="AZ23" s="348"/>
      <c r="BA23" s="348"/>
      <c r="BB23" s="348"/>
      <c r="BC23" s="348"/>
      <c r="BD23" s="348"/>
      <c r="BE23" s="348"/>
      <c r="BF23" s="348"/>
      <c r="BG23" s="348"/>
      <c r="BH23" s="348"/>
      <c r="BI23" s="348"/>
      <c r="BJ23" s="348"/>
      <c r="BK23" s="348"/>
      <c r="BL23" s="348"/>
      <c r="BM23" s="348"/>
      <c r="BN23" s="348"/>
      <c r="CU23" s="373"/>
      <c r="CV23" s="348"/>
      <c r="CW23" s="348"/>
      <c r="CX23" s="348"/>
      <c r="CY23" s="348"/>
      <c r="CZ23" s="348"/>
      <c r="DA23" s="348"/>
      <c r="DB23" s="348"/>
      <c r="DC23" s="348"/>
      <c r="DD23" s="348"/>
      <c r="DE23" s="348"/>
      <c r="DF23" s="348"/>
      <c r="DG23" s="348"/>
      <c r="DH23" s="348"/>
      <c r="DI23" s="348"/>
      <c r="DJ23" s="348"/>
      <c r="DK23" s="348"/>
      <c r="DL23" s="348"/>
      <c r="DM23" s="348"/>
      <c r="DN23" s="348"/>
      <c r="DO23" s="348"/>
    </row>
    <row r="24" spans="45:119">
      <c r="AS24" s="348"/>
      <c r="AT24" s="348"/>
      <c r="AU24" s="348"/>
      <c r="AV24" s="348"/>
      <c r="AW24" s="348"/>
      <c r="AX24" s="348"/>
      <c r="AY24" s="348"/>
      <c r="AZ24" s="348"/>
      <c r="BA24" s="348"/>
      <c r="BB24" s="348"/>
      <c r="BC24" s="348"/>
      <c r="BD24" s="348"/>
      <c r="BE24" s="348"/>
      <c r="BF24" s="348"/>
      <c r="BG24" s="348"/>
      <c r="BH24" s="348"/>
      <c r="BI24" s="348"/>
      <c r="BJ24" s="348"/>
      <c r="BK24" s="348"/>
      <c r="BL24" s="348"/>
      <c r="BM24" s="348"/>
      <c r="BN24" s="348"/>
      <c r="CU24" s="373"/>
      <c r="CV24" s="348"/>
      <c r="CW24" s="348"/>
      <c r="CX24" s="348"/>
      <c r="CY24" s="348"/>
      <c r="CZ24" s="348"/>
      <c r="DA24" s="348"/>
      <c r="DB24" s="348"/>
      <c r="DC24" s="348"/>
      <c r="DD24" s="348"/>
      <c r="DE24" s="348"/>
      <c r="DF24" s="348"/>
      <c r="DG24" s="348"/>
      <c r="DH24" s="348"/>
      <c r="DI24" s="348"/>
      <c r="DJ24" s="348"/>
      <c r="DK24" s="348"/>
      <c r="DL24" s="348"/>
      <c r="DM24" s="348"/>
      <c r="DN24" s="348"/>
      <c r="DO24" s="348"/>
    </row>
    <row r="25" spans="45:119"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8"/>
      <c r="BJ25" s="348"/>
      <c r="BK25" s="348"/>
      <c r="BL25" s="348"/>
      <c r="BM25" s="348"/>
      <c r="BN25" s="348"/>
      <c r="CU25" s="373"/>
      <c r="CV25" s="348"/>
      <c r="CW25" s="348"/>
      <c r="CX25" s="348"/>
      <c r="CY25" s="348"/>
      <c r="CZ25" s="348"/>
      <c r="DA25" s="348"/>
      <c r="DB25" s="348"/>
      <c r="DC25" s="348"/>
      <c r="DD25" s="348"/>
      <c r="DE25" s="348"/>
      <c r="DF25" s="348"/>
      <c r="DG25" s="348"/>
      <c r="DH25" s="348"/>
      <c r="DI25" s="348"/>
      <c r="DJ25" s="348"/>
      <c r="DK25" s="348"/>
      <c r="DL25" s="348"/>
      <c r="DM25" s="348"/>
      <c r="DN25" s="348"/>
      <c r="DO25" s="348"/>
    </row>
    <row r="26" spans="45:119">
      <c r="AS26" s="348"/>
      <c r="AT26" s="348"/>
      <c r="AU26" s="348"/>
      <c r="AV26" s="348"/>
      <c r="AW26" s="348"/>
      <c r="AX26" s="348"/>
      <c r="AY26" s="348"/>
      <c r="AZ26" s="348"/>
      <c r="BA26" s="348"/>
      <c r="BB26" s="348"/>
      <c r="BC26" s="348"/>
      <c r="BD26" s="348"/>
      <c r="BE26" s="348"/>
      <c r="BF26" s="348"/>
      <c r="BG26" s="348"/>
      <c r="BH26" s="348"/>
      <c r="BI26" s="348"/>
      <c r="BJ26" s="348"/>
      <c r="BK26" s="348"/>
      <c r="BL26" s="348"/>
      <c r="BM26" s="348"/>
      <c r="BN26" s="348"/>
      <c r="CU26" s="373"/>
      <c r="CV26" s="348"/>
      <c r="CW26" s="348"/>
      <c r="CX26" s="348"/>
      <c r="CY26" s="348"/>
      <c r="CZ26" s="348"/>
      <c r="DA26" s="348"/>
      <c r="DB26" s="348"/>
      <c r="DC26" s="348"/>
      <c r="DD26" s="348"/>
      <c r="DE26" s="348"/>
      <c r="DF26" s="348"/>
      <c r="DG26" s="348"/>
      <c r="DH26" s="348"/>
      <c r="DI26" s="348"/>
      <c r="DJ26" s="348"/>
      <c r="DK26" s="348"/>
      <c r="DL26" s="348"/>
      <c r="DM26" s="348"/>
      <c r="DN26" s="348"/>
      <c r="DO26" s="348"/>
    </row>
    <row r="27" spans="45:119">
      <c r="AS27" s="348"/>
      <c r="AT27" s="348"/>
      <c r="AU27" s="348"/>
      <c r="AV27" s="348"/>
      <c r="AW27" s="348"/>
      <c r="AX27" s="348"/>
      <c r="AY27" s="348"/>
      <c r="AZ27" s="348"/>
      <c r="BA27" s="348"/>
      <c r="BB27" s="348"/>
      <c r="BC27" s="348"/>
      <c r="BD27" s="348"/>
      <c r="BE27" s="348"/>
      <c r="BF27" s="348"/>
      <c r="BG27" s="348"/>
      <c r="BH27" s="348"/>
      <c r="BI27" s="348"/>
      <c r="BJ27" s="348"/>
      <c r="BK27" s="348"/>
      <c r="BL27" s="348"/>
      <c r="BM27" s="348"/>
      <c r="BN27" s="348"/>
      <c r="CU27" s="373"/>
      <c r="CV27" s="348"/>
      <c r="CW27" s="348"/>
      <c r="CX27" s="348"/>
      <c r="CY27" s="348"/>
      <c r="CZ27" s="348"/>
      <c r="DA27" s="348"/>
      <c r="DB27" s="348"/>
      <c r="DC27" s="348"/>
      <c r="DD27" s="348"/>
      <c r="DE27" s="348"/>
      <c r="DF27" s="348"/>
      <c r="DG27" s="348"/>
      <c r="DH27" s="348"/>
      <c r="DI27" s="348"/>
      <c r="DJ27" s="348"/>
      <c r="DK27" s="348"/>
      <c r="DL27" s="348"/>
      <c r="DM27" s="348"/>
      <c r="DN27" s="348"/>
      <c r="DO27" s="348"/>
    </row>
    <row r="28" spans="45:119">
      <c r="AS28" s="348"/>
      <c r="AT28" s="348"/>
      <c r="AU28" s="348"/>
      <c r="AV28" s="348"/>
      <c r="AW28" s="348"/>
      <c r="AX28" s="348"/>
      <c r="AY28" s="348"/>
      <c r="AZ28" s="348"/>
      <c r="BA28" s="348"/>
      <c r="BB28" s="348"/>
      <c r="BC28" s="348"/>
      <c r="BD28" s="348"/>
      <c r="BE28" s="348"/>
      <c r="BF28" s="348"/>
      <c r="BG28" s="348"/>
      <c r="BH28" s="348"/>
      <c r="BI28" s="348"/>
      <c r="BJ28" s="348"/>
      <c r="BK28" s="348"/>
      <c r="BL28" s="348"/>
      <c r="BM28" s="348"/>
      <c r="BN28" s="348"/>
      <c r="CU28" s="373"/>
      <c r="CV28" s="348"/>
      <c r="CW28" s="348"/>
      <c r="CX28" s="348"/>
      <c r="CY28" s="348"/>
      <c r="CZ28" s="348"/>
      <c r="DA28" s="348"/>
      <c r="DB28" s="348"/>
      <c r="DC28" s="348"/>
      <c r="DD28" s="348"/>
      <c r="DE28" s="348"/>
      <c r="DF28" s="348"/>
      <c r="DG28" s="348"/>
      <c r="DH28" s="348"/>
      <c r="DI28" s="348"/>
      <c r="DJ28" s="348"/>
      <c r="DK28" s="348"/>
      <c r="DL28" s="348"/>
      <c r="DM28" s="348"/>
      <c r="DN28" s="348"/>
      <c r="DO28" s="348"/>
    </row>
    <row r="29" spans="45:119">
      <c r="AS29" s="348"/>
      <c r="AT29" s="348"/>
      <c r="AU29" s="348"/>
      <c r="AV29" s="348"/>
      <c r="AW29" s="348"/>
      <c r="AX29" s="348"/>
      <c r="AY29" s="348"/>
      <c r="AZ29" s="348"/>
      <c r="BA29" s="348"/>
      <c r="BB29" s="348"/>
      <c r="BC29" s="348"/>
      <c r="BD29" s="348"/>
      <c r="BE29" s="348"/>
      <c r="BF29" s="348"/>
      <c r="BG29" s="348"/>
      <c r="BH29" s="348"/>
      <c r="BI29" s="348"/>
      <c r="BJ29" s="348"/>
      <c r="BK29" s="348"/>
      <c r="BL29" s="348"/>
      <c r="BM29" s="348"/>
      <c r="BN29" s="348"/>
      <c r="CU29" s="373"/>
      <c r="CV29" s="348"/>
      <c r="CW29" s="348"/>
      <c r="CX29" s="348"/>
      <c r="CY29" s="348"/>
      <c r="CZ29" s="348"/>
      <c r="DA29" s="348"/>
      <c r="DB29" s="348"/>
      <c r="DC29" s="348"/>
      <c r="DD29" s="348"/>
      <c r="DE29" s="348"/>
      <c r="DF29" s="348"/>
      <c r="DG29" s="348"/>
      <c r="DH29" s="348"/>
      <c r="DI29" s="348"/>
      <c r="DJ29" s="348"/>
      <c r="DK29" s="348"/>
      <c r="DL29" s="348"/>
      <c r="DM29" s="348"/>
      <c r="DN29" s="348"/>
      <c r="DO29" s="348"/>
    </row>
    <row r="30" spans="45:119">
      <c r="AS30" s="348"/>
      <c r="AT30" s="348"/>
      <c r="AU30" s="348"/>
      <c r="AV30" s="348"/>
      <c r="AW30" s="348"/>
      <c r="AX30" s="348"/>
      <c r="AY30" s="348"/>
      <c r="AZ30" s="348"/>
      <c r="BA30" s="348"/>
      <c r="BB30" s="348"/>
      <c r="BC30" s="348"/>
      <c r="BD30" s="348"/>
      <c r="BE30" s="348"/>
      <c r="BF30" s="348"/>
      <c r="BG30" s="348"/>
      <c r="BH30" s="348"/>
      <c r="BI30" s="348"/>
      <c r="BJ30" s="348"/>
      <c r="BK30" s="348"/>
      <c r="BL30" s="348"/>
      <c r="BM30" s="348"/>
      <c r="BN30" s="348"/>
      <c r="CU30" s="373"/>
      <c r="CV30" s="348"/>
      <c r="CW30" s="348"/>
      <c r="CX30" s="348"/>
      <c r="CY30" s="348"/>
      <c r="CZ30" s="348"/>
      <c r="DA30" s="348"/>
      <c r="DB30" s="348"/>
      <c r="DC30" s="348"/>
      <c r="DD30" s="348"/>
      <c r="DE30" s="348"/>
      <c r="DF30" s="348"/>
      <c r="DG30" s="348"/>
      <c r="DH30" s="348"/>
      <c r="DI30" s="348"/>
      <c r="DJ30" s="348"/>
      <c r="DK30" s="348"/>
      <c r="DL30" s="348"/>
      <c r="DM30" s="348"/>
      <c r="DN30" s="348"/>
      <c r="DO30" s="348"/>
    </row>
    <row r="31" spans="45:119">
      <c r="AS31" s="348"/>
      <c r="AT31" s="348"/>
      <c r="AU31" s="348"/>
      <c r="AV31" s="348"/>
      <c r="AW31" s="348"/>
      <c r="AX31" s="348"/>
      <c r="AY31" s="348"/>
      <c r="AZ31" s="348"/>
      <c r="BA31" s="348"/>
      <c r="BB31" s="348"/>
      <c r="BC31" s="348"/>
      <c r="BD31" s="348"/>
      <c r="BE31" s="348"/>
      <c r="BF31" s="348"/>
      <c r="BG31" s="348"/>
      <c r="BH31" s="348"/>
      <c r="BI31" s="348"/>
      <c r="BJ31" s="348"/>
      <c r="BK31" s="348"/>
      <c r="BL31" s="348"/>
      <c r="BM31" s="348"/>
      <c r="BN31" s="348"/>
      <c r="CU31" s="373"/>
      <c r="CV31" s="348"/>
      <c r="CW31" s="348"/>
      <c r="CX31" s="348"/>
      <c r="CY31" s="348"/>
      <c r="CZ31" s="348"/>
      <c r="DA31" s="348"/>
      <c r="DB31" s="348"/>
      <c r="DC31" s="348"/>
      <c r="DD31" s="348"/>
      <c r="DE31" s="348"/>
      <c r="DF31" s="348"/>
      <c r="DG31" s="348"/>
      <c r="DH31" s="348"/>
      <c r="DI31" s="348"/>
      <c r="DJ31" s="348"/>
      <c r="DK31" s="348"/>
      <c r="DL31" s="348"/>
      <c r="DM31" s="348"/>
      <c r="DN31" s="348"/>
      <c r="DO31" s="348"/>
    </row>
    <row r="32" spans="45:119">
      <c r="AS32" s="348"/>
      <c r="AT32" s="348"/>
      <c r="AU32" s="348"/>
      <c r="AV32" s="348"/>
      <c r="AW32" s="348"/>
      <c r="AX32" s="348"/>
      <c r="AY32" s="348"/>
      <c r="AZ32" s="348"/>
      <c r="BA32" s="348"/>
      <c r="BB32" s="348"/>
      <c r="BC32" s="348"/>
      <c r="BD32" s="348"/>
      <c r="BE32" s="348"/>
      <c r="BF32" s="348"/>
      <c r="BG32" s="348"/>
      <c r="BH32" s="348"/>
      <c r="BI32" s="348"/>
      <c r="BJ32" s="348"/>
      <c r="BK32" s="348"/>
      <c r="BL32" s="348"/>
      <c r="BM32" s="348"/>
      <c r="BN32" s="348"/>
      <c r="CU32" s="373"/>
      <c r="CV32" s="348"/>
      <c r="CW32" s="348"/>
      <c r="CX32" s="348"/>
      <c r="CY32" s="348"/>
      <c r="CZ32" s="348"/>
      <c r="DA32" s="348"/>
      <c r="DB32" s="348"/>
      <c r="DC32" s="348"/>
      <c r="DD32" s="348"/>
      <c r="DE32" s="348"/>
      <c r="DF32" s="348"/>
      <c r="DG32" s="348"/>
      <c r="DH32" s="348"/>
      <c r="DI32" s="348"/>
      <c r="DJ32" s="348"/>
      <c r="DK32" s="348"/>
      <c r="DL32" s="348"/>
      <c r="DM32" s="348"/>
      <c r="DN32" s="348"/>
      <c r="DO32" s="348"/>
    </row>
    <row r="33" spans="45:119">
      <c r="AS33" s="348"/>
      <c r="AT33" s="348"/>
      <c r="AU33" s="348"/>
      <c r="AV33" s="348"/>
      <c r="AW33" s="348"/>
      <c r="AX33" s="348"/>
      <c r="AY33" s="348"/>
      <c r="AZ33" s="348"/>
      <c r="BA33" s="348"/>
      <c r="BB33" s="348"/>
      <c r="BC33" s="348"/>
      <c r="BD33" s="348"/>
      <c r="BE33" s="348"/>
      <c r="BF33" s="348"/>
      <c r="BG33" s="348"/>
      <c r="BH33" s="348"/>
      <c r="BI33" s="348"/>
      <c r="BJ33" s="348"/>
      <c r="BK33" s="348"/>
      <c r="BL33" s="348"/>
      <c r="BM33" s="348"/>
      <c r="BN33" s="348"/>
      <c r="CU33" s="373"/>
      <c r="CV33" s="348"/>
      <c r="CW33" s="348"/>
      <c r="CX33" s="348"/>
      <c r="CY33" s="348"/>
      <c r="CZ33" s="348"/>
      <c r="DA33" s="348"/>
      <c r="DB33" s="348"/>
      <c r="DC33" s="348"/>
      <c r="DD33" s="348"/>
      <c r="DE33" s="348"/>
      <c r="DF33" s="348"/>
      <c r="DG33" s="348"/>
      <c r="DH33" s="348"/>
      <c r="DI33" s="348"/>
      <c r="DJ33" s="348"/>
      <c r="DK33" s="348"/>
      <c r="DL33" s="348"/>
      <c r="DM33" s="348"/>
      <c r="DN33" s="348"/>
      <c r="DO33" s="348"/>
    </row>
    <row r="34" spans="45:119">
      <c r="AS34" s="348"/>
      <c r="AT34" s="348"/>
      <c r="AU34" s="348"/>
      <c r="AV34" s="348"/>
      <c r="AW34" s="348"/>
      <c r="AX34" s="348"/>
      <c r="AY34" s="348"/>
      <c r="AZ34" s="348"/>
      <c r="BA34" s="348"/>
      <c r="BB34" s="348"/>
      <c r="BC34" s="348"/>
      <c r="BD34" s="348"/>
      <c r="BE34" s="348"/>
      <c r="BF34" s="348"/>
      <c r="BG34" s="348"/>
      <c r="BH34" s="348"/>
      <c r="BI34" s="348"/>
      <c r="BJ34" s="348"/>
      <c r="BK34" s="348"/>
      <c r="BL34" s="348"/>
      <c r="BM34" s="348"/>
      <c r="BN34" s="348"/>
      <c r="CU34" s="348"/>
      <c r="CV34" s="348"/>
      <c r="CW34" s="348"/>
      <c r="CX34" s="348"/>
      <c r="CY34" s="348"/>
      <c r="CZ34" s="348"/>
      <c r="DA34" s="348"/>
      <c r="DB34" s="348"/>
      <c r="DC34" s="348"/>
      <c r="DD34" s="348"/>
      <c r="DE34" s="348"/>
      <c r="DF34" s="348"/>
      <c r="DG34" s="348"/>
      <c r="DH34" s="348"/>
      <c r="DI34" s="348"/>
      <c r="DJ34" s="348"/>
      <c r="DK34" s="348"/>
      <c r="DL34" s="348"/>
      <c r="DM34" s="348"/>
      <c r="DN34" s="348"/>
      <c r="DO34" s="348"/>
    </row>
    <row r="35" spans="45:119">
      <c r="AS35" s="348"/>
      <c r="AT35" s="348"/>
      <c r="AU35" s="348"/>
      <c r="AV35" s="348"/>
      <c r="AW35" s="348"/>
      <c r="AX35" s="348"/>
      <c r="AY35" s="348"/>
      <c r="AZ35" s="348"/>
      <c r="BA35" s="348"/>
      <c r="BB35" s="348"/>
      <c r="BC35" s="348"/>
      <c r="BD35" s="348"/>
      <c r="BE35" s="348"/>
      <c r="BF35" s="348"/>
      <c r="BG35" s="348"/>
      <c r="BH35" s="348"/>
      <c r="BI35" s="348"/>
      <c r="BJ35" s="348"/>
      <c r="BK35" s="348"/>
      <c r="BL35" s="348"/>
      <c r="BM35" s="348"/>
      <c r="BN35" s="348"/>
      <c r="CU35" s="348"/>
      <c r="CV35" s="348"/>
      <c r="CW35" s="348"/>
      <c r="CX35" s="348"/>
      <c r="CY35" s="348"/>
      <c r="CZ35" s="348"/>
      <c r="DA35" s="348"/>
      <c r="DB35" s="348"/>
      <c r="DC35" s="348"/>
      <c r="DD35" s="348"/>
      <c r="DE35" s="348"/>
      <c r="DF35" s="348"/>
      <c r="DG35" s="348"/>
      <c r="DH35" s="348"/>
      <c r="DI35" s="348"/>
      <c r="DJ35" s="348"/>
      <c r="DK35" s="348"/>
      <c r="DL35" s="348"/>
      <c r="DM35" s="348"/>
      <c r="DN35" s="348"/>
      <c r="DO35" s="348"/>
    </row>
    <row r="36" spans="45:119">
      <c r="AS36" s="348"/>
      <c r="AT36" s="348"/>
      <c r="AU36" s="348"/>
      <c r="AV36" s="348"/>
      <c r="AW36" s="348"/>
      <c r="AX36" s="348"/>
      <c r="AY36" s="348"/>
      <c r="AZ36" s="348"/>
      <c r="BA36" s="348"/>
      <c r="BB36" s="348"/>
      <c r="BC36" s="348"/>
      <c r="BD36" s="348"/>
      <c r="BE36" s="348"/>
      <c r="BF36" s="348"/>
      <c r="BG36" s="348"/>
      <c r="BH36" s="348"/>
      <c r="BI36" s="348"/>
      <c r="BJ36" s="348"/>
      <c r="BK36" s="348"/>
      <c r="BL36" s="348"/>
      <c r="BM36" s="348"/>
      <c r="BN36" s="348"/>
      <c r="CU36" s="348"/>
      <c r="CV36" s="348"/>
      <c r="CW36" s="348"/>
      <c r="CX36" s="348"/>
      <c r="CY36" s="348"/>
      <c r="CZ36" s="348"/>
      <c r="DA36" s="348"/>
      <c r="DB36" s="348"/>
      <c r="DC36" s="348"/>
      <c r="DD36" s="348"/>
      <c r="DE36" s="348"/>
      <c r="DF36" s="348"/>
      <c r="DG36" s="348"/>
      <c r="DH36" s="348"/>
      <c r="DI36" s="348"/>
      <c r="DJ36" s="348"/>
      <c r="DK36" s="348"/>
      <c r="DL36" s="348"/>
      <c r="DM36" s="348"/>
      <c r="DN36" s="348"/>
      <c r="DO36" s="348"/>
    </row>
    <row r="37" spans="45:119">
      <c r="AS37" s="348"/>
      <c r="AT37" s="348"/>
      <c r="AU37" s="348"/>
      <c r="AV37" s="348"/>
      <c r="AW37" s="348"/>
      <c r="AX37" s="348"/>
      <c r="AY37" s="348"/>
      <c r="AZ37" s="348"/>
      <c r="BA37" s="348"/>
      <c r="BB37" s="348"/>
      <c r="BC37" s="348"/>
      <c r="BD37" s="348"/>
      <c r="BE37" s="348"/>
      <c r="BF37" s="348"/>
      <c r="BG37" s="348"/>
      <c r="BH37" s="348"/>
      <c r="BI37" s="348"/>
      <c r="BJ37" s="348"/>
      <c r="BK37" s="348"/>
      <c r="BL37" s="348"/>
      <c r="BM37" s="348"/>
      <c r="BN37" s="348"/>
      <c r="CU37" s="348"/>
      <c r="CV37" s="348"/>
      <c r="CW37" s="348"/>
      <c r="CX37" s="348"/>
      <c r="CY37" s="348"/>
      <c r="CZ37" s="348"/>
      <c r="DA37" s="348"/>
      <c r="DB37" s="348"/>
      <c r="DC37" s="348"/>
      <c r="DD37" s="348"/>
      <c r="DE37" s="348"/>
      <c r="DF37" s="348"/>
      <c r="DG37" s="348"/>
      <c r="DH37" s="348"/>
      <c r="DI37" s="348"/>
      <c r="DJ37" s="348"/>
      <c r="DK37" s="348"/>
      <c r="DL37" s="348"/>
      <c r="DM37" s="348"/>
      <c r="DN37" s="348"/>
      <c r="DO37" s="348"/>
    </row>
    <row r="38" spans="45:119"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  <c r="BG38" s="348"/>
      <c r="BH38" s="348"/>
      <c r="BI38" s="348"/>
      <c r="BJ38" s="348"/>
      <c r="BK38" s="348"/>
      <c r="BL38" s="348"/>
      <c r="BM38" s="348"/>
      <c r="BN38" s="348"/>
      <c r="CU38" s="348"/>
      <c r="CV38" s="348"/>
      <c r="CW38" s="348"/>
      <c r="CX38" s="348"/>
      <c r="CY38" s="348"/>
      <c r="CZ38" s="348"/>
      <c r="DA38" s="348"/>
      <c r="DB38" s="348"/>
      <c r="DC38" s="348"/>
      <c r="DD38" s="348"/>
      <c r="DE38" s="348"/>
      <c r="DF38" s="348"/>
      <c r="DG38" s="348"/>
      <c r="DH38" s="348"/>
      <c r="DI38" s="348"/>
      <c r="DJ38" s="348"/>
      <c r="DK38" s="348"/>
      <c r="DL38" s="348"/>
      <c r="DM38" s="348"/>
      <c r="DN38" s="348"/>
      <c r="DO38" s="348"/>
    </row>
    <row r="39" spans="45:119"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8"/>
      <c r="BD39" s="348"/>
      <c r="BE39" s="348"/>
      <c r="BF39" s="348"/>
      <c r="BG39" s="348"/>
      <c r="BH39" s="348"/>
      <c r="BI39" s="348"/>
      <c r="BJ39" s="348"/>
      <c r="BK39" s="348"/>
      <c r="BL39" s="348"/>
      <c r="BM39" s="348"/>
      <c r="BN39" s="348"/>
      <c r="CU39" s="348"/>
      <c r="CV39" s="348"/>
      <c r="CW39" s="348"/>
      <c r="CX39" s="348"/>
      <c r="CY39" s="348"/>
      <c r="CZ39" s="348"/>
      <c r="DA39" s="348"/>
      <c r="DB39" s="348"/>
      <c r="DC39" s="348"/>
      <c r="DD39" s="348"/>
      <c r="DE39" s="348"/>
      <c r="DF39" s="348"/>
      <c r="DG39" s="348"/>
      <c r="DH39" s="348"/>
      <c r="DI39" s="348"/>
      <c r="DJ39" s="348"/>
      <c r="DK39" s="348"/>
      <c r="DL39" s="348"/>
      <c r="DM39" s="348"/>
      <c r="DN39" s="348"/>
      <c r="DO39" s="348"/>
    </row>
    <row r="40" spans="45:119"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8"/>
      <c r="BD40" s="348"/>
      <c r="BE40" s="348"/>
      <c r="BF40" s="348"/>
      <c r="BG40" s="348"/>
      <c r="BH40" s="348"/>
      <c r="BI40" s="348"/>
      <c r="BJ40" s="348"/>
      <c r="BK40" s="348"/>
      <c r="BL40" s="348"/>
      <c r="BM40" s="348"/>
      <c r="BN40" s="348"/>
      <c r="CU40" s="348"/>
      <c r="CV40" s="348"/>
      <c r="CW40" s="348"/>
      <c r="CX40" s="348"/>
      <c r="CY40" s="348"/>
      <c r="CZ40" s="348"/>
      <c r="DA40" s="348"/>
      <c r="DB40" s="348"/>
      <c r="DC40" s="348"/>
      <c r="DD40" s="348"/>
      <c r="DE40" s="348"/>
      <c r="DF40" s="348"/>
      <c r="DG40" s="348"/>
      <c r="DH40" s="348"/>
      <c r="DI40" s="348"/>
      <c r="DJ40" s="348"/>
      <c r="DK40" s="348"/>
      <c r="DL40" s="348"/>
      <c r="DM40" s="348"/>
      <c r="DN40" s="348"/>
      <c r="DO40" s="348"/>
    </row>
    <row r="41" spans="45:119">
      <c r="AS41" s="348"/>
      <c r="AT41" s="348"/>
      <c r="AU41" s="348"/>
      <c r="AV41" s="348"/>
      <c r="AW41" s="348"/>
      <c r="AX41" s="348"/>
      <c r="AY41" s="348"/>
      <c r="AZ41" s="348"/>
      <c r="BA41" s="348"/>
      <c r="BB41" s="348"/>
      <c r="BC41" s="348"/>
      <c r="BD41" s="348"/>
      <c r="BE41" s="348"/>
      <c r="BF41" s="348"/>
      <c r="BG41" s="348"/>
      <c r="BH41" s="348"/>
      <c r="BI41" s="348"/>
      <c r="BJ41" s="348"/>
      <c r="BK41" s="348"/>
      <c r="BL41" s="348"/>
      <c r="BM41" s="348"/>
      <c r="BN41" s="348"/>
      <c r="CU41" s="348"/>
      <c r="CV41" s="348"/>
      <c r="CW41" s="348"/>
      <c r="CX41" s="348"/>
      <c r="CY41" s="348"/>
      <c r="CZ41" s="348"/>
      <c r="DA41" s="348"/>
      <c r="DB41" s="348"/>
      <c r="DC41" s="348"/>
      <c r="DD41" s="348"/>
      <c r="DE41" s="348"/>
      <c r="DF41" s="348"/>
      <c r="DG41" s="348"/>
      <c r="DH41" s="348"/>
      <c r="DI41" s="348"/>
      <c r="DJ41" s="348"/>
      <c r="DK41" s="348"/>
      <c r="DL41" s="348"/>
      <c r="DM41" s="348"/>
      <c r="DN41" s="348"/>
      <c r="DO41" s="348"/>
    </row>
    <row r="42" spans="45:119">
      <c r="AS42" s="348"/>
      <c r="AT42" s="348"/>
      <c r="AU42" s="348"/>
      <c r="AV42" s="348"/>
      <c r="AW42" s="348"/>
      <c r="AX42" s="348"/>
      <c r="AY42" s="348"/>
      <c r="AZ42" s="348"/>
      <c r="BA42" s="348"/>
      <c r="BB42" s="348"/>
      <c r="BC42" s="348"/>
      <c r="BD42" s="348"/>
      <c r="BE42" s="348"/>
      <c r="BF42" s="348"/>
      <c r="BG42" s="348"/>
      <c r="BH42" s="348"/>
      <c r="BI42" s="348"/>
      <c r="BJ42" s="348"/>
      <c r="BK42" s="348"/>
      <c r="BL42" s="348"/>
      <c r="BM42" s="348"/>
      <c r="BN42" s="348"/>
      <c r="CU42" s="348"/>
      <c r="CV42" s="348"/>
      <c r="CW42" s="348"/>
      <c r="CX42" s="348"/>
      <c r="CY42" s="348"/>
      <c r="CZ42" s="348"/>
      <c r="DA42" s="348"/>
      <c r="DB42" s="348"/>
      <c r="DC42" s="348"/>
      <c r="DD42" s="348"/>
      <c r="DE42" s="348"/>
      <c r="DF42" s="348"/>
      <c r="DG42" s="348"/>
      <c r="DH42" s="348"/>
      <c r="DI42" s="348"/>
      <c r="DJ42" s="348"/>
      <c r="DK42" s="348"/>
      <c r="DL42" s="348"/>
      <c r="DM42" s="348"/>
      <c r="DN42" s="348"/>
      <c r="DO42" s="348"/>
    </row>
    <row r="43" spans="45:119">
      <c r="AS43" s="348"/>
      <c r="AT43" s="348"/>
      <c r="AU43" s="348"/>
      <c r="AV43" s="348"/>
      <c r="AW43" s="348"/>
      <c r="AX43" s="348"/>
      <c r="AY43" s="348"/>
      <c r="AZ43" s="348"/>
      <c r="BA43" s="348"/>
      <c r="BB43" s="348"/>
      <c r="BC43" s="348"/>
      <c r="BD43" s="348"/>
      <c r="BE43" s="348"/>
      <c r="BF43" s="348"/>
      <c r="BG43" s="348"/>
      <c r="BH43" s="348"/>
      <c r="BI43" s="348"/>
      <c r="BJ43" s="348"/>
      <c r="BK43" s="348"/>
      <c r="BL43" s="348"/>
      <c r="BM43" s="348"/>
      <c r="BN43" s="348"/>
      <c r="CU43" s="348"/>
      <c r="CV43" s="348"/>
      <c r="CW43" s="348"/>
      <c r="CX43" s="348"/>
      <c r="CY43" s="348"/>
      <c r="CZ43" s="348"/>
      <c r="DA43" s="348"/>
      <c r="DB43" s="348"/>
      <c r="DC43" s="348"/>
      <c r="DD43" s="348"/>
      <c r="DE43" s="348"/>
      <c r="DF43" s="348"/>
      <c r="DG43" s="348"/>
      <c r="DH43" s="348"/>
      <c r="DI43" s="348"/>
      <c r="DJ43" s="348"/>
      <c r="DK43" s="348"/>
      <c r="DL43" s="348"/>
      <c r="DM43" s="348"/>
      <c r="DN43" s="348"/>
      <c r="DO43" s="348"/>
    </row>
    <row r="44" spans="45:119">
      <c r="AS44" s="348"/>
      <c r="AT44" s="348"/>
      <c r="AU44" s="348"/>
      <c r="AV44" s="348"/>
      <c r="AW44" s="348"/>
      <c r="AX44" s="348"/>
      <c r="AY44" s="348"/>
      <c r="AZ44" s="348"/>
      <c r="BA44" s="348"/>
      <c r="BB44" s="348"/>
      <c r="BC44" s="348"/>
      <c r="BD44" s="348"/>
      <c r="BE44" s="348"/>
      <c r="BF44" s="348"/>
      <c r="BG44" s="348"/>
      <c r="BH44" s="348"/>
      <c r="BI44" s="348"/>
      <c r="BJ44" s="348"/>
      <c r="BK44" s="348"/>
      <c r="BL44" s="348"/>
      <c r="BM44" s="348"/>
      <c r="BN44" s="348"/>
      <c r="CU44" s="348"/>
      <c r="CV44" s="348"/>
      <c r="CW44" s="348"/>
      <c r="CX44" s="348"/>
      <c r="CY44" s="348"/>
      <c r="CZ44" s="348"/>
      <c r="DA44" s="348"/>
      <c r="DB44" s="348"/>
      <c r="DC44" s="348"/>
      <c r="DD44" s="348"/>
      <c r="DE44" s="348"/>
      <c r="DF44" s="348"/>
      <c r="DG44" s="348"/>
      <c r="DH44" s="348"/>
      <c r="DI44" s="348"/>
      <c r="DJ44" s="348"/>
      <c r="DK44" s="348"/>
      <c r="DL44" s="348"/>
      <c r="DM44" s="348"/>
      <c r="DN44" s="348"/>
      <c r="DO44" s="348"/>
    </row>
    <row r="45" spans="45:119"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48"/>
      <c r="BD45" s="348"/>
      <c r="BE45" s="348"/>
      <c r="BF45" s="348"/>
      <c r="BG45" s="348"/>
      <c r="BH45" s="348"/>
      <c r="BI45" s="348"/>
      <c r="BJ45" s="348"/>
      <c r="BK45" s="348"/>
      <c r="BL45" s="348"/>
      <c r="BM45" s="348"/>
      <c r="BN45" s="348"/>
      <c r="CU45" s="348"/>
      <c r="CV45" s="348"/>
      <c r="CW45" s="348"/>
      <c r="CX45" s="348"/>
      <c r="CY45" s="348"/>
      <c r="CZ45" s="348"/>
      <c r="DA45" s="348"/>
      <c r="DB45" s="348"/>
      <c r="DC45" s="348"/>
      <c r="DD45" s="348"/>
      <c r="DE45" s="348"/>
      <c r="DF45" s="348"/>
      <c r="DG45" s="348"/>
      <c r="DH45" s="348"/>
      <c r="DI45" s="348"/>
      <c r="DJ45" s="348"/>
      <c r="DK45" s="348"/>
      <c r="DL45" s="348"/>
      <c r="DM45" s="348"/>
      <c r="DN45" s="348"/>
      <c r="DO45" s="348"/>
    </row>
    <row r="46" spans="45:119">
      <c r="AS46" s="348"/>
      <c r="AT46" s="348"/>
      <c r="AU46" s="348"/>
      <c r="AV46" s="348"/>
      <c r="AW46" s="348"/>
      <c r="AX46" s="348"/>
      <c r="AY46" s="348"/>
      <c r="AZ46" s="348"/>
      <c r="BA46" s="348"/>
      <c r="BB46" s="348"/>
      <c r="BC46" s="348"/>
      <c r="BD46" s="348"/>
      <c r="BE46" s="348"/>
      <c r="BF46" s="348"/>
      <c r="BG46" s="348"/>
      <c r="BH46" s="348"/>
      <c r="BI46" s="348"/>
      <c r="BJ46" s="348"/>
      <c r="BK46" s="348"/>
      <c r="BL46" s="348"/>
      <c r="BM46" s="348"/>
      <c r="BN46" s="348"/>
      <c r="CU46" s="348"/>
      <c r="CV46" s="348"/>
      <c r="CW46" s="348"/>
      <c r="CX46" s="348"/>
      <c r="CY46" s="348"/>
      <c r="CZ46" s="348"/>
      <c r="DA46" s="348"/>
      <c r="DB46" s="348"/>
      <c r="DC46" s="348"/>
      <c r="DD46" s="348"/>
      <c r="DE46" s="348"/>
      <c r="DF46" s="348"/>
      <c r="DG46" s="348"/>
      <c r="DH46" s="348"/>
      <c r="DI46" s="348"/>
      <c r="DJ46" s="348"/>
      <c r="DK46" s="348"/>
      <c r="DL46" s="348"/>
      <c r="DM46" s="348"/>
      <c r="DN46" s="348"/>
      <c r="DO46" s="348"/>
    </row>
    <row r="47" spans="45:119">
      <c r="AS47" s="348"/>
      <c r="AT47" s="348"/>
      <c r="AU47" s="348"/>
      <c r="AV47" s="348"/>
      <c r="AW47" s="348"/>
      <c r="AX47" s="348"/>
      <c r="AY47" s="348"/>
      <c r="AZ47" s="348"/>
      <c r="BA47" s="348"/>
      <c r="BB47" s="348"/>
      <c r="BC47" s="348"/>
      <c r="BD47" s="348"/>
      <c r="BE47" s="348"/>
      <c r="BF47" s="348"/>
      <c r="BG47" s="348"/>
      <c r="BH47" s="348"/>
      <c r="BI47" s="348"/>
      <c r="BJ47" s="348"/>
      <c r="BK47" s="348"/>
      <c r="BL47" s="348"/>
      <c r="BM47" s="348"/>
      <c r="BN47" s="348"/>
      <c r="CU47" s="348"/>
      <c r="CV47" s="348"/>
      <c r="CW47" s="348"/>
      <c r="CX47" s="348"/>
      <c r="CY47" s="348"/>
      <c r="CZ47" s="348"/>
      <c r="DA47" s="348"/>
      <c r="DB47" s="348"/>
      <c r="DC47" s="348"/>
      <c r="DD47" s="348"/>
      <c r="DE47" s="348"/>
      <c r="DF47" s="348"/>
      <c r="DG47" s="348"/>
      <c r="DH47" s="348"/>
      <c r="DI47" s="348"/>
      <c r="DJ47" s="348"/>
      <c r="DK47" s="348"/>
      <c r="DL47" s="348"/>
      <c r="DM47" s="348"/>
      <c r="DN47" s="348"/>
      <c r="DO47" s="348"/>
    </row>
    <row r="48" spans="45:119">
      <c r="AS48" s="348"/>
      <c r="AT48" s="348"/>
      <c r="AU48" s="348"/>
      <c r="AV48" s="348"/>
      <c r="AW48" s="348"/>
      <c r="AX48" s="348"/>
      <c r="AY48" s="348"/>
      <c r="AZ48" s="348"/>
      <c r="BA48" s="348"/>
      <c r="BB48" s="348"/>
      <c r="BC48" s="348"/>
      <c r="BD48" s="348"/>
      <c r="BE48" s="348"/>
      <c r="BF48" s="348"/>
      <c r="BG48" s="348"/>
      <c r="BH48" s="348"/>
      <c r="BI48" s="348"/>
      <c r="BJ48" s="348"/>
      <c r="BK48" s="348"/>
      <c r="BL48" s="348"/>
      <c r="BM48" s="348"/>
      <c r="BN48" s="348"/>
      <c r="CU48" s="348"/>
      <c r="CV48" s="348"/>
      <c r="CW48" s="348"/>
      <c r="CX48" s="348"/>
      <c r="CY48" s="348"/>
      <c r="CZ48" s="348"/>
      <c r="DA48" s="348"/>
      <c r="DB48" s="348"/>
      <c r="DC48" s="348"/>
      <c r="DD48" s="348"/>
      <c r="DE48" s="348"/>
      <c r="DF48" s="348"/>
      <c r="DG48" s="348"/>
      <c r="DH48" s="348"/>
      <c r="DI48" s="348"/>
      <c r="DJ48" s="348"/>
      <c r="DK48" s="348"/>
      <c r="DL48" s="348"/>
      <c r="DM48" s="348"/>
      <c r="DN48" s="348"/>
      <c r="DO48" s="348"/>
    </row>
    <row r="49" spans="45:119"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48"/>
      <c r="BD49" s="348"/>
      <c r="BE49" s="348"/>
      <c r="BF49" s="348"/>
      <c r="BG49" s="348"/>
      <c r="BH49" s="348"/>
      <c r="BI49" s="348"/>
      <c r="BJ49" s="348"/>
      <c r="BK49" s="348"/>
      <c r="BL49" s="348"/>
      <c r="BM49" s="348"/>
      <c r="BN49" s="348"/>
      <c r="CU49" s="348"/>
      <c r="CV49" s="348"/>
      <c r="CW49" s="348"/>
      <c r="CX49" s="348"/>
      <c r="CY49" s="348"/>
      <c r="CZ49" s="348"/>
      <c r="DA49" s="348"/>
      <c r="DB49" s="348"/>
      <c r="DC49" s="348"/>
      <c r="DD49" s="348"/>
      <c r="DE49" s="348"/>
      <c r="DF49" s="348"/>
      <c r="DG49" s="348"/>
      <c r="DH49" s="348"/>
      <c r="DI49" s="348"/>
      <c r="DJ49" s="348"/>
      <c r="DK49" s="348"/>
      <c r="DL49" s="348"/>
      <c r="DM49" s="348"/>
      <c r="DN49" s="348"/>
      <c r="DO49" s="348"/>
    </row>
    <row r="50" spans="45:119">
      <c r="AS50" s="348"/>
      <c r="AT50" s="348"/>
      <c r="AU50" s="348"/>
      <c r="AV50" s="348"/>
      <c r="AW50" s="348"/>
      <c r="AX50" s="348"/>
      <c r="AY50" s="348"/>
      <c r="AZ50" s="348"/>
      <c r="BA50" s="348"/>
      <c r="BB50" s="348"/>
      <c r="BC50" s="348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48"/>
      <c r="CU50" s="348"/>
      <c r="CV50" s="348"/>
      <c r="CW50" s="348"/>
      <c r="CX50" s="348"/>
      <c r="CY50" s="348"/>
      <c r="CZ50" s="348"/>
      <c r="DA50" s="348"/>
      <c r="DB50" s="348"/>
      <c r="DC50" s="348"/>
      <c r="DD50" s="348"/>
      <c r="DE50" s="348"/>
      <c r="DF50" s="348"/>
      <c r="DG50" s="348"/>
      <c r="DH50" s="348"/>
      <c r="DI50" s="348"/>
      <c r="DJ50" s="348"/>
      <c r="DK50" s="348"/>
      <c r="DL50" s="348"/>
      <c r="DM50" s="348"/>
      <c r="DN50" s="348"/>
      <c r="DO50" s="348"/>
    </row>
    <row r="51" spans="45:119">
      <c r="AS51" s="348"/>
      <c r="AT51" s="348"/>
      <c r="AU51" s="348"/>
      <c r="AV51" s="348"/>
      <c r="AW51" s="348"/>
      <c r="AX51" s="348"/>
      <c r="AY51" s="348"/>
      <c r="AZ51" s="348"/>
      <c r="BA51" s="348"/>
      <c r="BB51" s="348"/>
      <c r="BC51" s="348"/>
      <c r="BD51" s="348"/>
      <c r="BE51" s="348"/>
      <c r="BF51" s="348"/>
      <c r="BG51" s="348"/>
      <c r="BH51" s="348"/>
      <c r="BI51" s="348"/>
      <c r="BJ51" s="348"/>
      <c r="BK51" s="348"/>
      <c r="BL51" s="348"/>
      <c r="BM51" s="348"/>
      <c r="BN51" s="348"/>
      <c r="CU51" s="348"/>
      <c r="CV51" s="348"/>
      <c r="CW51" s="348"/>
      <c r="CX51" s="348"/>
      <c r="CY51" s="348"/>
      <c r="CZ51" s="348"/>
      <c r="DA51" s="348"/>
      <c r="DB51" s="348"/>
      <c r="DC51" s="348"/>
      <c r="DD51" s="348"/>
      <c r="DE51" s="348"/>
      <c r="DF51" s="348"/>
      <c r="DG51" s="348"/>
      <c r="DH51" s="348"/>
      <c r="DI51" s="348"/>
      <c r="DJ51" s="348"/>
      <c r="DK51" s="348"/>
      <c r="DL51" s="348"/>
      <c r="DM51" s="348"/>
      <c r="DN51" s="348"/>
      <c r="DO51" s="348"/>
    </row>
    <row r="52" spans="45:119">
      <c r="AS52" s="348"/>
      <c r="AT52" s="348"/>
      <c r="AU52" s="348"/>
      <c r="AV52" s="348"/>
      <c r="AW52" s="348"/>
      <c r="AX52" s="348"/>
      <c r="AY52" s="348"/>
      <c r="AZ52" s="348"/>
      <c r="BA52" s="348"/>
      <c r="BB52" s="348"/>
      <c r="BC52" s="348"/>
      <c r="BD52" s="348"/>
      <c r="BE52" s="348"/>
      <c r="BF52" s="348"/>
      <c r="BG52" s="348"/>
      <c r="BH52" s="348"/>
      <c r="BI52" s="348"/>
      <c r="BJ52" s="348"/>
      <c r="BK52" s="348"/>
      <c r="BL52" s="348"/>
      <c r="BM52" s="348"/>
      <c r="BN52" s="348"/>
      <c r="CU52" s="348"/>
      <c r="CV52" s="348"/>
      <c r="CW52" s="348"/>
      <c r="CX52" s="348"/>
      <c r="CY52" s="348"/>
      <c r="CZ52" s="348"/>
      <c r="DA52" s="348"/>
      <c r="DB52" s="348"/>
      <c r="DC52" s="348"/>
      <c r="DD52" s="348"/>
      <c r="DE52" s="348"/>
      <c r="DF52" s="348"/>
      <c r="DG52" s="348"/>
      <c r="DH52" s="348"/>
      <c r="DI52" s="348"/>
      <c r="DJ52" s="348"/>
      <c r="DK52" s="348"/>
      <c r="DL52" s="348"/>
      <c r="DM52" s="348"/>
      <c r="DN52" s="348"/>
      <c r="DO52" s="348"/>
    </row>
    <row r="53" spans="45:119">
      <c r="AS53" s="348"/>
      <c r="AT53" s="348"/>
      <c r="AU53" s="348"/>
      <c r="AV53" s="348"/>
      <c r="AW53" s="348"/>
      <c r="AX53" s="348"/>
      <c r="AY53" s="348"/>
      <c r="AZ53" s="348"/>
      <c r="BA53" s="348"/>
      <c r="BB53" s="348"/>
      <c r="BC53" s="348"/>
      <c r="BD53" s="348"/>
      <c r="BE53" s="348"/>
      <c r="BF53" s="348"/>
      <c r="BG53" s="348"/>
      <c r="BH53" s="348"/>
      <c r="BI53" s="348"/>
      <c r="BJ53" s="348"/>
      <c r="BK53" s="348"/>
      <c r="BL53" s="348"/>
      <c r="BM53" s="348"/>
      <c r="BN53" s="348"/>
      <c r="CU53" s="348"/>
      <c r="CV53" s="348"/>
      <c r="CW53" s="348"/>
      <c r="CX53" s="348"/>
      <c r="CY53" s="348"/>
      <c r="CZ53" s="348"/>
      <c r="DA53" s="348"/>
      <c r="DB53" s="348"/>
      <c r="DC53" s="348"/>
      <c r="DD53" s="348"/>
      <c r="DE53" s="348"/>
      <c r="DF53" s="348"/>
      <c r="DG53" s="348"/>
      <c r="DH53" s="348"/>
      <c r="DI53" s="348"/>
      <c r="DJ53" s="348"/>
      <c r="DK53" s="348"/>
      <c r="DL53" s="348"/>
      <c r="DM53" s="348"/>
      <c r="DN53" s="348"/>
      <c r="DO53" s="348"/>
    </row>
    <row r="54" spans="45:119">
      <c r="AS54" s="348"/>
      <c r="AT54" s="348"/>
      <c r="AU54" s="348"/>
      <c r="AV54" s="348"/>
      <c r="AW54" s="348"/>
      <c r="AX54" s="348"/>
      <c r="AY54" s="348"/>
      <c r="AZ54" s="348"/>
      <c r="BA54" s="348"/>
      <c r="BB54" s="348"/>
      <c r="BC54" s="348"/>
      <c r="BD54" s="348"/>
      <c r="BE54" s="348"/>
      <c r="BF54" s="348"/>
      <c r="BG54" s="348"/>
      <c r="BH54" s="348"/>
      <c r="BI54" s="348"/>
      <c r="BJ54" s="348"/>
      <c r="BK54" s="348"/>
      <c r="BL54" s="348"/>
      <c r="BM54" s="348"/>
      <c r="BN54" s="348"/>
      <c r="CU54" s="348"/>
      <c r="CV54" s="348"/>
      <c r="CW54" s="348"/>
      <c r="CX54" s="348"/>
      <c r="CY54" s="348"/>
      <c r="CZ54" s="348"/>
      <c r="DA54" s="348"/>
      <c r="DB54" s="348"/>
      <c r="DC54" s="348"/>
      <c r="DD54" s="348"/>
      <c r="DE54" s="348"/>
      <c r="DF54" s="348"/>
      <c r="DG54" s="348"/>
      <c r="DH54" s="348"/>
      <c r="DI54" s="348"/>
      <c r="DJ54" s="348"/>
      <c r="DK54" s="348"/>
      <c r="DL54" s="348"/>
      <c r="DM54" s="348"/>
      <c r="DN54" s="348"/>
      <c r="DO54" s="348"/>
    </row>
    <row r="55" spans="45:119">
      <c r="AS55" s="348"/>
      <c r="AT55" s="348"/>
      <c r="AU55" s="348"/>
      <c r="AV55" s="348"/>
      <c r="AW55" s="348"/>
      <c r="AX55" s="348"/>
      <c r="AY55" s="348"/>
      <c r="AZ55" s="348"/>
      <c r="BA55" s="348"/>
      <c r="BB55" s="348"/>
      <c r="BC55" s="348"/>
      <c r="BD55" s="348"/>
      <c r="BE55" s="348"/>
      <c r="BF55" s="348"/>
      <c r="BG55" s="348"/>
      <c r="BH55" s="348"/>
      <c r="BI55" s="348"/>
      <c r="BJ55" s="348"/>
      <c r="BK55" s="348"/>
      <c r="BL55" s="348"/>
      <c r="BM55" s="348"/>
      <c r="BN55" s="348"/>
      <c r="CU55" s="348"/>
      <c r="CV55" s="348"/>
      <c r="CW55" s="348"/>
      <c r="CX55" s="348"/>
      <c r="CY55" s="348"/>
      <c r="CZ55" s="348"/>
      <c r="DA55" s="348"/>
      <c r="DB55" s="348"/>
      <c r="DC55" s="348"/>
      <c r="DD55" s="348"/>
      <c r="DE55" s="348"/>
      <c r="DF55" s="348"/>
      <c r="DG55" s="348"/>
      <c r="DH55" s="348"/>
      <c r="DI55" s="348"/>
      <c r="DJ55" s="348"/>
      <c r="DK55" s="348"/>
      <c r="DL55" s="348"/>
      <c r="DM55" s="348"/>
      <c r="DN55" s="348"/>
      <c r="DO55" s="348"/>
    </row>
    <row r="56" spans="45:119">
      <c r="AS56" s="348"/>
      <c r="AT56" s="348"/>
      <c r="AU56" s="348"/>
      <c r="AV56" s="348"/>
      <c r="AW56" s="348"/>
      <c r="AX56" s="348"/>
      <c r="AY56" s="348"/>
      <c r="AZ56" s="348"/>
      <c r="BA56" s="348"/>
      <c r="BB56" s="348"/>
      <c r="BC56" s="348"/>
      <c r="BD56" s="348"/>
      <c r="BE56" s="348"/>
      <c r="BF56" s="348"/>
      <c r="BG56" s="348"/>
      <c r="BH56" s="348"/>
      <c r="BI56" s="348"/>
      <c r="BJ56" s="348"/>
      <c r="BK56" s="348"/>
      <c r="BL56" s="348"/>
      <c r="BM56" s="348"/>
      <c r="BN56" s="348"/>
      <c r="CU56" s="348"/>
      <c r="CV56" s="348"/>
      <c r="CW56" s="348"/>
      <c r="CX56" s="348"/>
      <c r="CY56" s="348"/>
      <c r="CZ56" s="348"/>
      <c r="DA56" s="348"/>
      <c r="DB56" s="348"/>
      <c r="DC56" s="348"/>
      <c r="DD56" s="348"/>
      <c r="DE56" s="348"/>
      <c r="DF56" s="348"/>
      <c r="DG56" s="348"/>
      <c r="DH56" s="348"/>
      <c r="DI56" s="348"/>
      <c r="DJ56" s="348"/>
      <c r="DK56" s="348"/>
      <c r="DL56" s="348"/>
      <c r="DM56" s="348"/>
      <c r="DN56" s="348"/>
      <c r="DO56" s="348"/>
    </row>
    <row r="57" spans="45:119">
      <c r="AS57" s="348"/>
      <c r="AT57" s="348"/>
      <c r="AU57" s="348"/>
      <c r="AV57" s="348"/>
      <c r="AW57" s="348"/>
      <c r="AX57" s="348"/>
      <c r="AY57" s="348"/>
      <c r="AZ57" s="348"/>
      <c r="BA57" s="348"/>
      <c r="BB57" s="348"/>
      <c r="BC57" s="348"/>
      <c r="BD57" s="348"/>
      <c r="BE57" s="348"/>
      <c r="BF57" s="348"/>
      <c r="BG57" s="348"/>
      <c r="BH57" s="348"/>
      <c r="BI57" s="348"/>
      <c r="BJ57" s="348"/>
      <c r="BK57" s="348"/>
      <c r="BL57" s="348"/>
      <c r="BM57" s="348"/>
      <c r="BN57" s="348"/>
      <c r="CU57" s="348"/>
      <c r="CV57" s="348"/>
      <c r="CW57" s="348"/>
      <c r="CX57" s="348"/>
      <c r="CY57" s="348"/>
      <c r="CZ57" s="348"/>
      <c r="DA57" s="348"/>
      <c r="DB57" s="348"/>
      <c r="DC57" s="348"/>
      <c r="DD57" s="348"/>
      <c r="DE57" s="348"/>
      <c r="DF57" s="348"/>
      <c r="DG57" s="348"/>
      <c r="DH57" s="348"/>
      <c r="DI57" s="348"/>
      <c r="DJ57" s="348"/>
      <c r="DK57" s="348"/>
      <c r="DL57" s="348"/>
      <c r="DM57" s="348"/>
      <c r="DN57" s="348"/>
      <c r="DO57" s="348"/>
    </row>
    <row r="58" spans="45:119">
      <c r="AS58" s="348"/>
      <c r="AT58" s="348"/>
      <c r="AU58" s="348"/>
      <c r="AV58" s="348"/>
      <c r="AW58" s="348"/>
      <c r="AX58" s="348"/>
      <c r="AY58" s="348"/>
      <c r="AZ58" s="348"/>
      <c r="BA58" s="348"/>
      <c r="BB58" s="348"/>
      <c r="BC58" s="348"/>
      <c r="BD58" s="348"/>
      <c r="BE58" s="348"/>
      <c r="BF58" s="348"/>
      <c r="BG58" s="348"/>
      <c r="BH58" s="348"/>
      <c r="BI58" s="348"/>
      <c r="BJ58" s="348"/>
      <c r="BK58" s="348"/>
      <c r="BL58" s="348"/>
      <c r="BM58" s="348"/>
      <c r="BN58" s="348"/>
      <c r="CU58" s="348"/>
      <c r="CV58" s="348"/>
      <c r="CW58" s="348"/>
      <c r="CX58" s="348"/>
      <c r="CY58" s="348"/>
      <c r="CZ58" s="348"/>
      <c r="DA58" s="348"/>
      <c r="DB58" s="348"/>
      <c r="DC58" s="348"/>
      <c r="DD58" s="348"/>
      <c r="DE58" s="348"/>
      <c r="DF58" s="348"/>
      <c r="DG58" s="348"/>
      <c r="DH58" s="348"/>
      <c r="DI58" s="348"/>
      <c r="DJ58" s="348"/>
      <c r="DK58" s="348"/>
      <c r="DL58" s="348"/>
      <c r="DM58" s="348"/>
      <c r="DN58" s="348"/>
      <c r="DO58" s="348"/>
    </row>
    <row r="59" spans="45:119">
      <c r="AS59" s="348"/>
      <c r="AT59" s="348"/>
      <c r="AU59" s="348"/>
      <c r="AV59" s="348"/>
      <c r="AW59" s="348"/>
      <c r="AX59" s="348"/>
      <c r="AY59" s="348"/>
      <c r="AZ59" s="348"/>
      <c r="BA59" s="348"/>
      <c r="BB59" s="348"/>
      <c r="BC59" s="348"/>
      <c r="BD59" s="348"/>
      <c r="BE59" s="348"/>
      <c r="BF59" s="348"/>
      <c r="BG59" s="348"/>
      <c r="BH59" s="348"/>
      <c r="BI59" s="348"/>
      <c r="BJ59" s="348"/>
      <c r="BK59" s="348"/>
      <c r="BL59" s="348"/>
      <c r="BM59" s="348"/>
      <c r="BN59" s="348"/>
      <c r="CU59" s="348"/>
      <c r="CV59" s="348"/>
      <c r="CW59" s="348"/>
      <c r="CX59" s="348"/>
      <c r="CY59" s="348"/>
      <c r="CZ59" s="348"/>
      <c r="DA59" s="348"/>
      <c r="DB59" s="348"/>
      <c r="DC59" s="348"/>
      <c r="DD59" s="348"/>
      <c r="DE59" s="348"/>
      <c r="DF59" s="348"/>
      <c r="DG59" s="348"/>
      <c r="DH59" s="348"/>
      <c r="DI59" s="348"/>
      <c r="DJ59" s="348"/>
      <c r="DK59" s="348"/>
      <c r="DL59" s="348"/>
      <c r="DM59" s="348"/>
      <c r="DN59" s="348"/>
      <c r="DO59" s="348"/>
    </row>
    <row r="60" spans="45:119">
      <c r="AS60" s="348"/>
      <c r="AT60" s="348"/>
      <c r="AU60" s="348"/>
      <c r="AV60" s="348"/>
      <c r="AW60" s="348"/>
      <c r="AX60" s="348"/>
      <c r="AY60" s="348"/>
      <c r="AZ60" s="348"/>
      <c r="BA60" s="348"/>
      <c r="BB60" s="348"/>
      <c r="BC60" s="348"/>
      <c r="BD60" s="348"/>
      <c r="BE60" s="348"/>
      <c r="BF60" s="348"/>
      <c r="BG60" s="348"/>
      <c r="BH60" s="348"/>
      <c r="BI60" s="348"/>
      <c r="BJ60" s="348"/>
      <c r="BK60" s="348"/>
      <c r="BL60" s="348"/>
      <c r="BM60" s="348"/>
      <c r="BN60" s="348"/>
      <c r="CU60" s="348"/>
      <c r="CV60" s="348"/>
      <c r="CW60" s="348"/>
      <c r="CX60" s="348"/>
      <c r="CY60" s="348"/>
      <c r="CZ60" s="348"/>
      <c r="DA60" s="348"/>
      <c r="DB60" s="348"/>
      <c r="DC60" s="348"/>
      <c r="DD60" s="348"/>
      <c r="DE60" s="348"/>
      <c r="DF60" s="348"/>
      <c r="DG60" s="348"/>
      <c r="DH60" s="348"/>
      <c r="DI60" s="348"/>
      <c r="DJ60" s="348"/>
      <c r="DK60" s="348"/>
      <c r="DL60" s="348"/>
      <c r="DM60" s="348"/>
      <c r="DN60" s="348"/>
      <c r="DO60" s="348"/>
    </row>
    <row r="61" spans="45:119">
      <c r="AS61" s="348"/>
      <c r="AT61" s="348"/>
      <c r="AU61" s="348"/>
      <c r="AV61" s="348"/>
      <c r="AW61" s="348"/>
      <c r="AX61" s="348"/>
      <c r="AY61" s="348"/>
      <c r="AZ61" s="348"/>
      <c r="BA61" s="348"/>
      <c r="BB61" s="348"/>
      <c r="BC61" s="348"/>
      <c r="BD61" s="348"/>
      <c r="BE61" s="348"/>
      <c r="BF61" s="348"/>
      <c r="BG61" s="348"/>
      <c r="BH61" s="348"/>
      <c r="BI61" s="348"/>
      <c r="BJ61" s="348"/>
      <c r="BK61" s="348"/>
      <c r="BL61" s="348"/>
      <c r="BM61" s="348"/>
      <c r="BN61" s="348"/>
      <c r="CU61" s="348"/>
      <c r="CV61" s="348"/>
      <c r="CW61" s="348"/>
      <c r="CX61" s="348"/>
      <c r="CY61" s="348"/>
      <c r="CZ61" s="348"/>
      <c r="DA61" s="348"/>
      <c r="DB61" s="348"/>
      <c r="DC61" s="348"/>
      <c r="DD61" s="348"/>
      <c r="DE61" s="348"/>
      <c r="DF61" s="348"/>
      <c r="DG61" s="348"/>
      <c r="DH61" s="348"/>
      <c r="DI61" s="348"/>
      <c r="DJ61" s="348"/>
      <c r="DK61" s="348"/>
      <c r="DL61" s="348"/>
      <c r="DM61" s="348"/>
      <c r="DN61" s="348"/>
      <c r="DO61" s="348"/>
    </row>
    <row r="62" spans="45:119">
      <c r="AS62" s="348"/>
      <c r="AT62" s="348"/>
      <c r="AU62" s="348"/>
      <c r="AV62" s="348"/>
      <c r="AW62" s="348"/>
      <c r="AX62" s="348"/>
      <c r="AY62" s="348"/>
      <c r="AZ62" s="348"/>
      <c r="BA62" s="348"/>
      <c r="BB62" s="348"/>
      <c r="BC62" s="348"/>
      <c r="BD62" s="348"/>
      <c r="BE62" s="348"/>
      <c r="BF62" s="348"/>
      <c r="BG62" s="348"/>
      <c r="BH62" s="348"/>
      <c r="BI62" s="348"/>
      <c r="BJ62" s="348"/>
      <c r="BK62" s="348"/>
      <c r="BL62" s="348"/>
      <c r="BM62" s="348"/>
      <c r="BN62" s="348"/>
      <c r="CU62" s="348"/>
      <c r="CV62" s="348"/>
      <c r="CW62" s="348"/>
      <c r="CX62" s="348"/>
      <c r="CY62" s="348"/>
      <c r="CZ62" s="348"/>
      <c r="DA62" s="348"/>
      <c r="DB62" s="348"/>
      <c r="DC62" s="348"/>
      <c r="DD62" s="348"/>
      <c r="DE62" s="348"/>
      <c r="DF62" s="348"/>
      <c r="DG62" s="348"/>
      <c r="DH62" s="348"/>
      <c r="DI62" s="348"/>
      <c r="DJ62" s="348"/>
      <c r="DK62" s="348"/>
      <c r="DL62" s="348"/>
      <c r="DM62" s="348"/>
      <c r="DN62" s="348"/>
      <c r="DO62" s="348"/>
    </row>
    <row r="63" spans="45:119">
      <c r="AS63" s="348"/>
      <c r="AT63" s="348"/>
      <c r="AU63" s="348"/>
      <c r="AV63" s="348"/>
      <c r="AW63" s="348"/>
      <c r="AX63" s="348"/>
      <c r="AY63" s="348"/>
      <c r="AZ63" s="348"/>
      <c r="BA63" s="348"/>
      <c r="BB63" s="348"/>
      <c r="BC63" s="348"/>
      <c r="BD63" s="348"/>
      <c r="BE63" s="348"/>
      <c r="BF63" s="348"/>
      <c r="BG63" s="348"/>
      <c r="BH63" s="348"/>
      <c r="BI63" s="348"/>
      <c r="BJ63" s="348"/>
      <c r="BK63" s="348"/>
      <c r="BL63" s="348"/>
      <c r="BM63" s="348"/>
      <c r="BN63" s="348"/>
      <c r="CU63" s="348"/>
      <c r="CV63" s="348"/>
      <c r="CW63" s="348"/>
      <c r="CX63" s="348"/>
      <c r="CY63" s="348"/>
      <c r="CZ63" s="348"/>
      <c r="DA63" s="348"/>
      <c r="DB63" s="348"/>
      <c r="DC63" s="348"/>
      <c r="DD63" s="348"/>
      <c r="DE63" s="348"/>
      <c r="DF63" s="348"/>
      <c r="DG63" s="348"/>
      <c r="DH63" s="348"/>
      <c r="DI63" s="348"/>
      <c r="DJ63" s="348"/>
      <c r="DK63" s="348"/>
      <c r="DL63" s="348"/>
      <c r="DM63" s="348"/>
      <c r="DN63" s="348"/>
      <c r="DO63" s="348"/>
    </row>
    <row r="64" spans="45:119">
      <c r="AS64" s="348"/>
      <c r="AT64" s="348"/>
      <c r="AU64" s="348"/>
      <c r="AV64" s="348"/>
      <c r="AW64" s="348"/>
      <c r="AX64" s="348"/>
      <c r="AY64" s="348"/>
      <c r="AZ64" s="348"/>
      <c r="BA64" s="348"/>
      <c r="BB64" s="348"/>
      <c r="BC64" s="348"/>
      <c r="BD64" s="348"/>
      <c r="BE64" s="348"/>
      <c r="BF64" s="348"/>
      <c r="BG64" s="348"/>
      <c r="BH64" s="348"/>
      <c r="BI64" s="348"/>
      <c r="BJ64" s="348"/>
      <c r="BK64" s="348"/>
      <c r="BL64" s="348"/>
      <c r="BM64" s="348"/>
      <c r="BN64" s="348"/>
      <c r="CU64" s="348"/>
      <c r="CV64" s="348"/>
      <c r="CW64" s="348"/>
      <c r="CX64" s="348"/>
      <c r="CY64" s="348"/>
      <c r="CZ64" s="348"/>
      <c r="DA64" s="348"/>
      <c r="DB64" s="348"/>
      <c r="DC64" s="348"/>
      <c r="DD64" s="348"/>
      <c r="DE64" s="348"/>
      <c r="DF64" s="348"/>
      <c r="DG64" s="348"/>
      <c r="DH64" s="348"/>
      <c r="DI64" s="348"/>
      <c r="DJ64" s="348"/>
      <c r="DK64" s="348"/>
      <c r="DL64" s="348"/>
      <c r="DM64" s="348"/>
      <c r="DN64" s="348"/>
      <c r="DO64" s="348"/>
    </row>
    <row r="65" spans="45:119">
      <c r="AS65" s="348"/>
      <c r="AT65" s="348"/>
      <c r="AU65" s="348"/>
      <c r="AV65" s="348"/>
      <c r="AW65" s="348"/>
      <c r="AX65" s="348"/>
      <c r="AY65" s="348"/>
      <c r="AZ65" s="348"/>
      <c r="BA65" s="348"/>
      <c r="BB65" s="348"/>
      <c r="BC65" s="348"/>
      <c r="BD65" s="348"/>
      <c r="BE65" s="348"/>
      <c r="BF65" s="348"/>
      <c r="BG65" s="348"/>
      <c r="BH65" s="348"/>
      <c r="BI65" s="348"/>
      <c r="BJ65" s="348"/>
      <c r="BK65" s="348"/>
      <c r="BL65" s="348"/>
      <c r="BM65" s="348"/>
      <c r="BN65" s="348"/>
      <c r="CU65" s="348"/>
      <c r="CV65" s="348"/>
      <c r="CW65" s="348"/>
      <c r="CX65" s="348"/>
      <c r="CY65" s="348"/>
      <c r="CZ65" s="348"/>
      <c r="DA65" s="348"/>
      <c r="DB65" s="348"/>
      <c r="DC65" s="348"/>
      <c r="DD65" s="348"/>
      <c r="DE65" s="348"/>
      <c r="DF65" s="348"/>
      <c r="DG65" s="348"/>
      <c r="DH65" s="348"/>
      <c r="DI65" s="348"/>
      <c r="DJ65" s="348"/>
      <c r="DK65" s="348"/>
      <c r="DL65" s="348"/>
      <c r="DM65" s="348"/>
      <c r="DN65" s="348"/>
      <c r="DO65" s="348"/>
    </row>
    <row r="66" spans="45:119">
      <c r="AS66" s="348"/>
      <c r="AT66" s="348"/>
      <c r="AU66" s="348"/>
      <c r="AV66" s="348"/>
      <c r="AW66" s="348"/>
      <c r="AX66" s="348"/>
      <c r="AY66" s="348"/>
      <c r="AZ66" s="348"/>
      <c r="BA66" s="348"/>
      <c r="BB66" s="348"/>
      <c r="BC66" s="348"/>
      <c r="BD66" s="348"/>
      <c r="BE66" s="348"/>
      <c r="BF66" s="348"/>
      <c r="BG66" s="348"/>
      <c r="BH66" s="348"/>
      <c r="BI66" s="348"/>
      <c r="BJ66" s="348"/>
      <c r="BK66" s="348"/>
      <c r="BL66" s="348"/>
      <c r="BM66" s="348"/>
      <c r="BN66" s="348"/>
      <c r="CU66" s="348"/>
      <c r="CV66" s="348"/>
      <c r="CW66" s="348"/>
      <c r="CX66" s="348"/>
      <c r="CY66" s="348"/>
      <c r="CZ66" s="348"/>
      <c r="DA66" s="348"/>
      <c r="DB66" s="348"/>
      <c r="DC66" s="348"/>
      <c r="DD66" s="348"/>
      <c r="DE66" s="348"/>
      <c r="DF66" s="348"/>
      <c r="DG66" s="348"/>
      <c r="DH66" s="348"/>
      <c r="DI66" s="348"/>
      <c r="DJ66" s="348"/>
      <c r="DK66" s="348"/>
      <c r="DL66" s="348"/>
      <c r="DM66" s="348"/>
      <c r="DN66" s="348"/>
      <c r="DO66" s="348"/>
    </row>
    <row r="67" spans="45:119">
      <c r="AS67" s="348"/>
      <c r="AT67" s="348"/>
      <c r="AU67" s="348"/>
      <c r="AV67" s="348"/>
      <c r="AW67" s="348"/>
      <c r="AX67" s="348"/>
      <c r="AY67" s="348"/>
      <c r="AZ67" s="348"/>
      <c r="BA67" s="348"/>
      <c r="BB67" s="348"/>
      <c r="BC67" s="348"/>
      <c r="BD67" s="348"/>
      <c r="BE67" s="348"/>
      <c r="BF67" s="348"/>
      <c r="BG67" s="348"/>
      <c r="BH67" s="348"/>
      <c r="BI67" s="348"/>
      <c r="BJ67" s="348"/>
      <c r="BK67" s="348"/>
      <c r="BL67" s="348"/>
      <c r="BM67" s="348"/>
      <c r="BN67" s="348"/>
      <c r="CU67" s="348"/>
      <c r="CV67" s="348"/>
      <c r="CW67" s="348"/>
      <c r="CX67" s="348"/>
      <c r="CY67" s="348"/>
      <c r="CZ67" s="348"/>
      <c r="DA67" s="348"/>
      <c r="DB67" s="348"/>
      <c r="DC67" s="348"/>
      <c r="DD67" s="348"/>
      <c r="DE67" s="348"/>
      <c r="DF67" s="348"/>
      <c r="DG67" s="348"/>
      <c r="DH67" s="348"/>
      <c r="DI67" s="348"/>
      <c r="DJ67" s="348"/>
      <c r="DK67" s="348"/>
      <c r="DL67" s="348"/>
      <c r="DM67" s="348"/>
      <c r="DN67" s="348"/>
      <c r="DO67" s="348"/>
    </row>
    <row r="68" spans="45:119">
      <c r="AS68" s="348"/>
      <c r="AT68" s="348"/>
      <c r="AU68" s="348"/>
      <c r="AV68" s="348"/>
      <c r="AW68" s="348"/>
      <c r="AX68" s="348"/>
      <c r="AY68" s="348"/>
      <c r="AZ68" s="348"/>
      <c r="BA68" s="348"/>
      <c r="BB68" s="348"/>
      <c r="BC68" s="348"/>
      <c r="BD68" s="348"/>
      <c r="BE68" s="348"/>
      <c r="BF68" s="348"/>
      <c r="BG68" s="348"/>
      <c r="BH68" s="348"/>
      <c r="BI68" s="348"/>
      <c r="BJ68" s="348"/>
      <c r="BK68" s="348"/>
      <c r="BL68" s="348"/>
      <c r="BM68" s="348"/>
      <c r="BN68" s="348"/>
      <c r="CU68" s="348"/>
      <c r="CV68" s="348"/>
      <c r="CW68" s="348"/>
      <c r="CX68" s="348"/>
      <c r="CY68" s="348"/>
      <c r="CZ68" s="348"/>
      <c r="DA68" s="348"/>
      <c r="DB68" s="348"/>
      <c r="DC68" s="348"/>
      <c r="DD68" s="348"/>
      <c r="DE68" s="348"/>
      <c r="DF68" s="348"/>
      <c r="DG68" s="348"/>
      <c r="DH68" s="348"/>
      <c r="DI68" s="348"/>
      <c r="DJ68" s="348"/>
      <c r="DK68" s="348"/>
      <c r="DL68" s="348"/>
      <c r="DM68" s="348"/>
      <c r="DN68" s="348"/>
      <c r="DO68" s="348"/>
    </row>
    <row r="69" spans="45:119">
      <c r="AS69" s="348"/>
      <c r="AT69" s="348"/>
      <c r="AU69" s="348"/>
      <c r="AV69" s="348"/>
      <c r="AW69" s="348"/>
      <c r="AX69" s="348"/>
      <c r="AY69" s="348"/>
      <c r="AZ69" s="348"/>
      <c r="BA69" s="348"/>
      <c r="BB69" s="348"/>
      <c r="BC69" s="348"/>
      <c r="BD69" s="348"/>
      <c r="BE69" s="348"/>
      <c r="BF69" s="348"/>
      <c r="BG69" s="348"/>
      <c r="BH69" s="348"/>
      <c r="BI69" s="348"/>
      <c r="BJ69" s="348"/>
      <c r="BK69" s="348"/>
      <c r="BL69" s="348"/>
      <c r="BM69" s="348"/>
      <c r="BN69" s="348"/>
      <c r="CU69" s="348"/>
      <c r="CV69" s="348"/>
      <c r="CW69" s="348"/>
      <c r="CX69" s="348"/>
      <c r="CY69" s="348"/>
      <c r="CZ69" s="348"/>
      <c r="DA69" s="348"/>
      <c r="DB69" s="348"/>
      <c r="DC69" s="348"/>
      <c r="DD69" s="348"/>
      <c r="DE69" s="348"/>
      <c r="DF69" s="348"/>
      <c r="DG69" s="348"/>
      <c r="DH69" s="348"/>
      <c r="DI69" s="348"/>
      <c r="DJ69" s="348"/>
      <c r="DK69" s="348"/>
      <c r="DL69" s="348"/>
      <c r="DM69" s="348"/>
      <c r="DN69" s="348"/>
      <c r="DO69" s="348"/>
    </row>
    <row r="70" spans="45:119">
      <c r="AS70" s="348"/>
      <c r="AT70" s="348"/>
      <c r="AU70" s="348"/>
      <c r="AV70" s="348"/>
      <c r="AW70" s="348"/>
      <c r="AX70" s="348"/>
      <c r="AY70" s="348"/>
      <c r="AZ70" s="348"/>
      <c r="BA70" s="348"/>
      <c r="BB70" s="348"/>
      <c r="BC70" s="348"/>
      <c r="BD70" s="348"/>
      <c r="BE70" s="348"/>
      <c r="BF70" s="348"/>
      <c r="BG70" s="348"/>
      <c r="BH70" s="348"/>
      <c r="BI70" s="348"/>
      <c r="BJ70" s="348"/>
      <c r="BK70" s="348"/>
      <c r="BL70" s="348"/>
      <c r="BM70" s="348"/>
      <c r="BN70" s="348"/>
      <c r="CU70" s="348"/>
      <c r="CV70" s="348"/>
      <c r="CW70" s="348"/>
      <c r="CX70" s="348"/>
      <c r="CY70" s="348"/>
      <c r="CZ70" s="348"/>
      <c r="DA70" s="348"/>
      <c r="DB70" s="348"/>
      <c r="DC70" s="348"/>
      <c r="DD70" s="348"/>
      <c r="DE70" s="348"/>
      <c r="DF70" s="348"/>
      <c r="DG70" s="348"/>
      <c r="DH70" s="348"/>
      <c r="DI70" s="348"/>
      <c r="DJ70" s="348"/>
      <c r="DK70" s="348"/>
      <c r="DL70" s="348"/>
      <c r="DM70" s="348"/>
      <c r="DN70" s="348"/>
      <c r="DO70" s="348"/>
    </row>
    <row r="71" spans="45:119">
      <c r="AS71" s="348"/>
      <c r="AT71" s="348"/>
      <c r="AU71" s="348"/>
      <c r="AV71" s="348"/>
      <c r="AW71" s="348"/>
      <c r="AX71" s="348"/>
      <c r="AY71" s="348"/>
      <c r="AZ71" s="348"/>
      <c r="BA71" s="348"/>
      <c r="BB71" s="348"/>
      <c r="BC71" s="348"/>
      <c r="BD71" s="348"/>
      <c r="BE71" s="348"/>
      <c r="BF71" s="348"/>
      <c r="BG71" s="348"/>
      <c r="BH71" s="348"/>
      <c r="BI71" s="348"/>
      <c r="BJ71" s="348"/>
      <c r="BK71" s="348"/>
      <c r="BL71" s="348"/>
      <c r="BM71" s="348"/>
      <c r="BN71" s="348"/>
      <c r="CU71" s="348"/>
      <c r="CV71" s="348"/>
      <c r="CW71" s="348"/>
      <c r="CX71" s="348"/>
      <c r="CY71" s="348"/>
      <c r="CZ71" s="348"/>
      <c r="DA71" s="348"/>
      <c r="DB71" s="348"/>
      <c r="DC71" s="348"/>
      <c r="DD71" s="348"/>
      <c r="DE71" s="348"/>
      <c r="DF71" s="348"/>
      <c r="DG71" s="348"/>
      <c r="DH71" s="348"/>
      <c r="DI71" s="348"/>
      <c r="DJ71" s="348"/>
      <c r="DK71" s="348"/>
      <c r="DL71" s="348"/>
      <c r="DM71" s="348"/>
      <c r="DN71" s="348"/>
      <c r="DO71" s="348"/>
    </row>
    <row r="72" spans="45:119">
      <c r="AS72" s="348"/>
      <c r="AT72" s="348"/>
      <c r="AU72" s="348"/>
      <c r="AV72" s="348"/>
      <c r="AW72" s="348"/>
      <c r="AX72" s="348"/>
      <c r="AY72" s="348"/>
      <c r="AZ72" s="348"/>
      <c r="BA72" s="348"/>
      <c r="BB72" s="348"/>
      <c r="BC72" s="348"/>
      <c r="BD72" s="348"/>
      <c r="BE72" s="348"/>
      <c r="BF72" s="348"/>
      <c r="BG72" s="348"/>
      <c r="BH72" s="348"/>
      <c r="BI72" s="348"/>
      <c r="BJ72" s="348"/>
      <c r="BK72" s="348"/>
      <c r="BL72" s="348"/>
      <c r="BM72" s="348"/>
      <c r="BN72" s="348"/>
      <c r="CU72" s="348"/>
      <c r="CV72" s="348"/>
      <c r="CW72" s="348"/>
      <c r="CX72" s="348"/>
      <c r="CY72" s="348"/>
      <c r="CZ72" s="348"/>
      <c r="DA72" s="348"/>
      <c r="DB72" s="348"/>
      <c r="DC72" s="348"/>
      <c r="DD72" s="348"/>
      <c r="DE72" s="348"/>
      <c r="DF72" s="348"/>
      <c r="DG72" s="348"/>
      <c r="DH72" s="348"/>
      <c r="DI72" s="348"/>
      <c r="DJ72" s="348"/>
      <c r="DK72" s="348"/>
      <c r="DL72" s="348"/>
      <c r="DM72" s="348"/>
      <c r="DN72" s="348"/>
      <c r="DO72" s="348"/>
    </row>
    <row r="73" spans="45:119">
      <c r="AS73" s="348"/>
      <c r="AT73" s="348"/>
      <c r="AU73" s="348"/>
      <c r="AV73" s="348"/>
      <c r="AW73" s="348"/>
      <c r="AX73" s="348"/>
      <c r="AY73" s="348"/>
      <c r="AZ73" s="348"/>
      <c r="BA73" s="348"/>
      <c r="BB73" s="348"/>
      <c r="BC73" s="348"/>
      <c r="BD73" s="348"/>
      <c r="BE73" s="348"/>
      <c r="BF73" s="348"/>
      <c r="BG73" s="348"/>
      <c r="BH73" s="348"/>
      <c r="BI73" s="348"/>
      <c r="BJ73" s="348"/>
      <c r="BK73" s="348"/>
      <c r="BL73" s="348"/>
      <c r="BM73" s="348"/>
      <c r="BN73" s="348"/>
      <c r="CU73" s="348"/>
      <c r="CV73" s="348"/>
      <c r="CW73" s="348"/>
      <c r="CX73" s="348"/>
      <c r="CY73" s="348"/>
      <c r="CZ73" s="348"/>
      <c r="DA73" s="348"/>
      <c r="DB73" s="348"/>
      <c r="DC73" s="348"/>
      <c r="DD73" s="348"/>
      <c r="DE73" s="348"/>
      <c r="DF73" s="348"/>
      <c r="DG73" s="348"/>
      <c r="DH73" s="348"/>
      <c r="DI73" s="348"/>
      <c r="DJ73" s="348"/>
      <c r="DK73" s="348"/>
      <c r="DL73" s="348"/>
      <c r="DM73" s="348"/>
      <c r="DN73" s="348"/>
      <c r="DO73" s="348"/>
    </row>
    <row r="74" spans="45:119">
      <c r="AS74" s="348"/>
      <c r="AT74" s="348"/>
      <c r="AU74" s="348"/>
      <c r="AV74" s="348"/>
      <c r="AW74" s="348"/>
      <c r="AX74" s="348"/>
      <c r="AY74" s="348"/>
      <c r="AZ74" s="348"/>
      <c r="BA74" s="348"/>
      <c r="BB74" s="348"/>
      <c r="BC74" s="348"/>
      <c r="BD74" s="348"/>
      <c r="BE74" s="348"/>
      <c r="BF74" s="348"/>
      <c r="BG74" s="348"/>
      <c r="BH74" s="348"/>
      <c r="BI74" s="348"/>
      <c r="BJ74" s="348"/>
      <c r="BK74" s="348"/>
      <c r="BL74" s="348"/>
      <c r="BM74" s="348"/>
      <c r="BN74" s="348"/>
      <c r="CU74" s="348"/>
      <c r="CV74" s="348"/>
      <c r="CW74" s="348"/>
      <c r="CX74" s="348"/>
      <c r="CY74" s="348"/>
      <c r="CZ74" s="348"/>
      <c r="DA74" s="348"/>
      <c r="DB74" s="348"/>
      <c r="DC74" s="348"/>
      <c r="DD74" s="348"/>
      <c r="DE74" s="348"/>
      <c r="DF74" s="348"/>
      <c r="DG74" s="348"/>
      <c r="DH74" s="348"/>
      <c r="DI74" s="348"/>
      <c r="DJ74" s="348"/>
      <c r="DK74" s="348"/>
      <c r="DL74" s="348"/>
      <c r="DM74" s="348"/>
      <c r="DN74" s="348"/>
      <c r="DO74" s="348"/>
    </row>
    <row r="75" spans="45:119">
      <c r="AS75" s="348"/>
      <c r="AT75" s="348"/>
      <c r="AU75" s="348"/>
      <c r="AV75" s="348"/>
      <c r="AW75" s="348"/>
      <c r="AX75" s="348"/>
      <c r="AY75" s="348"/>
      <c r="AZ75" s="348"/>
      <c r="BA75" s="348"/>
      <c r="BB75" s="348"/>
      <c r="BC75" s="348"/>
      <c r="BD75" s="348"/>
      <c r="BE75" s="348"/>
      <c r="BF75" s="348"/>
      <c r="BG75" s="348"/>
      <c r="BH75" s="348"/>
      <c r="BI75" s="348"/>
      <c r="BJ75" s="348"/>
      <c r="BK75" s="348"/>
      <c r="BL75" s="348"/>
      <c r="BM75" s="348"/>
      <c r="BN75" s="348"/>
      <c r="CU75" s="348"/>
      <c r="CV75" s="348"/>
      <c r="CW75" s="348"/>
      <c r="CX75" s="348"/>
      <c r="CY75" s="348"/>
      <c r="CZ75" s="348"/>
      <c r="DA75" s="348"/>
      <c r="DB75" s="348"/>
      <c r="DC75" s="348"/>
      <c r="DD75" s="348"/>
      <c r="DE75" s="348"/>
      <c r="DF75" s="348"/>
      <c r="DG75" s="348"/>
      <c r="DH75" s="348"/>
      <c r="DI75" s="348"/>
      <c r="DJ75" s="348"/>
      <c r="DK75" s="348"/>
      <c r="DL75" s="348"/>
      <c r="DM75" s="348"/>
      <c r="DN75" s="348"/>
      <c r="DO75" s="348"/>
    </row>
    <row r="76" spans="45:119">
      <c r="AS76" s="348"/>
      <c r="AT76" s="348"/>
      <c r="AU76" s="348"/>
      <c r="AV76" s="348"/>
      <c r="AW76" s="348"/>
      <c r="AX76" s="348"/>
      <c r="AY76" s="348"/>
      <c r="AZ76" s="348"/>
      <c r="BA76" s="348"/>
      <c r="BB76" s="348"/>
      <c r="BC76" s="348"/>
      <c r="BD76" s="348"/>
      <c r="BE76" s="348"/>
      <c r="BF76" s="348"/>
      <c r="BG76" s="348"/>
      <c r="BH76" s="348"/>
      <c r="BI76" s="348"/>
      <c r="BJ76" s="348"/>
      <c r="BK76" s="348"/>
      <c r="BL76" s="348"/>
      <c r="BM76" s="348"/>
      <c r="BN76" s="348"/>
      <c r="CU76" s="348"/>
      <c r="CV76" s="348"/>
      <c r="CW76" s="348"/>
      <c r="CX76" s="348"/>
      <c r="CY76" s="348"/>
      <c r="CZ76" s="348"/>
      <c r="DA76" s="348"/>
      <c r="DB76" s="348"/>
      <c r="DC76" s="348"/>
      <c r="DD76" s="348"/>
      <c r="DE76" s="348"/>
      <c r="DF76" s="348"/>
      <c r="DG76" s="348"/>
      <c r="DH76" s="348"/>
      <c r="DI76" s="348"/>
      <c r="DJ76" s="348"/>
      <c r="DK76" s="348"/>
      <c r="DL76" s="348"/>
      <c r="DM76" s="348"/>
      <c r="DN76" s="348"/>
      <c r="DO76" s="348"/>
    </row>
    <row r="77" spans="45:119">
      <c r="AS77" s="348"/>
      <c r="AT77" s="348"/>
      <c r="AU77" s="348"/>
      <c r="AV77" s="348"/>
      <c r="AW77" s="348"/>
      <c r="AX77" s="348"/>
      <c r="AY77" s="348"/>
      <c r="AZ77" s="348"/>
      <c r="BA77" s="348"/>
      <c r="BB77" s="348"/>
      <c r="BC77" s="348"/>
      <c r="BD77" s="348"/>
      <c r="BE77" s="348"/>
      <c r="BF77" s="348"/>
      <c r="BG77" s="348"/>
      <c r="BH77" s="348"/>
      <c r="BI77" s="348"/>
      <c r="BJ77" s="348"/>
      <c r="BK77" s="348"/>
      <c r="BL77" s="348"/>
      <c r="BM77" s="348"/>
      <c r="BN77" s="348"/>
      <c r="CU77" s="348"/>
      <c r="CV77" s="348"/>
      <c r="CW77" s="348"/>
      <c r="CX77" s="348"/>
      <c r="CY77" s="348"/>
      <c r="CZ77" s="348"/>
      <c r="DA77" s="348"/>
      <c r="DB77" s="348"/>
      <c r="DC77" s="348"/>
      <c r="DD77" s="348"/>
      <c r="DE77" s="348"/>
      <c r="DF77" s="348"/>
      <c r="DG77" s="348"/>
      <c r="DH77" s="348"/>
      <c r="DI77" s="348"/>
      <c r="DJ77" s="348"/>
      <c r="DK77" s="348"/>
      <c r="DL77" s="348"/>
      <c r="DM77" s="348"/>
      <c r="DN77" s="348"/>
      <c r="DO77" s="348"/>
    </row>
    <row r="78" spans="45:119">
      <c r="AS78" s="348"/>
      <c r="AT78" s="348"/>
      <c r="AU78" s="348"/>
      <c r="AV78" s="348"/>
      <c r="AW78" s="348"/>
      <c r="AX78" s="348"/>
      <c r="AY78" s="348"/>
      <c r="AZ78" s="348"/>
      <c r="BA78" s="348"/>
      <c r="BB78" s="348"/>
      <c r="BC78" s="348"/>
      <c r="BD78" s="348"/>
      <c r="BE78" s="348"/>
      <c r="BF78" s="348"/>
      <c r="BG78" s="348"/>
      <c r="BH78" s="348"/>
      <c r="BI78" s="348"/>
      <c r="BJ78" s="348"/>
      <c r="BK78" s="348"/>
      <c r="BL78" s="348"/>
      <c r="BM78" s="348"/>
      <c r="BN78" s="348"/>
      <c r="CU78" s="348"/>
      <c r="CV78" s="348"/>
      <c r="CW78" s="348"/>
      <c r="CX78" s="348"/>
      <c r="CY78" s="348"/>
      <c r="CZ78" s="348"/>
      <c r="DA78" s="348"/>
      <c r="DB78" s="348"/>
      <c r="DC78" s="348"/>
      <c r="DD78" s="348"/>
      <c r="DE78" s="348"/>
      <c r="DF78" s="348"/>
      <c r="DG78" s="348"/>
      <c r="DH78" s="348"/>
      <c r="DI78" s="348"/>
      <c r="DJ78" s="348"/>
      <c r="DK78" s="348"/>
      <c r="DL78" s="348"/>
      <c r="DM78" s="348"/>
      <c r="DN78" s="348"/>
      <c r="DO78" s="348"/>
    </row>
    <row r="79" spans="45:119">
      <c r="AS79" s="348"/>
      <c r="AT79" s="348"/>
      <c r="AU79" s="348"/>
      <c r="AV79" s="348"/>
      <c r="AW79" s="348"/>
      <c r="AX79" s="348"/>
      <c r="AY79" s="348"/>
      <c r="AZ79" s="348"/>
      <c r="BA79" s="348"/>
      <c r="BB79" s="348"/>
      <c r="BC79" s="348"/>
      <c r="BD79" s="348"/>
      <c r="BE79" s="348"/>
      <c r="BF79" s="348"/>
      <c r="BG79" s="348"/>
      <c r="BH79" s="348"/>
      <c r="BI79" s="348"/>
      <c r="BJ79" s="348"/>
      <c r="BK79" s="348"/>
      <c r="BL79" s="348"/>
      <c r="BM79" s="348"/>
      <c r="BN79" s="348"/>
      <c r="CU79" s="348"/>
      <c r="CV79" s="348"/>
      <c r="CW79" s="348"/>
      <c r="CX79" s="348"/>
      <c r="CY79" s="348"/>
      <c r="CZ79" s="348"/>
      <c r="DA79" s="348"/>
      <c r="DB79" s="348"/>
      <c r="DC79" s="348"/>
      <c r="DD79" s="348"/>
      <c r="DE79" s="348"/>
      <c r="DF79" s="348"/>
      <c r="DG79" s="348"/>
      <c r="DH79" s="348"/>
      <c r="DI79" s="348"/>
      <c r="DJ79" s="348"/>
      <c r="DK79" s="348"/>
      <c r="DL79" s="348"/>
      <c r="DM79" s="348"/>
      <c r="DN79" s="348"/>
      <c r="DO79" s="348"/>
    </row>
    <row r="80" spans="45:119">
      <c r="AS80" s="348"/>
      <c r="AT80" s="348"/>
      <c r="AU80" s="348"/>
      <c r="AV80" s="348"/>
      <c r="AW80" s="348"/>
      <c r="AX80" s="348"/>
      <c r="AY80" s="348"/>
      <c r="AZ80" s="348"/>
      <c r="BA80" s="348"/>
      <c r="BB80" s="348"/>
      <c r="BC80" s="348"/>
      <c r="BD80" s="348"/>
      <c r="BE80" s="348"/>
      <c r="BF80" s="348"/>
      <c r="BG80" s="348"/>
      <c r="BH80" s="348"/>
      <c r="BI80" s="348"/>
      <c r="BJ80" s="348"/>
      <c r="BK80" s="348"/>
      <c r="BL80" s="348"/>
      <c r="BM80" s="348"/>
      <c r="BN80" s="348"/>
      <c r="CU80" s="348"/>
      <c r="CV80" s="348"/>
      <c r="CW80" s="348"/>
      <c r="CX80" s="348"/>
      <c r="CY80" s="348"/>
      <c r="CZ80" s="348"/>
      <c r="DA80" s="348"/>
      <c r="DB80" s="348"/>
      <c r="DC80" s="348"/>
      <c r="DD80" s="348"/>
      <c r="DE80" s="348"/>
      <c r="DF80" s="348"/>
      <c r="DG80" s="348"/>
      <c r="DH80" s="348"/>
      <c r="DI80" s="348"/>
      <c r="DJ80" s="348"/>
      <c r="DK80" s="348"/>
      <c r="DL80" s="348"/>
      <c r="DM80" s="348"/>
      <c r="DN80" s="348"/>
      <c r="DO80" s="348"/>
    </row>
    <row r="81" spans="45:119">
      <c r="AS81" s="348"/>
      <c r="AT81" s="348"/>
      <c r="AU81" s="348"/>
      <c r="AV81" s="348"/>
      <c r="AW81" s="348"/>
      <c r="AX81" s="348"/>
      <c r="AY81" s="348"/>
      <c r="AZ81" s="348"/>
      <c r="BA81" s="348"/>
      <c r="BB81" s="348"/>
      <c r="BC81" s="348"/>
      <c r="BD81" s="348"/>
      <c r="BE81" s="348"/>
      <c r="BF81" s="348"/>
      <c r="BG81" s="348"/>
      <c r="BH81" s="348"/>
      <c r="BI81" s="348"/>
      <c r="BJ81" s="348"/>
      <c r="BK81" s="348"/>
      <c r="BL81" s="348"/>
      <c r="BM81" s="348"/>
      <c r="BN81" s="348"/>
      <c r="CU81" s="348"/>
      <c r="CV81" s="348"/>
      <c r="CW81" s="348"/>
      <c r="CX81" s="348"/>
      <c r="CY81" s="348"/>
      <c r="CZ81" s="348"/>
      <c r="DA81" s="348"/>
      <c r="DB81" s="348"/>
      <c r="DC81" s="348"/>
      <c r="DD81" s="348"/>
      <c r="DE81" s="348"/>
      <c r="DF81" s="348"/>
      <c r="DG81" s="348"/>
      <c r="DH81" s="348"/>
      <c r="DI81" s="348"/>
      <c r="DJ81" s="348"/>
      <c r="DK81" s="348"/>
      <c r="DL81" s="348"/>
      <c r="DM81" s="348"/>
      <c r="DN81" s="348"/>
      <c r="DO81" s="348"/>
    </row>
    <row r="82" spans="45:119">
      <c r="AS82" s="348"/>
      <c r="AT82" s="348"/>
      <c r="AU82" s="348"/>
      <c r="AV82" s="348"/>
      <c r="AW82" s="348"/>
      <c r="AX82" s="348"/>
      <c r="AY82" s="348"/>
      <c r="AZ82" s="348"/>
      <c r="BA82" s="348"/>
      <c r="BB82" s="348"/>
      <c r="BC82" s="348"/>
      <c r="BD82" s="348"/>
      <c r="BE82" s="348"/>
      <c r="BF82" s="348"/>
      <c r="BG82" s="348"/>
      <c r="BH82" s="348"/>
      <c r="BI82" s="348"/>
      <c r="BJ82" s="348"/>
      <c r="BK82" s="348"/>
      <c r="BL82" s="348"/>
      <c r="BM82" s="348"/>
      <c r="BN82" s="348"/>
      <c r="CU82" s="348"/>
      <c r="CV82" s="348"/>
      <c r="CW82" s="348"/>
      <c r="CX82" s="348"/>
      <c r="CY82" s="348"/>
      <c r="CZ82" s="348"/>
      <c r="DA82" s="348"/>
      <c r="DB82" s="348"/>
      <c r="DC82" s="348"/>
      <c r="DD82" s="348"/>
      <c r="DE82" s="348"/>
      <c r="DF82" s="348"/>
      <c r="DG82" s="348"/>
      <c r="DH82" s="348"/>
      <c r="DI82" s="348"/>
      <c r="DJ82" s="348"/>
      <c r="DK82" s="348"/>
      <c r="DL82" s="348"/>
      <c r="DM82" s="348"/>
      <c r="DN82" s="348"/>
      <c r="DO82" s="348"/>
    </row>
    <row r="83" spans="45:119">
      <c r="AS83" s="348"/>
      <c r="AT83" s="348"/>
      <c r="AU83" s="348"/>
      <c r="AV83" s="348"/>
      <c r="AW83" s="348"/>
      <c r="AX83" s="348"/>
      <c r="AY83" s="348"/>
      <c r="AZ83" s="348"/>
      <c r="BA83" s="348"/>
      <c r="BB83" s="348"/>
      <c r="BC83" s="348"/>
      <c r="BD83" s="348"/>
      <c r="BE83" s="348"/>
      <c r="BF83" s="348"/>
      <c r="BG83" s="348"/>
      <c r="BH83" s="348"/>
      <c r="BI83" s="348"/>
      <c r="BJ83" s="348"/>
      <c r="BK83" s="348"/>
      <c r="BL83" s="348"/>
      <c r="BM83" s="348"/>
      <c r="BN83" s="348"/>
      <c r="CU83" s="348"/>
      <c r="CV83" s="348"/>
      <c r="CW83" s="348"/>
      <c r="CX83" s="348"/>
      <c r="CY83" s="348"/>
      <c r="CZ83" s="348"/>
      <c r="DA83" s="348"/>
      <c r="DB83" s="348"/>
      <c r="DC83" s="348"/>
      <c r="DD83" s="348"/>
      <c r="DE83" s="348"/>
      <c r="DF83" s="348"/>
      <c r="DG83" s="348"/>
      <c r="DH83" s="348"/>
      <c r="DI83" s="348"/>
      <c r="DJ83" s="348"/>
      <c r="DK83" s="348"/>
      <c r="DL83" s="348"/>
      <c r="DM83" s="348"/>
      <c r="DN83" s="348"/>
      <c r="DO83" s="348"/>
    </row>
    <row r="84" spans="45:119">
      <c r="AS84" s="348"/>
      <c r="AT84" s="348"/>
      <c r="AU84" s="348"/>
      <c r="AV84" s="348"/>
      <c r="AW84" s="348"/>
      <c r="AX84" s="348"/>
      <c r="AY84" s="348"/>
      <c r="AZ84" s="348"/>
      <c r="BA84" s="348"/>
      <c r="BB84" s="348"/>
      <c r="BC84" s="348"/>
      <c r="BD84" s="348"/>
      <c r="BE84" s="348"/>
      <c r="BF84" s="348"/>
      <c r="BG84" s="348"/>
      <c r="BH84" s="348"/>
      <c r="BI84" s="348"/>
      <c r="BJ84" s="348"/>
      <c r="BK84" s="348"/>
      <c r="BL84" s="348"/>
      <c r="BM84" s="348"/>
      <c r="BN84" s="348"/>
      <c r="CU84" s="348"/>
      <c r="CV84" s="348"/>
      <c r="CW84" s="348"/>
      <c r="CX84" s="348"/>
      <c r="CY84" s="348"/>
      <c r="CZ84" s="348"/>
      <c r="DA84" s="348"/>
      <c r="DB84" s="348"/>
      <c r="DC84" s="348"/>
      <c r="DD84" s="348"/>
      <c r="DE84" s="348"/>
      <c r="DF84" s="348"/>
      <c r="DG84" s="348"/>
      <c r="DH84" s="348"/>
      <c r="DI84" s="348"/>
      <c r="DJ84" s="348"/>
      <c r="DK84" s="348"/>
      <c r="DL84" s="348"/>
      <c r="DM84" s="348"/>
      <c r="DN84" s="348"/>
      <c r="DO84" s="348"/>
    </row>
    <row r="85" spans="45:119">
      <c r="AS85" s="348"/>
      <c r="AT85" s="348"/>
      <c r="AU85" s="348"/>
      <c r="AV85" s="348"/>
      <c r="AW85" s="348"/>
      <c r="AX85" s="348"/>
      <c r="AY85" s="348"/>
      <c r="AZ85" s="348"/>
      <c r="BA85" s="348"/>
      <c r="BB85" s="348"/>
      <c r="BC85" s="348"/>
      <c r="BD85" s="348"/>
      <c r="BE85" s="348"/>
      <c r="BF85" s="348"/>
      <c r="BG85" s="348"/>
      <c r="BH85" s="348"/>
      <c r="BI85" s="348"/>
      <c r="BJ85" s="348"/>
      <c r="BK85" s="348"/>
      <c r="BL85" s="348"/>
      <c r="BM85" s="348"/>
      <c r="BN85" s="348"/>
      <c r="CU85" s="348"/>
      <c r="CV85" s="348"/>
      <c r="CW85" s="348"/>
      <c r="CX85" s="348"/>
      <c r="CY85" s="348"/>
      <c r="CZ85" s="348"/>
      <c r="DA85" s="348"/>
      <c r="DB85" s="348"/>
      <c r="DC85" s="348"/>
      <c r="DD85" s="348"/>
      <c r="DE85" s="348"/>
      <c r="DF85" s="348"/>
      <c r="DG85" s="348"/>
      <c r="DH85" s="348"/>
      <c r="DI85" s="348"/>
      <c r="DJ85" s="348"/>
      <c r="DK85" s="348"/>
      <c r="DL85" s="348"/>
      <c r="DM85" s="348"/>
      <c r="DN85" s="348"/>
      <c r="DO85" s="348"/>
    </row>
    <row r="86" spans="45:119">
      <c r="AS86" s="348"/>
      <c r="AT86" s="348"/>
      <c r="AU86" s="348"/>
      <c r="AV86" s="348"/>
      <c r="AW86" s="348"/>
      <c r="AX86" s="348"/>
      <c r="AY86" s="348"/>
      <c r="AZ86" s="348"/>
      <c r="BA86" s="348"/>
      <c r="BB86" s="348"/>
      <c r="BC86" s="348"/>
      <c r="BD86" s="348"/>
      <c r="BE86" s="348"/>
      <c r="BF86" s="348"/>
      <c r="BG86" s="348"/>
      <c r="BH86" s="348"/>
      <c r="BI86" s="348"/>
      <c r="BJ86" s="348"/>
      <c r="BK86" s="348"/>
      <c r="BL86" s="348"/>
      <c r="BM86" s="348"/>
      <c r="BN86" s="348"/>
      <c r="CU86" s="348"/>
      <c r="CV86" s="348"/>
      <c r="CW86" s="348"/>
      <c r="CX86" s="348"/>
      <c r="CY86" s="348"/>
      <c r="CZ86" s="348"/>
      <c r="DA86" s="348"/>
      <c r="DB86" s="348"/>
      <c r="DC86" s="348"/>
      <c r="DD86" s="348"/>
      <c r="DE86" s="348"/>
      <c r="DF86" s="348"/>
      <c r="DG86" s="348"/>
      <c r="DH86" s="348"/>
      <c r="DI86" s="348"/>
      <c r="DJ86" s="348"/>
      <c r="DK86" s="348"/>
      <c r="DL86" s="348"/>
      <c r="DM86" s="348"/>
      <c r="DN86" s="348"/>
      <c r="DO86" s="348"/>
    </row>
    <row r="87" spans="45:119">
      <c r="AS87" s="348"/>
      <c r="AT87" s="348"/>
      <c r="AU87" s="348"/>
      <c r="AV87" s="348"/>
      <c r="AW87" s="348"/>
      <c r="AX87" s="348"/>
      <c r="AY87" s="348"/>
      <c r="AZ87" s="348"/>
      <c r="BA87" s="348"/>
      <c r="BB87" s="348"/>
      <c r="BC87" s="348"/>
      <c r="BD87" s="348"/>
      <c r="BE87" s="348"/>
      <c r="BF87" s="348"/>
      <c r="BG87" s="348"/>
      <c r="BH87" s="348"/>
      <c r="BI87" s="348"/>
      <c r="BJ87" s="348"/>
      <c r="BK87" s="348"/>
      <c r="BL87" s="348"/>
      <c r="BM87" s="348"/>
      <c r="BN87" s="348"/>
      <c r="CU87" s="348"/>
      <c r="CV87" s="348"/>
      <c r="CW87" s="348"/>
      <c r="CX87" s="348"/>
      <c r="CY87" s="348"/>
      <c r="CZ87" s="348"/>
      <c r="DA87" s="348"/>
      <c r="DB87" s="348"/>
      <c r="DC87" s="348"/>
      <c r="DD87" s="348"/>
      <c r="DE87" s="348"/>
      <c r="DF87" s="348"/>
      <c r="DG87" s="348"/>
      <c r="DH87" s="348"/>
      <c r="DI87" s="348"/>
      <c r="DJ87" s="348"/>
      <c r="DK87" s="348"/>
      <c r="DL87" s="348"/>
      <c r="DM87" s="348"/>
      <c r="DN87" s="348"/>
      <c r="DO87" s="348"/>
    </row>
    <row r="88" spans="45:119">
      <c r="AS88" s="348"/>
      <c r="AT88" s="348"/>
      <c r="AU88" s="348"/>
      <c r="AV88" s="348"/>
      <c r="AW88" s="348"/>
      <c r="AX88" s="348"/>
      <c r="AY88" s="348"/>
      <c r="AZ88" s="348"/>
      <c r="BA88" s="348"/>
      <c r="BB88" s="348"/>
      <c r="BC88" s="348"/>
      <c r="BD88" s="348"/>
      <c r="BE88" s="348"/>
      <c r="BF88" s="348"/>
      <c r="BG88" s="348"/>
      <c r="BH88" s="348"/>
      <c r="BI88" s="348"/>
      <c r="BJ88" s="348"/>
      <c r="BK88" s="348"/>
      <c r="BL88" s="348"/>
      <c r="BM88" s="348"/>
      <c r="BN88" s="348"/>
      <c r="CU88" s="348"/>
      <c r="CV88" s="348"/>
      <c r="CW88" s="348"/>
      <c r="CX88" s="348"/>
      <c r="CY88" s="348"/>
      <c r="CZ88" s="348"/>
      <c r="DA88" s="348"/>
      <c r="DB88" s="348"/>
      <c r="DC88" s="348"/>
      <c r="DD88" s="348"/>
      <c r="DE88" s="348"/>
      <c r="DF88" s="348"/>
      <c r="DG88" s="348"/>
      <c r="DH88" s="348"/>
      <c r="DI88" s="348"/>
      <c r="DJ88" s="348"/>
      <c r="DK88" s="348"/>
      <c r="DL88" s="348"/>
      <c r="DM88" s="348"/>
      <c r="DN88" s="348"/>
      <c r="DO88" s="348"/>
    </row>
    <row r="89" spans="45:119">
      <c r="AS89" s="348"/>
      <c r="AT89" s="348"/>
      <c r="AU89" s="348"/>
      <c r="AV89" s="348"/>
      <c r="AW89" s="348"/>
      <c r="AX89" s="348"/>
      <c r="AY89" s="348"/>
      <c r="AZ89" s="348"/>
      <c r="BA89" s="348"/>
      <c r="BB89" s="348"/>
      <c r="BC89" s="348"/>
      <c r="BD89" s="348"/>
      <c r="BE89" s="348"/>
      <c r="BF89" s="348"/>
      <c r="BG89" s="348"/>
      <c r="BH89" s="348"/>
      <c r="BI89" s="348"/>
      <c r="BJ89" s="348"/>
      <c r="BK89" s="348"/>
      <c r="BL89" s="348"/>
      <c r="BM89" s="348"/>
      <c r="BN89" s="348"/>
      <c r="CU89" s="348"/>
      <c r="CV89" s="348"/>
      <c r="CW89" s="348"/>
      <c r="CX89" s="348"/>
      <c r="CY89" s="348"/>
      <c r="CZ89" s="348"/>
      <c r="DA89" s="348"/>
      <c r="DB89" s="348"/>
      <c r="DC89" s="348"/>
      <c r="DD89" s="348"/>
      <c r="DE89" s="348"/>
      <c r="DF89" s="348"/>
      <c r="DG89" s="348"/>
      <c r="DH89" s="348"/>
      <c r="DI89" s="348"/>
      <c r="DJ89" s="348"/>
      <c r="DK89" s="348"/>
      <c r="DL89" s="348"/>
      <c r="DM89" s="348"/>
      <c r="DN89" s="348"/>
      <c r="DO89" s="348"/>
    </row>
    <row r="90" spans="45:119">
      <c r="AS90" s="348"/>
      <c r="AT90" s="348"/>
      <c r="AU90" s="348"/>
      <c r="AV90" s="348"/>
      <c r="AW90" s="348"/>
      <c r="AX90" s="348"/>
      <c r="AY90" s="348"/>
      <c r="AZ90" s="348"/>
      <c r="BA90" s="348"/>
      <c r="BB90" s="348"/>
      <c r="BC90" s="348"/>
      <c r="BD90" s="348"/>
      <c r="BE90" s="348"/>
      <c r="BF90" s="348"/>
      <c r="BG90" s="348"/>
      <c r="BH90" s="348"/>
      <c r="BI90" s="348"/>
      <c r="BJ90" s="348"/>
      <c r="BK90" s="348"/>
      <c r="BL90" s="348"/>
      <c r="BM90" s="348"/>
      <c r="BN90" s="348"/>
      <c r="CU90" s="348"/>
      <c r="CV90" s="348"/>
      <c r="CW90" s="348"/>
      <c r="CX90" s="348"/>
      <c r="CY90" s="348"/>
      <c r="CZ90" s="348"/>
      <c r="DA90" s="348"/>
      <c r="DB90" s="348"/>
      <c r="DC90" s="348"/>
      <c r="DD90" s="348"/>
      <c r="DE90" s="348"/>
      <c r="DF90" s="348"/>
      <c r="DG90" s="348"/>
      <c r="DH90" s="348"/>
      <c r="DI90" s="348"/>
      <c r="DJ90" s="348"/>
      <c r="DK90" s="348"/>
      <c r="DL90" s="348"/>
      <c r="DM90" s="348"/>
      <c r="DN90" s="348"/>
      <c r="DO90" s="348"/>
    </row>
    <row r="91" spans="45:119">
      <c r="AS91" s="348"/>
      <c r="AT91" s="348"/>
      <c r="AU91" s="348"/>
      <c r="AV91" s="348"/>
      <c r="AW91" s="348"/>
      <c r="AX91" s="348"/>
      <c r="AY91" s="348"/>
      <c r="AZ91" s="348"/>
      <c r="BA91" s="348"/>
      <c r="BB91" s="348"/>
      <c r="BC91" s="348"/>
      <c r="BD91" s="348"/>
      <c r="BE91" s="348"/>
      <c r="BF91" s="348"/>
      <c r="BG91" s="348"/>
      <c r="BH91" s="348"/>
      <c r="BI91" s="348"/>
      <c r="BJ91" s="348"/>
      <c r="BK91" s="348"/>
      <c r="BL91" s="348"/>
      <c r="BM91" s="348"/>
      <c r="BN91" s="348"/>
      <c r="CU91" s="348"/>
      <c r="CV91" s="348"/>
      <c r="CW91" s="348"/>
      <c r="CX91" s="348"/>
      <c r="CY91" s="348"/>
      <c r="CZ91" s="348"/>
      <c r="DA91" s="348"/>
      <c r="DB91" s="348"/>
      <c r="DC91" s="348"/>
      <c r="DD91" s="348"/>
      <c r="DE91" s="348"/>
      <c r="DF91" s="348"/>
      <c r="DG91" s="348"/>
      <c r="DH91" s="348"/>
      <c r="DI91" s="348"/>
      <c r="DJ91" s="348"/>
      <c r="DK91" s="348"/>
      <c r="DL91" s="348"/>
      <c r="DM91" s="348"/>
      <c r="DN91" s="348"/>
      <c r="DO91" s="348"/>
    </row>
    <row r="92" spans="45:119">
      <c r="AS92" s="348"/>
      <c r="AT92" s="348"/>
      <c r="AU92" s="348"/>
      <c r="AV92" s="348"/>
      <c r="AW92" s="348"/>
      <c r="AX92" s="348"/>
      <c r="AY92" s="348"/>
      <c r="AZ92" s="348"/>
      <c r="BA92" s="348"/>
      <c r="BB92" s="348"/>
      <c r="BC92" s="348"/>
      <c r="BD92" s="348"/>
      <c r="BE92" s="348"/>
      <c r="BF92" s="348"/>
      <c r="BG92" s="348"/>
      <c r="BH92" s="348"/>
      <c r="BI92" s="348"/>
      <c r="BJ92" s="348"/>
      <c r="BK92" s="348"/>
      <c r="BL92" s="348"/>
      <c r="BM92" s="348"/>
      <c r="BN92" s="348"/>
      <c r="CU92" s="348"/>
      <c r="CV92" s="348"/>
      <c r="CW92" s="348"/>
      <c r="CX92" s="348"/>
      <c r="CY92" s="348"/>
      <c r="CZ92" s="348"/>
      <c r="DA92" s="348"/>
      <c r="DB92" s="348"/>
      <c r="DC92" s="348"/>
      <c r="DD92" s="348"/>
      <c r="DE92" s="348"/>
      <c r="DF92" s="348"/>
      <c r="DG92" s="348"/>
      <c r="DH92" s="348"/>
      <c r="DI92" s="348"/>
      <c r="DJ92" s="348"/>
      <c r="DK92" s="348"/>
      <c r="DL92" s="348"/>
      <c r="DM92" s="348"/>
      <c r="DN92" s="348"/>
      <c r="DO92" s="348"/>
    </row>
    <row r="93" spans="45:119">
      <c r="AS93" s="348"/>
      <c r="AT93" s="348"/>
      <c r="AU93" s="348"/>
      <c r="AV93" s="348"/>
      <c r="AW93" s="348"/>
      <c r="AX93" s="348"/>
      <c r="AY93" s="348"/>
      <c r="AZ93" s="348"/>
      <c r="BA93" s="348"/>
      <c r="BB93" s="348"/>
      <c r="BC93" s="348"/>
      <c r="BD93" s="348"/>
      <c r="BE93" s="348"/>
      <c r="BF93" s="348"/>
      <c r="BG93" s="348"/>
      <c r="BH93" s="348"/>
      <c r="BI93" s="348"/>
      <c r="BJ93" s="348"/>
      <c r="BK93" s="348"/>
      <c r="BL93" s="348"/>
      <c r="BM93" s="348"/>
      <c r="BN93" s="348"/>
      <c r="CU93" s="348"/>
      <c r="CV93" s="348"/>
      <c r="CW93" s="348"/>
      <c r="CX93" s="348"/>
      <c r="CY93" s="348"/>
      <c r="CZ93" s="348"/>
      <c r="DA93" s="348"/>
      <c r="DB93" s="348"/>
      <c r="DC93" s="348"/>
      <c r="DD93" s="348"/>
      <c r="DE93" s="348"/>
      <c r="DF93" s="348"/>
      <c r="DG93" s="348"/>
      <c r="DH93" s="348"/>
      <c r="DI93" s="348"/>
      <c r="DJ93" s="348"/>
      <c r="DK93" s="348"/>
      <c r="DL93" s="348"/>
      <c r="DM93" s="348"/>
      <c r="DN93" s="348"/>
      <c r="DO93" s="348"/>
    </row>
    <row r="94" spans="45:119">
      <c r="AS94" s="348"/>
      <c r="AT94" s="348"/>
      <c r="AU94" s="348"/>
      <c r="AV94" s="348"/>
      <c r="AW94" s="348"/>
      <c r="AX94" s="348"/>
      <c r="AY94" s="348"/>
      <c r="AZ94" s="348"/>
      <c r="BA94" s="348"/>
      <c r="BB94" s="348"/>
      <c r="BC94" s="348"/>
      <c r="BD94" s="348"/>
      <c r="BE94" s="348"/>
      <c r="BF94" s="348"/>
      <c r="BG94" s="348"/>
      <c r="BH94" s="348"/>
      <c r="BI94" s="348"/>
      <c r="BJ94" s="348"/>
      <c r="BK94" s="348"/>
      <c r="BL94" s="348"/>
      <c r="BM94" s="348"/>
      <c r="BN94" s="348"/>
      <c r="CU94" s="348"/>
      <c r="CV94" s="348"/>
      <c r="CW94" s="348"/>
      <c r="CX94" s="348"/>
      <c r="CY94" s="348"/>
      <c r="CZ94" s="348"/>
      <c r="DA94" s="348"/>
      <c r="DB94" s="348"/>
      <c r="DC94" s="348"/>
      <c r="DD94" s="348"/>
      <c r="DE94" s="348"/>
      <c r="DF94" s="348"/>
      <c r="DG94" s="348"/>
      <c r="DH94" s="348"/>
      <c r="DI94" s="348"/>
      <c r="DJ94" s="348"/>
      <c r="DK94" s="348"/>
      <c r="DL94" s="348"/>
      <c r="DM94" s="348"/>
      <c r="DN94" s="348"/>
      <c r="DO94" s="348"/>
    </row>
    <row r="95" spans="45:119">
      <c r="AS95" s="348"/>
      <c r="AT95" s="348"/>
      <c r="AU95" s="348"/>
      <c r="AV95" s="348"/>
      <c r="AW95" s="348"/>
      <c r="AX95" s="348"/>
      <c r="AY95" s="348"/>
      <c r="AZ95" s="348"/>
      <c r="BA95" s="348"/>
      <c r="BB95" s="348"/>
      <c r="BC95" s="348"/>
      <c r="BD95" s="348"/>
      <c r="BE95" s="348"/>
      <c r="BF95" s="348"/>
      <c r="BG95" s="348"/>
      <c r="BH95" s="348"/>
      <c r="BI95" s="348"/>
      <c r="BJ95" s="348"/>
      <c r="BK95" s="348"/>
      <c r="BL95" s="348"/>
      <c r="BM95" s="348"/>
      <c r="BN95" s="348"/>
      <c r="CU95" s="348"/>
      <c r="CV95" s="348"/>
      <c r="CW95" s="348"/>
      <c r="CX95" s="348"/>
      <c r="CY95" s="348"/>
      <c r="CZ95" s="348"/>
      <c r="DA95" s="348"/>
      <c r="DB95" s="348"/>
      <c r="DC95" s="348"/>
      <c r="DD95" s="348"/>
      <c r="DE95" s="348"/>
      <c r="DF95" s="348"/>
      <c r="DG95" s="348"/>
      <c r="DH95" s="348"/>
      <c r="DI95" s="348"/>
      <c r="DJ95" s="348"/>
      <c r="DK95" s="348"/>
      <c r="DL95" s="348"/>
      <c r="DM95" s="348"/>
      <c r="DN95" s="348"/>
      <c r="DO95" s="348"/>
    </row>
    <row r="96" spans="45:119">
      <c r="AS96" s="348"/>
      <c r="AT96" s="348"/>
      <c r="AU96" s="348"/>
      <c r="AV96" s="348"/>
      <c r="AW96" s="348"/>
      <c r="AX96" s="348"/>
      <c r="AY96" s="348"/>
      <c r="AZ96" s="348"/>
      <c r="BA96" s="348"/>
      <c r="BB96" s="348"/>
      <c r="BC96" s="348"/>
      <c r="BD96" s="348"/>
      <c r="BE96" s="348"/>
      <c r="BF96" s="348"/>
      <c r="BG96" s="348"/>
      <c r="BH96" s="348"/>
      <c r="BI96" s="348"/>
      <c r="BJ96" s="348"/>
      <c r="BK96" s="348"/>
      <c r="BL96" s="348"/>
      <c r="BM96" s="348"/>
      <c r="BN96" s="348"/>
      <c r="CU96" s="348"/>
      <c r="CV96" s="348"/>
      <c r="CW96" s="348"/>
      <c r="CX96" s="348"/>
      <c r="CY96" s="348"/>
      <c r="CZ96" s="348"/>
      <c r="DA96" s="348"/>
      <c r="DB96" s="348"/>
      <c r="DC96" s="348"/>
      <c r="DD96" s="348"/>
      <c r="DE96" s="348"/>
      <c r="DF96" s="348"/>
      <c r="DG96" s="348"/>
      <c r="DH96" s="348"/>
      <c r="DI96" s="348"/>
      <c r="DJ96" s="348"/>
      <c r="DK96" s="348"/>
      <c r="DL96" s="348"/>
      <c r="DM96" s="348"/>
      <c r="DN96" s="348"/>
      <c r="DO96" s="348"/>
    </row>
  </sheetData>
  <mergeCells count="20">
    <mergeCell ref="D1:F1"/>
    <mergeCell ref="G1:I1"/>
    <mergeCell ref="L1:AL1"/>
    <mergeCell ref="AM1:AR1"/>
    <mergeCell ref="BO1:BX1"/>
    <mergeCell ref="BY1:CD1"/>
    <mergeCell ref="CE1:CL1"/>
    <mergeCell ref="CM1:DP1"/>
    <mergeCell ref="DQ1:DW1"/>
    <mergeCell ref="EA1:FW1"/>
    <mergeCell ref="FX1:HT1"/>
    <mergeCell ref="A1:A2"/>
    <mergeCell ref="B1:B2"/>
    <mergeCell ref="C1:C2"/>
    <mergeCell ref="HU1:HU2"/>
    <mergeCell ref="HV1:HV2"/>
    <mergeCell ref="HW1:HW2"/>
    <mergeCell ref="HX1:HX2"/>
    <mergeCell ref="HY1:HY2"/>
    <mergeCell ref="HZ1:HZ2"/>
  </mergeCells>
  <pageMargins left="0.7" right="0.7" top="0.75" bottom="0.75" header="0.3" footer="0.3"/>
  <pageSetup paperSize="9" orientation="portrait" verticalDpi="12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L21"/>
  <sheetViews>
    <sheetView workbookViewId="0">
      <selection activeCell="CB25" sqref="CB25"/>
    </sheetView>
  </sheetViews>
  <sheetFormatPr defaultColWidth="9" defaultRowHeight="9.6"/>
  <cols>
    <col min="1" max="1" width="2.37962962962963" style="7" customWidth="1"/>
    <col min="2" max="2" width="6.87962962962963" style="7" customWidth="1"/>
    <col min="3" max="3" width="2.87962962962963" style="7" customWidth="1"/>
    <col min="4" max="4" width="1.5" style="7" customWidth="1"/>
    <col min="5" max="5" width="1.25" style="7" customWidth="1"/>
    <col min="6" max="6" width="0.87962962962963" style="7" customWidth="1"/>
    <col min="7" max="7" width="2.37962962962963" style="7" customWidth="1"/>
    <col min="8" max="8" width="0.25" style="7" customWidth="1"/>
    <col min="9" max="10" width="2" style="7" customWidth="1"/>
    <col min="11" max="11" width="1.37962962962963" style="7" customWidth="1"/>
    <col min="12" max="12" width="2.12962962962963" style="7" customWidth="1"/>
    <col min="13" max="13" width="1.75" style="7" customWidth="1"/>
    <col min="14" max="14" width="1.25" style="7" customWidth="1"/>
    <col min="15" max="15" width="3.5" style="7" customWidth="1"/>
    <col min="16" max="16" width="1.5" style="7" customWidth="1"/>
    <col min="17" max="17" width="3.62962962962963" style="7" customWidth="1"/>
    <col min="18" max="18" width="1.25" style="7" customWidth="1"/>
    <col min="19" max="19" width="2.25" style="7" customWidth="1"/>
    <col min="20" max="20" width="2.87962962962963" style="7" customWidth="1"/>
    <col min="21" max="21" width="1.62962962962963" style="7" customWidth="1"/>
    <col min="22" max="22" width="1.75" style="7" customWidth="1"/>
    <col min="23" max="23" width="1.5" style="7" customWidth="1"/>
    <col min="24" max="24" width="2.37962962962963" style="7" customWidth="1"/>
    <col min="25" max="25" width="2.5" style="7" customWidth="1"/>
    <col min="26" max="27" width="2" style="7" customWidth="1"/>
    <col min="28" max="30" width="1.25" style="7" customWidth="1"/>
    <col min="31" max="31" width="1.75" style="7" customWidth="1"/>
    <col min="32" max="32" width="1" style="7" customWidth="1"/>
    <col min="33" max="33" width="2.37962962962963" style="7" customWidth="1"/>
    <col min="34" max="34" width="2.12962962962963" style="7" customWidth="1"/>
    <col min="35" max="35" width="0.87962962962963" style="7" customWidth="1"/>
    <col min="36" max="36" width="1.37962962962963" style="7" customWidth="1"/>
    <col min="37" max="38" width="0.87962962962963" style="7" customWidth="1"/>
    <col min="39" max="39" width="0.37962962962963" style="7" customWidth="1"/>
    <col min="40" max="40" width="1.75" style="7" customWidth="1"/>
    <col min="41" max="41" width="1.62962962962963" style="7" customWidth="1"/>
    <col min="42" max="42" width="0.87962962962963" style="7" customWidth="1"/>
    <col min="43" max="43" width="0.12962962962963" style="7" hidden="1" customWidth="1"/>
    <col min="44" max="44" width="2.75" style="7" customWidth="1"/>
    <col min="45" max="45" width="2.5" style="7" customWidth="1"/>
    <col min="46" max="46" width="2.75" style="7" customWidth="1"/>
    <col min="47" max="47" width="1.62962962962963" style="7" customWidth="1"/>
    <col min="48" max="49" width="0.87962962962963" style="7" customWidth="1"/>
    <col min="50" max="50" width="0.37962962962963" style="7" customWidth="1"/>
    <col min="51" max="51" width="3.37962962962963" style="7" customWidth="1"/>
    <col min="52" max="53" width="1.62962962962963" style="7" customWidth="1"/>
    <col min="54" max="54" width="0.12962962962963" style="7" hidden="1" customWidth="1"/>
    <col min="55" max="55" width="2.25" style="7" customWidth="1"/>
    <col min="56" max="56" width="2.62962962962963" style="7" customWidth="1"/>
    <col min="57" max="57" width="0.62962962962963" style="7" customWidth="1"/>
    <col min="58" max="58" width="1.62962962962963" style="7" customWidth="1"/>
    <col min="59" max="59" width="1.75" style="7" customWidth="1"/>
    <col min="60" max="60" width="0.87962962962963" style="7" customWidth="1"/>
    <col min="61" max="61" width="0.62962962962963" style="7" customWidth="1"/>
    <col min="62" max="62" width="0.37962962962963" style="7" customWidth="1"/>
    <col min="63" max="63" width="3.5" style="7" customWidth="1"/>
    <col min="64" max="65" width="1.37962962962963" style="7" customWidth="1"/>
    <col min="66" max="66" width="3.87962962962963" style="7" customWidth="1"/>
    <col min="67" max="68" width="2.62962962962963" style="7" customWidth="1"/>
    <col min="69" max="69" width="1" style="7" customWidth="1"/>
    <col min="70" max="70" width="2.37962962962963" style="7" customWidth="1"/>
    <col min="71" max="71" width="1.5" style="7" customWidth="1"/>
    <col min="72" max="72" width="1.37962962962963" style="7" customWidth="1"/>
    <col min="73" max="73" width="2.37962962962963" style="7" customWidth="1"/>
    <col min="74" max="74" width="2.5" style="7" customWidth="1"/>
    <col min="75" max="75" width="1.5" style="7" customWidth="1"/>
    <col min="76" max="76" width="1.62962962962963" style="7" customWidth="1"/>
    <col min="77" max="77" width="1.5" style="7" customWidth="1"/>
    <col min="78" max="78" width="1.12962962962963" style="7" customWidth="1"/>
    <col min="79" max="79" width="1" style="7" customWidth="1"/>
    <col min="80" max="80" width="2.87962962962963" style="7" customWidth="1"/>
    <col min="81" max="81" width="2.12962962962963" style="7" customWidth="1"/>
    <col min="82" max="82" width="3" style="7" customWidth="1"/>
    <col min="83" max="83" width="2.87962962962963" style="7" customWidth="1"/>
    <col min="84" max="84" width="5.25" style="7" customWidth="1"/>
    <col min="85" max="85" width="6.87962962962963" style="7" customWidth="1"/>
    <col min="86" max="86" width="6" style="7" customWidth="1"/>
    <col min="87" max="16384" width="9" style="7"/>
  </cols>
  <sheetData>
    <row r="2" s="1" customFormat="1" ht="14.45" customHeight="1" spans="2:85">
      <c r="B2" s="8" t="s">
        <v>1649</v>
      </c>
      <c r="C2" s="8" t="s">
        <v>1907</v>
      </c>
      <c r="D2" s="8"/>
      <c r="E2" s="8"/>
      <c r="F2" s="8"/>
      <c r="G2" s="8"/>
      <c r="H2" s="8"/>
      <c r="I2" s="9" t="s">
        <v>1908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1"/>
      <c r="AT2" s="2"/>
      <c r="AU2" s="61" t="s">
        <v>1909</v>
      </c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8" t="s">
        <v>1649</v>
      </c>
    </row>
    <row r="3" s="1" customFormat="1" ht="14.45" customHeight="1" spans="2:85">
      <c r="B3" s="8"/>
      <c r="C3" s="277" t="s">
        <v>1910</v>
      </c>
      <c r="D3" s="277"/>
      <c r="E3" s="42" t="s">
        <v>1911</v>
      </c>
      <c r="F3" s="42"/>
      <c r="G3" s="42"/>
      <c r="H3" s="42"/>
      <c r="I3" s="42" t="s">
        <v>1912</v>
      </c>
      <c r="J3" s="42"/>
      <c r="K3" s="42"/>
      <c r="L3" s="42" t="s">
        <v>1913</v>
      </c>
      <c r="M3" s="42"/>
      <c r="N3" s="42"/>
      <c r="O3" s="42" t="s">
        <v>1914</v>
      </c>
      <c r="P3" s="42"/>
      <c r="Q3" s="51" t="s">
        <v>1915</v>
      </c>
      <c r="R3" s="51"/>
      <c r="S3" s="42" t="s">
        <v>1916</v>
      </c>
      <c r="T3" s="42"/>
      <c r="U3" s="42" t="s">
        <v>1917</v>
      </c>
      <c r="V3" s="42"/>
      <c r="W3" s="42"/>
      <c r="X3" s="42" t="s">
        <v>1918</v>
      </c>
      <c r="Y3" s="42"/>
      <c r="Z3" s="42" t="s">
        <v>1919</v>
      </c>
      <c r="AA3" s="42"/>
      <c r="AB3" s="42"/>
      <c r="AC3" s="42" t="s">
        <v>1920</v>
      </c>
      <c r="AD3" s="42"/>
      <c r="AE3" s="42"/>
      <c r="AF3" s="42"/>
      <c r="AG3" s="42" t="s">
        <v>1921</v>
      </c>
      <c r="AH3" s="42"/>
      <c r="AI3" s="42"/>
      <c r="AJ3" s="42" t="s">
        <v>1922</v>
      </c>
      <c r="AK3" s="42"/>
      <c r="AL3" s="42"/>
      <c r="AM3" s="42"/>
      <c r="AN3" s="42"/>
      <c r="AO3" s="42" t="s">
        <v>1923</v>
      </c>
      <c r="AP3" s="42"/>
      <c r="AQ3" s="42"/>
      <c r="AR3" s="42"/>
      <c r="AS3" s="2"/>
      <c r="AT3" s="2"/>
      <c r="AU3" s="82" t="s">
        <v>1924</v>
      </c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178" t="s">
        <v>1925</v>
      </c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8"/>
    </row>
    <row r="4" s="2" customFormat="1" ht="14.45" customHeight="1" spans="2:90">
      <c r="B4" s="8"/>
      <c r="C4" s="277"/>
      <c r="D4" s="277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51"/>
      <c r="R4" s="51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U4" s="82" t="s">
        <v>1926</v>
      </c>
      <c r="AV4" s="82"/>
      <c r="AW4" s="82"/>
      <c r="AX4" s="82"/>
      <c r="AY4" s="82"/>
      <c r="AZ4" s="82" t="s">
        <v>1927</v>
      </c>
      <c r="BA4" s="82"/>
      <c r="BB4" s="82"/>
      <c r="BC4" s="82"/>
      <c r="BD4" s="82" t="s">
        <v>1928</v>
      </c>
      <c r="BE4" s="82"/>
      <c r="BF4" s="82"/>
      <c r="BG4" s="82"/>
      <c r="BH4" s="82" t="s">
        <v>1929</v>
      </c>
      <c r="BI4" s="82"/>
      <c r="BJ4" s="82"/>
      <c r="BK4" s="82"/>
      <c r="BL4" s="82"/>
      <c r="BM4" s="83" t="s">
        <v>1930</v>
      </c>
      <c r="BN4" s="83"/>
      <c r="BO4" s="83"/>
      <c r="BP4" s="83" t="s">
        <v>1931</v>
      </c>
      <c r="BQ4" s="83"/>
      <c r="BR4" s="83"/>
      <c r="BS4" s="83"/>
      <c r="BT4" s="83" t="s">
        <v>1932</v>
      </c>
      <c r="BU4" s="83"/>
      <c r="BV4" s="83"/>
      <c r="BW4" s="83" t="s">
        <v>1933</v>
      </c>
      <c r="BX4" s="83"/>
      <c r="BY4" s="83"/>
      <c r="BZ4" s="83"/>
      <c r="CA4" s="83"/>
      <c r="CB4" s="297" t="s">
        <v>1929</v>
      </c>
      <c r="CC4" s="297"/>
      <c r="CD4" s="297"/>
      <c r="CE4" s="297" t="s">
        <v>1934</v>
      </c>
      <c r="CF4" s="297"/>
      <c r="CG4" s="8"/>
      <c r="CH4" s="1"/>
      <c r="CI4" s="1"/>
      <c r="CJ4" s="1"/>
      <c r="CK4" s="1"/>
      <c r="CL4" s="1"/>
    </row>
    <row r="5" s="3" customFormat="1" ht="14.45" customHeight="1" spans="2:85">
      <c r="B5" s="18" t="s">
        <v>1886</v>
      </c>
      <c r="C5" s="122">
        <f>IF(VLOOKUP($B5,'IR GLASS '!$B$3:$FW$192,3,FALSE)="","",VLOOKUP($B5,'IR GLASS '!$B$3:$FW$192,3,FALSE))</f>
        <v>25.39</v>
      </c>
      <c r="D5" s="122"/>
      <c r="E5" s="122">
        <f>IF(VLOOKUP($B5,'IR GLASS '!$B$3:$FW$192,4,FALSE)="","",VLOOKUP($B5,'IR GLASS '!$B$3:$FW$192,4,FALSE))</f>
        <v>18.92</v>
      </c>
      <c r="F5" s="122"/>
      <c r="G5" s="122"/>
      <c r="H5" s="122"/>
      <c r="I5" s="43">
        <f>IF(VLOOKUP($B5,'IR GLASS '!$B$3:$FW$192,11,FALSE)="","",VLOOKUP($B5,'IR GLASS '!$B$3:$FW$192,11,FALSE))</f>
        <v>1.9156</v>
      </c>
      <c r="J5" s="43"/>
      <c r="K5" s="43"/>
      <c r="L5" s="43">
        <f>IF(VLOOKUP($B5,'IR GLASS '!$B$3:$FW$192,13,FALSE)="","",VLOOKUP($B5,'IR GLASS '!$B$3:$FW$192,13,FALSE))</f>
        <v>1.9076</v>
      </c>
      <c r="M5" s="43"/>
      <c r="N5" s="43" t="e">
        <f>IF(VLOOKUP($B5,[1]NHG2017数据!$B$5:$GN$236,4,FALSE)="","",VLOOKUP($B5,[1]NHG2017数据!$B$5:$GN$236,4,FALSE))</f>
        <v>#N/A</v>
      </c>
      <c r="O5" s="43">
        <f>IF(VLOOKUP($B5,'IR GLASS '!$B$3:$FW$192,14,FALSE)="","",VLOOKUP($B5,'IR GLASS '!$B$3:$FW$192,14,FALSE))</f>
        <v>1.9037</v>
      </c>
      <c r="P5" s="43"/>
      <c r="Q5" s="43">
        <f>IF(VLOOKUP($B5,'IR GLASS '!$B$3:$FW$192,15,FALSE)="","",VLOOKUP($B5,'IR GLASS '!$B$3:$FW$192,15,FALSE))</f>
        <v>1.8949</v>
      </c>
      <c r="R5" s="43"/>
      <c r="S5" s="43">
        <f>IF(VLOOKUP($B5,'IR GLASS '!$B$3:$FW$192,16,FALSE)="","",VLOOKUP($B5,'IR GLASS '!$B$3:$FW$192,16,FALSE))</f>
        <v>1.8883</v>
      </c>
      <c r="T5" s="43"/>
      <c r="U5" s="43">
        <f>IF(VLOOKUP($B5,'IR GLASS '!$B$3:$FW$192,17,FALSE)="","",VLOOKUP($B5,'IR GLASS '!$B$3:$FW$192,17,FALSE))</f>
        <v>1.8879</v>
      </c>
      <c r="V5" s="43"/>
      <c r="W5" s="43"/>
      <c r="X5" s="43">
        <f>IF(VLOOKUP($B5,'IR GLASS '!$B$3:$FW$192,18,FALSE)="","",VLOOKUP($B5,'IR GLASS '!$B$3:$FW$192,18,FALSE))</f>
        <v>1.8809</v>
      </c>
      <c r="Y5" s="43"/>
      <c r="Z5" s="43">
        <f>IF(VLOOKUP($B5,'IR GLASS '!$B$3:$FW$192,19,FALSE)="","",VLOOKUP($B5,'IR GLASS '!$B$3:$FW$192,19,FALSE))</f>
        <v>1.8732</v>
      </c>
      <c r="AA5" s="43"/>
      <c r="AB5" s="43"/>
      <c r="AC5" s="43">
        <f>IF(VLOOKUP($B5,'IR GLASS '!$B$3:$FW$192,20,FALSE)="","",VLOOKUP($B5,'IR GLASS '!$B$3:$FW$192,20,FALSE))</f>
        <v>1.8643</v>
      </c>
      <c r="AD5" s="43"/>
      <c r="AE5" s="43"/>
      <c r="AF5" s="43"/>
      <c r="AG5" s="43">
        <f>IF(VLOOKUP($B5,'IR GLASS '!$B$3:$FW$192,21,FALSE)="","",VLOOKUP($B5,'IR GLASS '!$B$3:$FW$192,21,FALSE))</f>
        <v>1.8541</v>
      </c>
      <c r="AH5" s="43"/>
      <c r="AI5" s="43"/>
      <c r="AJ5" s="43">
        <f>IF(VLOOKUP($B5,'IR GLASS '!$B$3:$FW$192,22,FALSE)="","",VLOOKUP($B5,'IR GLASS '!$B$3:$FW$192,22,FALSE))</f>
        <v>1.8421</v>
      </c>
      <c r="AK5" s="43"/>
      <c r="AL5" s="43"/>
      <c r="AM5" s="43"/>
      <c r="AN5" s="43"/>
      <c r="AO5" s="43">
        <f>IF(VLOOKUP($B5,'IR GLASS '!$B$3:$FW$192,23,FALSE)="","",VLOOKUP($B5,'IR GLASS '!$B$3:$FW$192,23,FALSE))</f>
        <v>1.828</v>
      </c>
      <c r="AP5" s="43"/>
      <c r="AQ5" s="43"/>
      <c r="AR5" s="43"/>
      <c r="AS5" s="1"/>
      <c r="AT5" s="2"/>
      <c r="AU5" s="189">
        <f>IF(VLOOKUP($B5,'IR GLASS '!$B$3:$FW$192,44,FALSE)="","",VLOOKUP($B5,'IR GLASS '!$B$3:$FW$192,44,FALSE))</f>
        <v>16.5</v>
      </c>
      <c r="AV5" s="189"/>
      <c r="AW5" s="189"/>
      <c r="AX5" s="189"/>
      <c r="AY5" s="189"/>
      <c r="AZ5" s="189">
        <f>IF(VLOOKUP($B5,'IR GLASS '!$B$3:$FW$192,47,FALSE)="","",VLOOKUP($B5,'IR GLASS '!$B$3:$FW$192,47,FALSE))</f>
        <v>16.6</v>
      </c>
      <c r="BA5" s="189"/>
      <c r="BB5" s="189"/>
      <c r="BC5" s="189"/>
      <c r="BD5" s="189">
        <f>IF(VLOOKUP($B5,'IR GLASS '!$B$3:$FW$192,48,FALSE)="","",VLOOKUP($B5,'IR GLASS '!$B$3:$FW$192,48,FALSE))</f>
        <v>16.8</v>
      </c>
      <c r="BE5" s="189"/>
      <c r="BF5" s="189"/>
      <c r="BG5" s="189"/>
      <c r="BH5" s="189">
        <f>IF(VLOOKUP($B5,'IR GLASS '!$B$3:$FW$192,50,FALSE)="","",VLOOKUP($B5,'IR GLASS '!$B$3:$FW$192,50,FALSE))</f>
        <v>17</v>
      </c>
      <c r="BI5" s="189"/>
      <c r="BJ5" s="189"/>
      <c r="BK5" s="189"/>
      <c r="BL5" s="189"/>
      <c r="BM5" s="293">
        <f>IF(VLOOKUP($B5,'IR GLASS '!$B$3:$FW$192,54,FALSE)="","",VLOOKUP($B5,'IR GLASS '!$B$3:$FW$192,54,FALSE))</f>
        <v>17.4</v>
      </c>
      <c r="BN5" s="293"/>
      <c r="BO5" s="293"/>
      <c r="BP5" s="293">
        <f>IF(VLOOKUP($B5,'IR GLASS '!$B$3:$FW$192,55,FALSE)="","",VLOOKUP($B5,'IR GLASS '!$B$3:$FW$192,55,FALSE))</f>
        <v>16.9</v>
      </c>
      <c r="BQ5" s="293"/>
      <c r="BR5" s="293"/>
      <c r="BS5" s="293"/>
      <c r="BT5" s="293">
        <f>IF(VLOOKUP($B5,'IR GLASS '!$B$3:$FW$192,58,FALSE)="","",VLOOKUP($B5,'IR GLASS '!$B$3:$FW$192,58,FALSE))</f>
        <v>17</v>
      </c>
      <c r="BU5" s="293"/>
      <c r="BV5" s="293"/>
      <c r="BW5" s="298">
        <f>IF(VLOOKUP($B5,'IR GLASS '!$B$3:$FW$192,59,FALSE)="","",VLOOKUP($B5,'IR GLASS '!$B$3:$FW$192,59,FALSE))</f>
        <v>17.2</v>
      </c>
      <c r="BX5" s="299"/>
      <c r="BY5" s="299"/>
      <c r="BZ5" s="299"/>
      <c r="CA5" s="300"/>
      <c r="CB5" s="301">
        <f>IF(VLOOKUP($B5,'IR GLASS '!$B$3:$FW$192,61,FALSE)="","",VLOOKUP($B5,'IR GLASS '!$B$3:$FW$192,61,FALSE))</f>
        <v>17.4</v>
      </c>
      <c r="CC5" s="314">
        <f>IF(VLOOKUP($B5,'IR GLASS '!$B$3:$FW$192,61,FALSE)="","",VLOOKUP($B5,'IR GLASS '!$B$3:$FW$192,61,FALSE))</f>
        <v>17.4</v>
      </c>
      <c r="CD5" s="315">
        <f>IF(VLOOKUP($B5,'IR GLASS '!$B$3:$FW$192,61,FALSE)="","",VLOOKUP($B5,'IR GLASS '!$B$3:$FW$192,61,FALSE))</f>
        <v>17.4</v>
      </c>
      <c r="CE5" s="316">
        <f>IF(VLOOKUP($B5,'IR GLASS '!$B$3:$FW$192,65,FALSE)="","",VLOOKUP($B5,'IR GLASS '!$B$3:$FW$192,65,FALSE))</f>
        <v>17.9</v>
      </c>
      <c r="CF5" s="316"/>
      <c r="CG5" s="18" t="str">
        <f>B5</f>
        <v>IRG105</v>
      </c>
    </row>
    <row r="6" s="276" customFormat="1" ht="14.45" customHeight="1" spans="2:90">
      <c r="B6" s="29"/>
      <c r="C6" s="124"/>
      <c r="D6" s="124"/>
      <c r="E6" s="124"/>
      <c r="F6" s="124"/>
      <c r="G6" s="124"/>
      <c r="H6" s="12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68"/>
      <c r="AT6" s="69"/>
      <c r="AU6" s="289"/>
      <c r="AV6" s="289"/>
      <c r="AW6" s="289"/>
      <c r="AX6" s="289"/>
      <c r="AY6" s="289"/>
      <c r="AZ6" s="289"/>
      <c r="BA6" s="289"/>
      <c r="BB6" s="289"/>
      <c r="BC6" s="289"/>
      <c r="BD6" s="289"/>
      <c r="BE6" s="289"/>
      <c r="BF6" s="289"/>
      <c r="BG6" s="289"/>
      <c r="BH6" s="289"/>
      <c r="BI6" s="289"/>
      <c r="BJ6" s="289"/>
      <c r="BK6" s="289"/>
      <c r="BL6" s="289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302"/>
      <c r="BX6" s="303"/>
      <c r="BY6" s="303"/>
      <c r="BZ6" s="303"/>
      <c r="CA6" s="304"/>
      <c r="CB6" s="305"/>
      <c r="CC6" s="317"/>
      <c r="CD6" s="318"/>
      <c r="CE6" s="319"/>
      <c r="CF6" s="319"/>
      <c r="CG6" s="29"/>
      <c r="CH6" s="6"/>
      <c r="CI6" s="6"/>
      <c r="CJ6" s="6"/>
      <c r="CK6" s="6"/>
      <c r="CL6" s="6"/>
    </row>
    <row r="7" s="126" customFormat="1" ht="14.45" customHeight="1" spans="2:85">
      <c r="B7" s="135"/>
      <c r="C7" s="278"/>
      <c r="D7" s="278"/>
      <c r="E7" s="278"/>
      <c r="F7" s="278"/>
      <c r="G7" s="278"/>
      <c r="H7" s="278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68"/>
      <c r="AT7" s="169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295"/>
      <c r="BN7" s="295"/>
      <c r="BO7" s="295"/>
      <c r="BP7" s="295"/>
      <c r="BQ7" s="295"/>
      <c r="BR7" s="295"/>
      <c r="BS7" s="295"/>
      <c r="BT7" s="295"/>
      <c r="BU7" s="295"/>
      <c r="BV7" s="295"/>
      <c r="BW7" s="306"/>
      <c r="BX7" s="307"/>
      <c r="BY7" s="307"/>
      <c r="BZ7" s="307"/>
      <c r="CA7" s="308"/>
      <c r="CB7" s="309"/>
      <c r="CC7" s="320"/>
      <c r="CD7" s="321"/>
      <c r="CE7" s="322"/>
      <c r="CF7" s="322"/>
      <c r="CG7" s="135"/>
    </row>
    <row r="8" s="276" customFormat="1" ht="14.45" customHeight="1" spans="2:90">
      <c r="B8" s="29"/>
      <c r="C8" s="124"/>
      <c r="D8" s="124"/>
      <c r="E8" s="124"/>
      <c r="F8" s="124"/>
      <c r="G8" s="124"/>
      <c r="H8" s="124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68"/>
      <c r="AT8" s="69"/>
      <c r="AU8" s="289"/>
      <c r="AV8" s="289"/>
      <c r="AW8" s="289"/>
      <c r="AX8" s="289"/>
      <c r="AY8" s="289"/>
      <c r="AZ8" s="289"/>
      <c r="BA8" s="289"/>
      <c r="BB8" s="289"/>
      <c r="BC8" s="289"/>
      <c r="BD8" s="289"/>
      <c r="BE8" s="289"/>
      <c r="BF8" s="289"/>
      <c r="BG8" s="289"/>
      <c r="BH8" s="289"/>
      <c r="BI8" s="289"/>
      <c r="BJ8" s="289"/>
      <c r="BK8" s="289"/>
      <c r="BL8" s="289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302"/>
      <c r="BX8" s="303"/>
      <c r="BY8" s="303"/>
      <c r="BZ8" s="303"/>
      <c r="CA8" s="304"/>
      <c r="CB8" s="305"/>
      <c r="CC8" s="317"/>
      <c r="CD8" s="318"/>
      <c r="CE8" s="319"/>
      <c r="CF8" s="319"/>
      <c r="CG8" s="29"/>
      <c r="CH8" s="6"/>
      <c r="CI8" s="6"/>
      <c r="CJ8" s="6"/>
      <c r="CK8" s="6"/>
      <c r="CL8" s="6"/>
    </row>
    <row r="9" s="126" customFormat="1" ht="14.45" customHeight="1" spans="2:85">
      <c r="B9" s="135"/>
      <c r="C9" s="278"/>
      <c r="D9" s="278"/>
      <c r="E9" s="278"/>
      <c r="F9" s="278"/>
      <c r="G9" s="278"/>
      <c r="H9" s="278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68"/>
      <c r="AT9" s="169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295"/>
      <c r="BN9" s="295"/>
      <c r="BO9" s="295"/>
      <c r="BP9" s="295"/>
      <c r="BQ9" s="295"/>
      <c r="BR9" s="295"/>
      <c r="BS9" s="295"/>
      <c r="BT9" s="295"/>
      <c r="BU9" s="295"/>
      <c r="BV9" s="295"/>
      <c r="BW9" s="306"/>
      <c r="BX9" s="307"/>
      <c r="BY9" s="307"/>
      <c r="BZ9" s="307"/>
      <c r="CA9" s="308"/>
      <c r="CB9" s="309"/>
      <c r="CC9" s="320"/>
      <c r="CD9" s="321"/>
      <c r="CE9" s="322"/>
      <c r="CF9" s="322"/>
      <c r="CG9" s="135"/>
    </row>
    <row r="10" s="4" customFormat="1" ht="14.45" customHeight="1" spans="2:90">
      <c r="B10" s="29"/>
      <c r="C10" s="124"/>
      <c r="D10" s="124"/>
      <c r="E10" s="124"/>
      <c r="F10" s="124"/>
      <c r="G10" s="124"/>
      <c r="H10" s="124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68"/>
      <c r="AT10" s="69"/>
      <c r="AU10" s="45"/>
      <c r="AV10" s="45"/>
      <c r="AW10" s="45"/>
      <c r="AX10" s="45"/>
      <c r="AY10" s="45"/>
      <c r="AZ10" s="45"/>
      <c r="BA10" s="45"/>
      <c r="BB10" s="45"/>
      <c r="BC10" s="45"/>
      <c r="BD10" s="291"/>
      <c r="BE10" s="291"/>
      <c r="BF10" s="291"/>
      <c r="BG10" s="291"/>
      <c r="BH10" s="291"/>
      <c r="BI10" s="291"/>
      <c r="BJ10" s="291"/>
      <c r="BK10" s="291"/>
      <c r="BL10" s="291"/>
      <c r="BM10" s="296"/>
      <c r="BN10" s="296"/>
      <c r="BO10" s="296"/>
      <c r="BP10" s="296"/>
      <c r="BQ10" s="296"/>
      <c r="BR10" s="296"/>
      <c r="BS10" s="296"/>
      <c r="BT10" s="296"/>
      <c r="BU10" s="296"/>
      <c r="BV10" s="296"/>
      <c r="BW10" s="310"/>
      <c r="BX10" s="311"/>
      <c r="BY10" s="311"/>
      <c r="BZ10" s="311"/>
      <c r="CA10" s="312"/>
      <c r="CB10" s="313"/>
      <c r="CC10" s="323"/>
      <c r="CD10" s="324"/>
      <c r="CE10" s="325"/>
      <c r="CF10" s="60"/>
      <c r="CG10" s="29"/>
      <c r="CH10" s="6"/>
      <c r="CI10" s="6"/>
      <c r="CJ10" s="6"/>
      <c r="CK10" s="6"/>
      <c r="CL10" s="6"/>
    </row>
    <row r="11" s="1" customFormat="1" ht="14.45" customHeight="1" spans="2:85">
      <c r="B11" s="8" t="s">
        <v>1649</v>
      </c>
      <c r="C11" s="9" t="s">
        <v>1935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1"/>
      <c r="AT11" s="2"/>
      <c r="AU11" s="8" t="s">
        <v>1684</v>
      </c>
      <c r="AV11" s="8"/>
      <c r="AW11" s="8"/>
      <c r="AX11" s="8"/>
      <c r="AY11" s="8"/>
      <c r="AZ11" s="8"/>
      <c r="BA11" s="8"/>
      <c r="BB11" s="8"/>
      <c r="BC11" s="8"/>
      <c r="BD11" s="8" t="s">
        <v>1936</v>
      </c>
      <c r="BE11" s="8"/>
      <c r="BF11" s="8"/>
      <c r="BG11" s="8"/>
      <c r="BH11" s="8"/>
      <c r="BI11" s="8"/>
      <c r="BJ11" s="8"/>
      <c r="BK11" s="8"/>
      <c r="BL11" s="8"/>
      <c r="BM11" s="202" t="s">
        <v>1937</v>
      </c>
      <c r="BN11" s="202"/>
      <c r="BO11" s="202"/>
      <c r="BP11" s="202" t="s">
        <v>1938</v>
      </c>
      <c r="BQ11" s="202"/>
      <c r="BR11" s="202"/>
      <c r="BS11" s="202"/>
      <c r="BT11" s="202"/>
      <c r="BU11" s="202" t="s">
        <v>1939</v>
      </c>
      <c r="BV11" s="61"/>
      <c r="BW11" s="61"/>
      <c r="BX11" s="61"/>
      <c r="BY11" s="61"/>
      <c r="BZ11" s="61"/>
      <c r="CA11" s="61"/>
      <c r="CB11" s="61"/>
      <c r="CC11" s="61"/>
      <c r="CD11" s="61" t="s">
        <v>1940</v>
      </c>
      <c r="CE11" s="61"/>
      <c r="CF11" s="61" t="s">
        <v>1941</v>
      </c>
      <c r="CG11" s="8" t="s">
        <v>1649</v>
      </c>
    </row>
    <row r="12" s="1" customFormat="1" ht="14.45" customHeight="1" spans="2:85">
      <c r="B12" s="8"/>
      <c r="C12" s="36">
        <v>5</v>
      </c>
      <c r="D12" s="37"/>
      <c r="E12" s="279">
        <v>4.75</v>
      </c>
      <c r="F12" s="280"/>
      <c r="G12" s="280"/>
      <c r="H12" s="281"/>
      <c r="I12" s="36">
        <v>4.5</v>
      </c>
      <c r="J12" s="38"/>
      <c r="K12" s="37"/>
      <c r="L12" s="46">
        <v>4</v>
      </c>
      <c r="M12" s="47"/>
      <c r="N12" s="48"/>
      <c r="O12" s="36">
        <v>3.5</v>
      </c>
      <c r="P12" s="37"/>
      <c r="Q12" s="36">
        <v>3</v>
      </c>
      <c r="R12" s="37"/>
      <c r="S12" s="36">
        <v>2.5</v>
      </c>
      <c r="T12" s="37"/>
      <c r="U12" s="36">
        <v>2</v>
      </c>
      <c r="V12" s="38"/>
      <c r="W12" s="37"/>
      <c r="X12" s="36">
        <v>1.5</v>
      </c>
      <c r="Y12" s="37"/>
      <c r="Z12" s="36">
        <v>1</v>
      </c>
      <c r="AA12" s="38"/>
      <c r="AB12" s="37"/>
      <c r="AC12" s="36">
        <v>0.8</v>
      </c>
      <c r="AD12" s="38"/>
      <c r="AE12" s="38"/>
      <c r="AF12" s="37"/>
      <c r="AG12" s="36">
        <v>0.7</v>
      </c>
      <c r="AH12" s="38"/>
      <c r="AI12" s="37"/>
      <c r="AJ12" s="55">
        <v>0.6</v>
      </c>
      <c r="AK12" s="56"/>
      <c r="AL12" s="56"/>
      <c r="AM12" s="56"/>
      <c r="AN12" s="57"/>
      <c r="AO12" s="55">
        <v>0.5</v>
      </c>
      <c r="AP12" s="56"/>
      <c r="AQ12" s="56"/>
      <c r="AR12" s="57"/>
      <c r="AT12" s="2"/>
      <c r="AU12" s="71" t="s">
        <v>1942</v>
      </c>
      <c r="AV12" s="72"/>
      <c r="AW12" s="72"/>
      <c r="AX12" s="72"/>
      <c r="AY12" s="78"/>
      <c r="AZ12" s="71" t="s">
        <v>1943</v>
      </c>
      <c r="BA12" s="72"/>
      <c r="BB12" s="72"/>
      <c r="BC12" s="78"/>
      <c r="BD12" s="61" t="s">
        <v>1944</v>
      </c>
      <c r="BE12" s="61"/>
      <c r="BF12" s="61"/>
      <c r="BG12" s="61"/>
      <c r="BH12" s="61" t="s">
        <v>1945</v>
      </c>
      <c r="BI12" s="61"/>
      <c r="BJ12" s="61"/>
      <c r="BK12" s="61"/>
      <c r="BL12" s="61"/>
      <c r="BM12" s="202"/>
      <c r="BN12" s="202"/>
      <c r="BO12" s="202"/>
      <c r="BP12" s="202"/>
      <c r="BQ12" s="202"/>
      <c r="BR12" s="202"/>
      <c r="BS12" s="202"/>
      <c r="BT12" s="202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8"/>
    </row>
    <row r="13" s="1" customFormat="1" ht="14.45" customHeight="1" spans="2:85">
      <c r="B13" s="8"/>
      <c r="C13" s="36" t="s">
        <v>1946</v>
      </c>
      <c r="D13" s="37"/>
      <c r="E13" s="279" t="s">
        <v>1946</v>
      </c>
      <c r="F13" s="280"/>
      <c r="G13" s="280"/>
      <c r="H13" s="281"/>
      <c r="I13" s="36" t="s">
        <v>1946</v>
      </c>
      <c r="J13" s="38"/>
      <c r="K13" s="37"/>
      <c r="L13" s="46" t="s">
        <v>1946</v>
      </c>
      <c r="M13" s="47"/>
      <c r="N13" s="48"/>
      <c r="O13" s="36" t="s">
        <v>1946</v>
      </c>
      <c r="P13" s="37"/>
      <c r="Q13" s="36" t="s">
        <v>1946</v>
      </c>
      <c r="R13" s="37"/>
      <c r="S13" s="36" t="s">
        <v>1946</v>
      </c>
      <c r="T13" s="37"/>
      <c r="U13" s="36" t="s">
        <v>1946</v>
      </c>
      <c r="V13" s="38"/>
      <c r="W13" s="37"/>
      <c r="X13" s="36" t="s">
        <v>1946</v>
      </c>
      <c r="Y13" s="37"/>
      <c r="Z13" s="36" t="s">
        <v>1946</v>
      </c>
      <c r="AA13" s="38"/>
      <c r="AB13" s="37"/>
      <c r="AC13" s="36" t="s">
        <v>1946</v>
      </c>
      <c r="AD13" s="38"/>
      <c r="AE13" s="38"/>
      <c r="AF13" s="37"/>
      <c r="AG13" s="36" t="s">
        <v>1946</v>
      </c>
      <c r="AH13" s="38"/>
      <c r="AI13" s="37"/>
      <c r="AJ13" s="55" t="s">
        <v>1946</v>
      </c>
      <c r="AK13" s="56"/>
      <c r="AL13" s="56"/>
      <c r="AM13" s="56"/>
      <c r="AN13" s="57"/>
      <c r="AO13" s="55" t="s">
        <v>1946</v>
      </c>
      <c r="AP13" s="56"/>
      <c r="AQ13" s="56"/>
      <c r="AR13" s="57"/>
      <c r="AT13" s="2"/>
      <c r="AU13" s="73"/>
      <c r="AV13" s="74"/>
      <c r="AW13" s="74"/>
      <c r="AX13" s="74"/>
      <c r="AY13" s="79"/>
      <c r="AZ13" s="73"/>
      <c r="BA13" s="74"/>
      <c r="BB13" s="74"/>
      <c r="BC13" s="79"/>
      <c r="BD13" s="61"/>
      <c r="BE13" s="61"/>
      <c r="BF13" s="61"/>
      <c r="BG13" s="61"/>
      <c r="BH13" s="61"/>
      <c r="BI13" s="61"/>
      <c r="BJ13" s="61"/>
      <c r="BK13" s="61"/>
      <c r="BL13" s="61"/>
      <c r="BM13" s="87" t="s">
        <v>1947</v>
      </c>
      <c r="BN13" s="87"/>
      <c r="BO13" s="87"/>
      <c r="BP13" s="87" t="s">
        <v>1948</v>
      </c>
      <c r="BQ13" s="87"/>
      <c r="BR13" s="87"/>
      <c r="BS13" s="87"/>
      <c r="BT13" s="87"/>
      <c r="BU13" s="82" t="s">
        <v>1949</v>
      </c>
      <c r="BV13" s="82"/>
      <c r="BW13" s="82"/>
      <c r="BX13" s="82"/>
      <c r="BY13" s="82" t="s">
        <v>1950</v>
      </c>
      <c r="BZ13" s="82"/>
      <c r="CA13" s="82"/>
      <c r="CB13" s="82"/>
      <c r="CC13" s="82"/>
      <c r="CD13" s="61"/>
      <c r="CE13" s="61"/>
      <c r="CF13" s="61"/>
      <c r="CG13" s="8"/>
    </row>
    <row r="14" s="3" customFormat="1" ht="14.45" customHeight="1" spans="2:85">
      <c r="B14" s="18" t="str">
        <f>B5</f>
        <v>IRG105</v>
      </c>
      <c r="C14" s="282">
        <f>IF(VLOOKUP($B5,'IR GLASS '!$B$3:$FW$192,153,FALSE)="","",VLOOKUP($B5,'IR GLASS '!$B$3:$FW$192,153,FALSE))</f>
        <v>0.69</v>
      </c>
      <c r="D14" s="282"/>
      <c r="E14" s="282">
        <f>IF(VLOOKUP($B5,'IR GLASS '!$B$3:$FW$192,154,FALSE)="","",VLOOKUP($B5,'IR GLASS '!$B$3:$FW$192,154,FALSE))</f>
        <v>0.756</v>
      </c>
      <c r="F14" s="282"/>
      <c r="G14" s="282"/>
      <c r="H14" s="282"/>
      <c r="I14" s="282">
        <f>IF(VLOOKUP($B5,'IR GLASS '!$B$3:$FW$192,155,FALSE)="","",VLOOKUP($B5,'IR GLASS '!$B$3:$FW$192,155,FALSE))</f>
        <v>0.772</v>
      </c>
      <c r="J14" s="282"/>
      <c r="K14" s="282"/>
      <c r="L14" s="285">
        <f>IF(VLOOKUP($B5,'IR GLASS '!$B$3:$FW$192,157,FALSE)="","",VLOOKUP($B5,'IR GLASS '!$B$3:$FW$192,157,FALSE))</f>
        <v>0.813</v>
      </c>
      <c r="M14" s="285"/>
      <c r="N14" s="285"/>
      <c r="O14" s="282">
        <f>IF(VLOOKUP($B5,'IR GLASS '!$B$3:$FW$192,159,FALSE)="","",VLOOKUP($B5,'IR GLASS '!$B$3:$FW$192,159,FALSE))</f>
        <v>0.816</v>
      </c>
      <c r="P14" s="282"/>
      <c r="Q14" s="282">
        <f>IF(VLOOKUP($B5,'IR GLASS '!$B$3:$FW$192,161,FALSE)="","",VLOOKUP($B5,'IR GLASS '!$B$3:$FW$192,161,FALSE))</f>
        <v>0.802</v>
      </c>
      <c r="R14" s="282"/>
      <c r="S14" s="282">
        <f>IF(VLOOKUP($B5,'IR GLASS '!$B$3:$FW$192,164,FALSE)="","",VLOOKUP($B5,'IR GLASS '!$B$3:$FW$192,164,FALSE))</f>
        <v>0.831</v>
      </c>
      <c r="T14" s="282"/>
      <c r="U14" s="282">
        <f>IF(VLOOKUP($B5,'IR GLASS '!$B$3:$FW$192,166,FALSE)="","",VLOOKUP($B5,'IR GLASS '!$B$3:$FW$192,166,FALSE))</f>
        <v>0.841</v>
      </c>
      <c r="V14" s="282"/>
      <c r="W14" s="282"/>
      <c r="X14" s="286">
        <f>IF(VLOOKUP($B5,'IR GLASS '!$B$3:$FW$192,168,FALSE)="","",VLOOKUP($B5,'IR GLASS '!$B$3:$FW$192,168,FALSE))</f>
        <v>0.832</v>
      </c>
      <c r="Y14" s="286"/>
      <c r="Z14" s="282">
        <f>IF(VLOOKUP($B5,'IR GLASS '!$B$3:$FW$192,170,FALSE)="","",VLOOKUP($B5,'IR GLASS '!$B$3:$FW$192,170,FALSE))</f>
        <v>0.825</v>
      </c>
      <c r="AA14" s="282"/>
      <c r="AB14" s="282"/>
      <c r="AC14" s="282">
        <f>IF(VLOOKUP($B5,'IR GLASS '!$B$3:$FW$192,171,FALSE)="","",VLOOKUP($B5,'IR GLASS '!$B$3:$FW$192,171,FALSE))</f>
        <v>0.828</v>
      </c>
      <c r="AD14" s="282"/>
      <c r="AE14" s="282"/>
      <c r="AF14" s="282"/>
      <c r="AG14" s="282">
        <f>IF(VLOOKUP($B5,'IR GLASS '!$B$3:$FW$192,173,FALSE)="","",VLOOKUP($B5,'IR GLASS '!$B$3:$FW$192,173,FALSE))</f>
        <v>0.8</v>
      </c>
      <c r="AH14" s="282"/>
      <c r="AI14" s="282"/>
      <c r="AJ14" s="282">
        <f>IF(VLOOKUP($B5,'IR GLASS '!$B$3:$FW$192,174,FALSE)="","",VLOOKUP($B5,'IR GLASS '!$B$3:$FW$192,174,FALSE))</f>
        <v>0.791</v>
      </c>
      <c r="AK14" s="282"/>
      <c r="AL14" s="282"/>
      <c r="AM14" s="282"/>
      <c r="AN14" s="282"/>
      <c r="AO14" s="282">
        <f>IF(VLOOKUP($B5,'IR GLASS '!$B$3:$FW$192,175,FALSE)="","",VLOOKUP($B5,'IR GLASS '!$B$3:$FW$192,175,FALSE))</f>
        <v>0.77</v>
      </c>
      <c r="AP14" s="282"/>
      <c r="AQ14" s="282"/>
      <c r="AR14" s="282"/>
      <c r="AS14" s="1"/>
      <c r="AT14" s="2"/>
      <c r="AU14" s="172">
        <f>IF(VLOOKUP($B5,'IR GLASS '!$B$3:$FW$192,82,FALSE)="","",VLOOKUP($B5,'IR GLASS '!$B$3:$FW$192,82,FALSE))</f>
        <v>1</v>
      </c>
      <c r="AV14" s="172"/>
      <c r="AW14" s="172"/>
      <c r="AX14" s="172"/>
      <c r="AY14" s="172"/>
      <c r="AZ14" s="172">
        <f>IF(VLOOKUP($B5,'IR GLASS '!$B$3:$FW$192,83,FALSE)="","",VLOOKUP($B5,'IR GLASS '!$B$3:$FW$192,83,FALSE))</f>
        <v>3</v>
      </c>
      <c r="BA14" s="172"/>
      <c r="BB14" s="172"/>
      <c r="BC14" s="172"/>
      <c r="BD14" s="172">
        <f>IF(VLOOKUP($B5,'IR GLASS '!$B$3:$FW$192,84,FALSE)="","",VLOOKUP($B5,'IR GLASS '!$B$3:$FW$192,84,FALSE))</f>
        <v>2</v>
      </c>
      <c r="BE14" s="172"/>
      <c r="BF14" s="172"/>
      <c r="BG14" s="172"/>
      <c r="BH14" s="172">
        <f>IF(VLOOKUP($B5,'IR GLASS '!$B$3:$FW$192,85,FALSE)="","",VLOOKUP($B5,'IR GLASS '!$B$3:$FW$192,85,FALSE))</f>
        <v>5</v>
      </c>
      <c r="BI14" s="172"/>
      <c r="BJ14" s="172"/>
      <c r="BK14" s="172"/>
      <c r="BL14" s="172"/>
      <c r="BM14" s="172">
        <f>IF(VLOOKUP($B5,'IR GLASS '!$B$3:$FW$192,90,FALSE)="","",VLOOKUP($B5,'IR GLASS '!$B$3:$FW$192,90,FALSE))</f>
        <v>534</v>
      </c>
      <c r="BN14" s="172"/>
      <c r="BO14" s="172"/>
      <c r="BP14" s="181">
        <f>IF(VLOOKUP($B5,'IR GLASS '!$B$3:$FW$192,91,FALSE)="","",VLOOKUP($B5,'IR GLASS '!$B$3:$FW$192,91,FALSE))</f>
        <v>565</v>
      </c>
      <c r="BQ14" s="181"/>
      <c r="BR14" s="181"/>
      <c r="BS14" s="181"/>
      <c r="BT14" s="181"/>
      <c r="BU14" s="181">
        <f>IF(VLOOKUP($B5,'IR GLASS '!$B$3:$FW$192,94,FALSE)="","",VLOOKUP($B5,'IR GLASS '!$B$3:$FW$192,94,FALSE))</f>
        <v>65</v>
      </c>
      <c r="BV14" s="181"/>
      <c r="BW14" s="181"/>
      <c r="BX14" s="181"/>
      <c r="BY14" s="181">
        <f>IF(VLOOKUP($B5,'IR GLASS '!$B$3:$FW$192,97,FALSE)="","",VLOOKUP($B5,'IR GLASS '!$B$3:$FW$192,97,FALSE))</f>
        <v>78</v>
      </c>
      <c r="BZ14" s="181"/>
      <c r="CA14" s="181"/>
      <c r="CB14" s="181"/>
      <c r="CC14" s="181"/>
      <c r="CD14" s="181">
        <f>IF(VLOOKUP($B5,'IR GLASS '!$B$3:$FW$192,120,FALSE)="","",VLOOKUP($B5,'IR GLASS '!$B$3:$FW$192,120,FALSE))</f>
        <v>447</v>
      </c>
      <c r="CE14" s="181"/>
      <c r="CF14" s="122">
        <f>IF(VLOOKUP($B5,'IR GLASS '!$B$3:$FW$192,129,FALSE)="","",VLOOKUP($B5,'IR GLASS '!$B$3:$FW$192,129,FALSE))</f>
        <v>5.62</v>
      </c>
      <c r="CG14" s="18" t="str">
        <f>CG5</f>
        <v>IRG105</v>
      </c>
    </row>
    <row r="15" s="276" customFormat="1" ht="14.45" customHeight="1" spans="2:90">
      <c r="B15" s="29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7"/>
      <c r="Y15" s="287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6"/>
      <c r="AT15" s="4"/>
      <c r="AU15" s="290"/>
      <c r="AV15" s="290"/>
      <c r="AW15" s="290"/>
      <c r="AX15" s="290"/>
      <c r="AY15" s="290"/>
      <c r="AZ15" s="290"/>
      <c r="BA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87"/>
      <c r="BN15" s="87"/>
      <c r="BO15" s="87"/>
      <c r="BP15" s="87"/>
      <c r="BQ15" s="87"/>
      <c r="BR15" s="87"/>
      <c r="BS15" s="87"/>
      <c r="BT15" s="87"/>
      <c r="BU15" s="82"/>
      <c r="BV15" s="82"/>
      <c r="BW15" s="82"/>
      <c r="BX15" s="82"/>
      <c r="BY15" s="82"/>
      <c r="BZ15" s="82"/>
      <c r="CA15" s="82"/>
      <c r="CB15" s="82"/>
      <c r="CC15" s="82"/>
      <c r="CD15" s="326"/>
      <c r="CE15" s="326"/>
      <c r="CF15" s="124"/>
      <c r="CG15" s="29"/>
      <c r="CH15" s="6"/>
      <c r="CI15" s="6"/>
      <c r="CJ15" s="6"/>
      <c r="CK15" s="6"/>
      <c r="CL15" s="6"/>
    </row>
    <row r="16" s="126" customFormat="1" ht="14.45" customHeight="1" spans="2:85">
      <c r="B16" s="135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8"/>
      <c r="Y16" s="288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174"/>
      <c r="AT16" s="175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2"/>
      <c r="BI16" s="172"/>
      <c r="BJ16" s="172"/>
      <c r="BK16" s="172"/>
      <c r="BL16" s="172"/>
      <c r="BM16" s="172"/>
      <c r="BN16" s="172"/>
      <c r="BO16" s="172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278"/>
      <c r="CG16" s="135"/>
    </row>
    <row r="17" s="276" customFormat="1" ht="14.45" customHeight="1" spans="2:90">
      <c r="B17" s="29"/>
      <c r="C17" s="283"/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7"/>
      <c r="Y17" s="287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6"/>
      <c r="AT17" s="4"/>
      <c r="AU17" s="290"/>
      <c r="AV17" s="290"/>
      <c r="AW17" s="290"/>
      <c r="AX17" s="290"/>
      <c r="AY17" s="290"/>
      <c r="AZ17" s="290"/>
      <c r="BA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87"/>
      <c r="BN17" s="87"/>
      <c r="BO17" s="87"/>
      <c r="BP17" s="87"/>
      <c r="BQ17" s="87"/>
      <c r="BR17" s="87"/>
      <c r="BS17" s="87"/>
      <c r="BT17" s="87"/>
      <c r="BU17" s="82"/>
      <c r="BV17" s="82"/>
      <c r="BW17" s="82"/>
      <c r="BX17" s="82"/>
      <c r="BY17" s="82"/>
      <c r="BZ17" s="82"/>
      <c r="CA17" s="82"/>
      <c r="CB17" s="82"/>
      <c r="CC17" s="82"/>
      <c r="CD17" s="326"/>
      <c r="CE17" s="326"/>
      <c r="CF17" s="124"/>
      <c r="CG17" s="29"/>
      <c r="CH17" s="6"/>
      <c r="CI17" s="6"/>
      <c r="CJ17" s="6"/>
      <c r="CK17" s="6"/>
      <c r="CL17" s="6"/>
    </row>
    <row r="18" s="126" customFormat="1" ht="14.45" customHeight="1" spans="2:85">
      <c r="B18" s="135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8"/>
      <c r="Y18" s="288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174"/>
      <c r="AT18" s="175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2"/>
      <c r="BI18" s="172"/>
      <c r="BJ18" s="172"/>
      <c r="BK18" s="172"/>
      <c r="BL18" s="172"/>
      <c r="BM18" s="172"/>
      <c r="BN18" s="172"/>
      <c r="BO18" s="172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278"/>
      <c r="CG18" s="135"/>
    </row>
    <row r="19" s="6" customFormat="1" ht="14.45" customHeight="1" spans="2:85">
      <c r="B19" s="2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54"/>
      <c r="Y19" s="54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60"/>
      <c r="AK19" s="60"/>
      <c r="AL19" s="60"/>
      <c r="AM19" s="60"/>
      <c r="AN19" s="60"/>
      <c r="AO19" s="60"/>
      <c r="AP19" s="60"/>
      <c r="AQ19" s="60"/>
      <c r="AR19" s="60"/>
      <c r="AT19" s="4"/>
      <c r="AU19" s="290"/>
      <c r="AV19" s="290"/>
      <c r="AW19" s="290"/>
      <c r="AX19" s="290"/>
      <c r="AY19" s="290"/>
      <c r="AZ19" s="290"/>
      <c r="BA19" s="290"/>
      <c r="BB19" s="290"/>
      <c r="BC19" s="290"/>
      <c r="BD19" s="290"/>
      <c r="BE19" s="290"/>
      <c r="BF19" s="290"/>
      <c r="BG19" s="290"/>
      <c r="BH19" s="290"/>
      <c r="BI19" s="290"/>
      <c r="BJ19" s="290"/>
      <c r="BK19" s="290"/>
      <c r="BL19" s="290"/>
      <c r="BM19" s="87"/>
      <c r="BN19" s="87"/>
      <c r="BO19" s="87"/>
      <c r="BP19" s="87"/>
      <c r="BQ19" s="87"/>
      <c r="BR19" s="87"/>
      <c r="BS19" s="87"/>
      <c r="BT19" s="87"/>
      <c r="BU19" s="82"/>
      <c r="BV19" s="82"/>
      <c r="BW19" s="82"/>
      <c r="BX19" s="82"/>
      <c r="BY19" s="82"/>
      <c r="BZ19" s="82"/>
      <c r="CA19" s="82"/>
      <c r="CB19" s="82"/>
      <c r="CC19" s="82"/>
      <c r="CD19" s="326"/>
      <c r="CE19" s="326"/>
      <c r="CF19" s="124"/>
      <c r="CG19" s="29"/>
    </row>
    <row r="20" spans="60:72"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</row>
    <row r="21" spans="17:17">
      <c r="Q21" s="7" t="s">
        <v>1711</v>
      </c>
    </row>
  </sheetData>
  <mergeCells count="359">
    <mergeCell ref="C2:H2"/>
    <mergeCell ref="I2:AR2"/>
    <mergeCell ref="AU2:CF2"/>
    <mergeCell ref="AU3:BO3"/>
    <mergeCell ref="BP3:CF3"/>
    <mergeCell ref="AU4:AY4"/>
    <mergeCell ref="AZ4:BC4"/>
    <mergeCell ref="BD4:BG4"/>
    <mergeCell ref="BH4:BL4"/>
    <mergeCell ref="BM4:BO4"/>
    <mergeCell ref="BP4:BS4"/>
    <mergeCell ref="BT4:BV4"/>
    <mergeCell ref="BW4:CA4"/>
    <mergeCell ref="CB4:CD4"/>
    <mergeCell ref="CE4:CF4"/>
    <mergeCell ref="C5:D5"/>
    <mergeCell ref="E5:H5"/>
    <mergeCell ref="I5:K5"/>
    <mergeCell ref="L5:N5"/>
    <mergeCell ref="O5:P5"/>
    <mergeCell ref="Q5:R5"/>
    <mergeCell ref="S5:T5"/>
    <mergeCell ref="U5:W5"/>
    <mergeCell ref="X5:Y5"/>
    <mergeCell ref="Z5:AB5"/>
    <mergeCell ref="AC5:AF5"/>
    <mergeCell ref="AG5:AI5"/>
    <mergeCell ref="AJ5:AN5"/>
    <mergeCell ref="AO5:AR5"/>
    <mergeCell ref="AU5:AY5"/>
    <mergeCell ref="AZ5:BC5"/>
    <mergeCell ref="BD5:BG5"/>
    <mergeCell ref="BH5:BL5"/>
    <mergeCell ref="BM5:BO5"/>
    <mergeCell ref="BP5:BS5"/>
    <mergeCell ref="BT5:BV5"/>
    <mergeCell ref="BW5:CA5"/>
    <mergeCell ref="CB5:CD5"/>
    <mergeCell ref="CE5:CF5"/>
    <mergeCell ref="C6:D6"/>
    <mergeCell ref="E6:H6"/>
    <mergeCell ref="I6:K6"/>
    <mergeCell ref="L6:N6"/>
    <mergeCell ref="O6:P6"/>
    <mergeCell ref="Q6:R6"/>
    <mergeCell ref="S6:T6"/>
    <mergeCell ref="U6:W6"/>
    <mergeCell ref="X6:Y6"/>
    <mergeCell ref="Z6:AB6"/>
    <mergeCell ref="AC6:AF6"/>
    <mergeCell ref="AG6:AI6"/>
    <mergeCell ref="AJ6:AN6"/>
    <mergeCell ref="AO6:AR6"/>
    <mergeCell ref="AU6:AY6"/>
    <mergeCell ref="AZ6:BC6"/>
    <mergeCell ref="BD6:BG6"/>
    <mergeCell ref="BH6:BL6"/>
    <mergeCell ref="BM6:BO6"/>
    <mergeCell ref="BP6:BS6"/>
    <mergeCell ref="BT6:BV6"/>
    <mergeCell ref="BW6:CA6"/>
    <mergeCell ref="CB6:CD6"/>
    <mergeCell ref="CE6:CF6"/>
    <mergeCell ref="C7:D7"/>
    <mergeCell ref="E7:H7"/>
    <mergeCell ref="I7:K7"/>
    <mergeCell ref="L7:N7"/>
    <mergeCell ref="O7:P7"/>
    <mergeCell ref="Q7:R7"/>
    <mergeCell ref="S7:T7"/>
    <mergeCell ref="U7:W7"/>
    <mergeCell ref="X7:Y7"/>
    <mergeCell ref="Z7:AB7"/>
    <mergeCell ref="AC7:AF7"/>
    <mergeCell ref="AG7:AI7"/>
    <mergeCell ref="AJ7:AN7"/>
    <mergeCell ref="AO7:AR7"/>
    <mergeCell ref="AU7:AY7"/>
    <mergeCell ref="AZ7:BC7"/>
    <mergeCell ref="BD7:BG7"/>
    <mergeCell ref="BH7:BL7"/>
    <mergeCell ref="BM7:BO7"/>
    <mergeCell ref="BP7:BS7"/>
    <mergeCell ref="BT7:BV7"/>
    <mergeCell ref="BW7:CA7"/>
    <mergeCell ref="CB7:CD7"/>
    <mergeCell ref="CE7:CF7"/>
    <mergeCell ref="C8:D8"/>
    <mergeCell ref="E8:H8"/>
    <mergeCell ref="I8:K8"/>
    <mergeCell ref="L8:N8"/>
    <mergeCell ref="O8:P8"/>
    <mergeCell ref="Q8:R8"/>
    <mergeCell ref="S8:T8"/>
    <mergeCell ref="U8:W8"/>
    <mergeCell ref="X8:Y8"/>
    <mergeCell ref="Z8:AB8"/>
    <mergeCell ref="AC8:AF8"/>
    <mergeCell ref="AG8:AI8"/>
    <mergeCell ref="AJ8:AN8"/>
    <mergeCell ref="AO8:AR8"/>
    <mergeCell ref="AU8:AY8"/>
    <mergeCell ref="AZ8:BC8"/>
    <mergeCell ref="BD8:BG8"/>
    <mergeCell ref="BH8:BL8"/>
    <mergeCell ref="BM8:BO8"/>
    <mergeCell ref="BP8:BS8"/>
    <mergeCell ref="BT8:BV8"/>
    <mergeCell ref="BW8:CA8"/>
    <mergeCell ref="CB8:CD8"/>
    <mergeCell ref="CE8:CF8"/>
    <mergeCell ref="C9:D9"/>
    <mergeCell ref="E9:H9"/>
    <mergeCell ref="I9:K9"/>
    <mergeCell ref="L9:N9"/>
    <mergeCell ref="O9:P9"/>
    <mergeCell ref="Q9:R9"/>
    <mergeCell ref="S9:T9"/>
    <mergeCell ref="U9:W9"/>
    <mergeCell ref="X9:Y9"/>
    <mergeCell ref="Z9:AB9"/>
    <mergeCell ref="AC9:AF9"/>
    <mergeCell ref="AG9:AI9"/>
    <mergeCell ref="AJ9:AN9"/>
    <mergeCell ref="AO9:AR9"/>
    <mergeCell ref="AU9:AY9"/>
    <mergeCell ref="AZ9:BC9"/>
    <mergeCell ref="BD9:BG9"/>
    <mergeCell ref="BH9:BL9"/>
    <mergeCell ref="BM9:BO9"/>
    <mergeCell ref="BP9:BS9"/>
    <mergeCell ref="BT9:BV9"/>
    <mergeCell ref="BW9:CA9"/>
    <mergeCell ref="CB9:CD9"/>
    <mergeCell ref="CE9:CF9"/>
    <mergeCell ref="C10:D10"/>
    <mergeCell ref="E10:H10"/>
    <mergeCell ref="I10:K10"/>
    <mergeCell ref="L10:N10"/>
    <mergeCell ref="O10:P10"/>
    <mergeCell ref="Q10:R10"/>
    <mergeCell ref="S10:T10"/>
    <mergeCell ref="U10:W10"/>
    <mergeCell ref="X10:Y10"/>
    <mergeCell ref="Z10:AB10"/>
    <mergeCell ref="AC10:AF10"/>
    <mergeCell ref="AG10:AI10"/>
    <mergeCell ref="AJ10:AN10"/>
    <mergeCell ref="AO10:AR10"/>
    <mergeCell ref="AU10:AY10"/>
    <mergeCell ref="AZ10:BC10"/>
    <mergeCell ref="BD10:BG10"/>
    <mergeCell ref="BH10:BL10"/>
    <mergeCell ref="BM10:BO10"/>
    <mergeCell ref="BP10:BS10"/>
    <mergeCell ref="BT10:BV10"/>
    <mergeCell ref="BW10:CA10"/>
    <mergeCell ref="CB10:CD10"/>
    <mergeCell ref="CE10:CF10"/>
    <mergeCell ref="C11:AR11"/>
    <mergeCell ref="AU11:BC11"/>
    <mergeCell ref="BD11:BL11"/>
    <mergeCell ref="C12:D12"/>
    <mergeCell ref="E12:H12"/>
    <mergeCell ref="I12:K12"/>
    <mergeCell ref="L12:N12"/>
    <mergeCell ref="O12:P12"/>
    <mergeCell ref="Q12:R12"/>
    <mergeCell ref="S12:T12"/>
    <mergeCell ref="U12:W12"/>
    <mergeCell ref="X12:Y12"/>
    <mergeCell ref="Z12:AB12"/>
    <mergeCell ref="AC12:AF12"/>
    <mergeCell ref="AG12:AI12"/>
    <mergeCell ref="AJ12:AN12"/>
    <mergeCell ref="AO12:AR12"/>
    <mergeCell ref="C13:D13"/>
    <mergeCell ref="E13:H13"/>
    <mergeCell ref="I13:K13"/>
    <mergeCell ref="L13:N13"/>
    <mergeCell ref="O13:P13"/>
    <mergeCell ref="Q13:R13"/>
    <mergeCell ref="S13:T13"/>
    <mergeCell ref="U13:W13"/>
    <mergeCell ref="X13:Y13"/>
    <mergeCell ref="Z13:AB13"/>
    <mergeCell ref="AC13:AF13"/>
    <mergeCell ref="AG13:AI13"/>
    <mergeCell ref="AJ13:AN13"/>
    <mergeCell ref="AO13:AR13"/>
    <mergeCell ref="BM13:BO13"/>
    <mergeCell ref="BP13:BT13"/>
    <mergeCell ref="BU13:BX13"/>
    <mergeCell ref="BY13:CC13"/>
    <mergeCell ref="C14:D14"/>
    <mergeCell ref="E14:H14"/>
    <mergeCell ref="I14:K14"/>
    <mergeCell ref="L14:N14"/>
    <mergeCell ref="O14:P14"/>
    <mergeCell ref="Q14:R14"/>
    <mergeCell ref="S14:T14"/>
    <mergeCell ref="U14:W14"/>
    <mergeCell ref="X14:Y14"/>
    <mergeCell ref="Z14:AB14"/>
    <mergeCell ref="AC14:AF14"/>
    <mergeCell ref="AG14:AI14"/>
    <mergeCell ref="AJ14:AN14"/>
    <mergeCell ref="AO14:AR14"/>
    <mergeCell ref="AU14:AY14"/>
    <mergeCell ref="AZ14:BC14"/>
    <mergeCell ref="BD14:BG14"/>
    <mergeCell ref="BH14:BL14"/>
    <mergeCell ref="BM14:BO14"/>
    <mergeCell ref="BP14:BT14"/>
    <mergeCell ref="BU14:BX14"/>
    <mergeCell ref="BY14:CC14"/>
    <mergeCell ref="CD14:CE14"/>
    <mergeCell ref="C15:D15"/>
    <mergeCell ref="E15:H15"/>
    <mergeCell ref="I15:K15"/>
    <mergeCell ref="L15:N15"/>
    <mergeCell ref="O15:P15"/>
    <mergeCell ref="Q15:R15"/>
    <mergeCell ref="S15:T15"/>
    <mergeCell ref="U15:W15"/>
    <mergeCell ref="X15:Y15"/>
    <mergeCell ref="Z15:AB15"/>
    <mergeCell ref="AC15:AF15"/>
    <mergeCell ref="AG15:AI15"/>
    <mergeCell ref="AJ15:AN15"/>
    <mergeCell ref="AO15:AR15"/>
    <mergeCell ref="AU15:AY15"/>
    <mergeCell ref="AZ15:BC15"/>
    <mergeCell ref="BD15:BG15"/>
    <mergeCell ref="BH15:BL15"/>
    <mergeCell ref="BM15:BO15"/>
    <mergeCell ref="BP15:BT15"/>
    <mergeCell ref="BU15:BX15"/>
    <mergeCell ref="BY15:CC15"/>
    <mergeCell ref="CD15:CE15"/>
    <mergeCell ref="C16:D16"/>
    <mergeCell ref="E16:H16"/>
    <mergeCell ref="I16:K16"/>
    <mergeCell ref="L16:N16"/>
    <mergeCell ref="O16:P16"/>
    <mergeCell ref="Q16:R16"/>
    <mergeCell ref="S16:T16"/>
    <mergeCell ref="U16:W16"/>
    <mergeCell ref="X16:Y16"/>
    <mergeCell ref="Z16:AB16"/>
    <mergeCell ref="AC16:AF16"/>
    <mergeCell ref="AG16:AI16"/>
    <mergeCell ref="AJ16:AN16"/>
    <mergeCell ref="AO16:AR16"/>
    <mergeCell ref="AU16:AY16"/>
    <mergeCell ref="AZ16:BC16"/>
    <mergeCell ref="BD16:BG16"/>
    <mergeCell ref="BH16:BL16"/>
    <mergeCell ref="BM16:BO16"/>
    <mergeCell ref="BP16:BT16"/>
    <mergeCell ref="BU16:BX16"/>
    <mergeCell ref="BY16:CC16"/>
    <mergeCell ref="CD16:CE16"/>
    <mergeCell ref="C17:D17"/>
    <mergeCell ref="E17:H17"/>
    <mergeCell ref="I17:K17"/>
    <mergeCell ref="L17:N17"/>
    <mergeCell ref="O17:P17"/>
    <mergeCell ref="Q17:R17"/>
    <mergeCell ref="S17:T17"/>
    <mergeCell ref="U17:W17"/>
    <mergeCell ref="X17:Y17"/>
    <mergeCell ref="Z17:AB17"/>
    <mergeCell ref="AC17:AF17"/>
    <mergeCell ref="AG17:AI17"/>
    <mergeCell ref="AJ17:AN17"/>
    <mergeCell ref="AO17:AR17"/>
    <mergeCell ref="AU17:AY17"/>
    <mergeCell ref="AZ17:BC17"/>
    <mergeCell ref="BD17:BG17"/>
    <mergeCell ref="BH17:BL17"/>
    <mergeCell ref="BM17:BO17"/>
    <mergeCell ref="BP17:BT17"/>
    <mergeCell ref="BU17:BX17"/>
    <mergeCell ref="BY17:CC17"/>
    <mergeCell ref="CD17:CE17"/>
    <mergeCell ref="C18:D18"/>
    <mergeCell ref="E18:H18"/>
    <mergeCell ref="I18:K18"/>
    <mergeCell ref="L18:N18"/>
    <mergeCell ref="O18:P18"/>
    <mergeCell ref="Q18:R18"/>
    <mergeCell ref="S18:T18"/>
    <mergeCell ref="U18:W18"/>
    <mergeCell ref="X18:Y18"/>
    <mergeCell ref="Z18:AB18"/>
    <mergeCell ref="AC18:AF18"/>
    <mergeCell ref="AG18:AI18"/>
    <mergeCell ref="AJ18:AN18"/>
    <mergeCell ref="AO18:AR18"/>
    <mergeCell ref="AU18:AY18"/>
    <mergeCell ref="AZ18:BC18"/>
    <mergeCell ref="BD18:BG18"/>
    <mergeCell ref="BH18:BL18"/>
    <mergeCell ref="BM18:BO18"/>
    <mergeCell ref="BP18:BT18"/>
    <mergeCell ref="BU18:BX18"/>
    <mergeCell ref="BY18:CC18"/>
    <mergeCell ref="CD18:CE18"/>
    <mergeCell ref="C19:D19"/>
    <mergeCell ref="E19:H19"/>
    <mergeCell ref="I19:K19"/>
    <mergeCell ref="L19:N19"/>
    <mergeCell ref="O19:P19"/>
    <mergeCell ref="Q19:R19"/>
    <mergeCell ref="S19:T19"/>
    <mergeCell ref="U19:W19"/>
    <mergeCell ref="X19:Y19"/>
    <mergeCell ref="Z19:AB19"/>
    <mergeCell ref="AC19:AF19"/>
    <mergeCell ref="AG19:AI19"/>
    <mergeCell ref="AJ19:AN19"/>
    <mergeCell ref="AO19:AR19"/>
    <mergeCell ref="AU19:AY19"/>
    <mergeCell ref="AZ19:BC19"/>
    <mergeCell ref="BD19:BG19"/>
    <mergeCell ref="BH19:BL19"/>
    <mergeCell ref="BM19:BO19"/>
    <mergeCell ref="BP19:BT19"/>
    <mergeCell ref="BU19:BX19"/>
    <mergeCell ref="BY19:CC19"/>
    <mergeCell ref="CD19:CE19"/>
    <mergeCell ref="B2:B4"/>
    <mergeCell ref="B11:B13"/>
    <mergeCell ref="CF11:CF13"/>
    <mergeCell ref="CG2:CG4"/>
    <mergeCell ref="CG11:CG13"/>
    <mergeCell ref="CD11:CE13"/>
    <mergeCell ref="C3:D4"/>
    <mergeCell ref="O3:P4"/>
    <mergeCell ref="Q3:R4"/>
    <mergeCell ref="S3:T4"/>
    <mergeCell ref="E3:H4"/>
    <mergeCell ref="AC3:AF4"/>
    <mergeCell ref="AO3:AR4"/>
    <mergeCell ref="I3:K4"/>
    <mergeCell ref="L3:N4"/>
    <mergeCell ref="U3:W4"/>
    <mergeCell ref="AG3:AI4"/>
    <mergeCell ref="Z3:AB4"/>
    <mergeCell ref="X3:Y4"/>
    <mergeCell ref="AJ3:AN4"/>
    <mergeCell ref="AU12:AY13"/>
    <mergeCell ref="AZ12:BC13"/>
    <mergeCell ref="BD12:BG13"/>
    <mergeCell ref="BU11:CC12"/>
    <mergeCell ref="BH12:BL13"/>
    <mergeCell ref="BM11:BO12"/>
    <mergeCell ref="BP11:BT12"/>
  </mergeCells>
  <printOptions horizontalCentered="1" verticalCentered="1"/>
  <pageMargins left="0" right="1.14173228346457" top="0.236220472440945" bottom="0.31496062992126" header="0" footer="0"/>
  <pageSetup paperSize="161" scale="8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R21"/>
  <sheetViews>
    <sheetView workbookViewId="0">
      <selection activeCell="CP16" sqref="CP16"/>
    </sheetView>
  </sheetViews>
  <sheetFormatPr defaultColWidth="9" defaultRowHeight="9.6"/>
  <cols>
    <col min="1" max="1" width="2.37962962962963" style="7" customWidth="1"/>
    <col min="2" max="2" width="6.37962962962963" style="7" customWidth="1"/>
    <col min="3" max="3" width="4" style="7" customWidth="1"/>
    <col min="4" max="4" width="1.75" style="7" customWidth="1"/>
    <col min="5" max="5" width="2" style="7" customWidth="1"/>
    <col min="6" max="6" width="2.62962962962963" style="7" customWidth="1"/>
    <col min="7" max="7" width="3.12962962962963" style="7" customWidth="1"/>
    <col min="8" max="8" width="1.5" style="7" customWidth="1"/>
    <col min="9" max="9" width="1.62962962962963" style="7" customWidth="1"/>
    <col min="10" max="10" width="0.37962962962963" style="7" customWidth="1"/>
    <col min="11" max="11" width="1.87962962962963" style="7" customWidth="1"/>
    <col min="12" max="12" width="0.62962962962963" style="7" customWidth="1"/>
    <col min="13" max="13" width="2" style="7" customWidth="1"/>
    <col min="14" max="14" width="1.75" style="7" customWidth="1"/>
    <col min="15" max="15" width="0.87962962962963" style="7" customWidth="1"/>
    <col min="16" max="16" width="1.87962962962963" style="7" customWidth="1"/>
    <col min="17" max="17" width="1.25" style="7" customWidth="1"/>
    <col min="18" max="18" width="1.5" style="7" customWidth="1"/>
    <col min="19" max="19" width="2.62962962962963" style="7" customWidth="1"/>
    <col min="20" max="20" width="2" style="7" customWidth="1"/>
    <col min="21" max="21" width="2.87962962962963" style="7" customWidth="1"/>
    <col min="22" max="22" width="1.87962962962963" style="7" customWidth="1"/>
    <col min="23" max="23" width="2.87962962962963" style="7" customWidth="1"/>
    <col min="24" max="24" width="1.75" style="7" customWidth="1"/>
    <col min="25" max="25" width="2.37962962962963" style="7" customWidth="1"/>
    <col min="26" max="26" width="1.25" style="7" customWidth="1"/>
    <col min="27" max="27" width="1.12962962962963" style="7" customWidth="1"/>
    <col min="28" max="28" width="3" style="7" customWidth="1"/>
    <col min="29" max="29" width="1.75" style="7" customWidth="1"/>
    <col min="30" max="30" width="1.62962962962963" style="7" customWidth="1"/>
    <col min="31" max="31" width="1.87962962962963" style="7" customWidth="1"/>
    <col min="32" max="32" width="1.25" style="7" customWidth="1"/>
    <col min="33" max="33" width="1.12962962962963" style="7" customWidth="1"/>
    <col min="34" max="34" width="1.25" style="7" customWidth="1"/>
    <col min="35" max="35" width="1.5" style="7" customWidth="1"/>
    <col min="36" max="36" width="0.75" style="7" customWidth="1"/>
    <col min="37" max="37" width="2.12962962962963" style="7" customWidth="1"/>
    <col min="38" max="39" width="2.5" style="7" customWidth="1"/>
    <col min="40" max="40" width="1.87962962962963" style="7" customWidth="1"/>
    <col min="41" max="41" width="0.5" style="7" customWidth="1"/>
    <col min="42" max="42" width="2.5" style="7" customWidth="1"/>
    <col min="43" max="43" width="2.75" style="7" customWidth="1"/>
    <col min="44" max="44" width="1" style="7" customWidth="1"/>
    <col min="45" max="45" width="0.75" style="7" customWidth="1"/>
    <col min="46" max="46" width="2.5" style="7" customWidth="1"/>
    <col min="47" max="47" width="0.37962962962963" style="7" customWidth="1"/>
    <col min="48" max="48" width="0.75" style="7" customWidth="1"/>
    <col min="49" max="49" width="1.87962962962963" style="7" customWidth="1"/>
    <col min="50" max="50" width="0.62962962962963" style="7" customWidth="1"/>
    <col min="51" max="51" width="0.12962962962963" style="7" hidden="1" customWidth="1"/>
    <col min="52" max="52" width="2.87962962962963" style="7" customWidth="1"/>
    <col min="53" max="53" width="1.62962962962963" style="7" customWidth="1"/>
    <col min="54" max="54" width="0.62962962962963" style="7" customWidth="1"/>
    <col min="55" max="56" width="1.62962962962963" style="7" customWidth="1"/>
    <col min="57" max="57" width="0.87962962962963" style="7" customWidth="1"/>
    <col min="58" max="58" width="0.62962962962963" style="7" customWidth="1"/>
    <col min="59" max="59" width="0.37962962962963" style="7" customWidth="1"/>
    <col min="60" max="60" width="2.62962962962963" style="7" customWidth="1"/>
    <col min="61" max="61" width="1.12962962962963" style="7" customWidth="1"/>
    <col min="62" max="62" width="1.37962962962963" style="7" customWidth="1"/>
    <col min="63" max="63" width="2.5" style="7" customWidth="1"/>
    <col min="64" max="64" width="3" style="7" customWidth="1"/>
    <col min="65" max="66" width="0.87962962962963" style="7" customWidth="1"/>
    <col min="67" max="67" width="2.5" style="7" customWidth="1"/>
    <col min="68" max="68" width="0.62962962962963" style="7" customWidth="1"/>
    <col min="69" max="69" width="0.5" style="7" customWidth="1"/>
    <col min="70" max="70" width="1.5" style="7" customWidth="1"/>
    <col min="71" max="71" width="1" style="7" customWidth="1"/>
    <col min="72" max="72" width="1.37962962962963" style="7" customWidth="1"/>
    <col min="73" max="73" width="1.25" style="7" customWidth="1"/>
    <col min="74" max="74" width="0.87962962962963" style="7" customWidth="1"/>
    <col min="75" max="75" width="0.75" style="7" customWidth="1"/>
    <col min="76" max="76" width="0.87962962962963" style="7" customWidth="1"/>
    <col min="77" max="77" width="2.75" style="7" customWidth="1"/>
    <col min="78" max="78" width="1.25" style="7" customWidth="1"/>
    <col min="79" max="79" width="1" style="7" customWidth="1"/>
    <col min="80" max="80" width="2.37962962962963" style="7" customWidth="1"/>
    <col min="81" max="81" width="2.75" style="7" customWidth="1"/>
    <col min="82" max="82" width="1.5" style="7" customWidth="1"/>
    <col min="83" max="83" width="4.37962962962963" style="7" customWidth="1"/>
    <col min="84" max="84" width="1.87962962962963" style="7" customWidth="1"/>
    <col min="85" max="85" width="4.12962962962963" style="7" customWidth="1"/>
    <col min="86" max="87" width="2.12962962962963" style="7" customWidth="1"/>
    <col min="88" max="88" width="0.75" style="7" customWidth="1"/>
    <col min="89" max="89" width="1.75" style="7" customWidth="1"/>
    <col min="90" max="90" width="6.62962962962963" style="7" customWidth="1"/>
    <col min="91" max="91" width="5.25" style="7" customWidth="1"/>
    <col min="92" max="92" width="6" style="7" customWidth="1"/>
    <col min="93" max="16384" width="9" style="7"/>
  </cols>
  <sheetData>
    <row r="2" s="1" customFormat="1" ht="14.1" customHeight="1" spans="2:90">
      <c r="B2" s="8" t="s">
        <v>1649</v>
      </c>
      <c r="C2" s="8" t="s">
        <v>1650</v>
      </c>
      <c r="D2" s="8"/>
      <c r="E2" s="8"/>
      <c r="F2" s="8"/>
      <c r="G2" s="130" t="s">
        <v>1951</v>
      </c>
      <c r="H2" s="131"/>
      <c r="I2" s="131"/>
      <c r="J2" s="131"/>
      <c r="K2" s="131"/>
      <c r="L2" s="142"/>
      <c r="M2" s="8" t="s">
        <v>1952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Q2" s="2"/>
      <c r="AR2" s="8" t="s">
        <v>1952</v>
      </c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61" t="s">
        <v>1953</v>
      </c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8" t="s">
        <v>1954</v>
      </c>
      <c r="BX2" s="8"/>
      <c r="BY2" s="8"/>
      <c r="BZ2" s="8"/>
      <c r="CA2" s="8" t="s">
        <v>1955</v>
      </c>
      <c r="CB2" s="8"/>
      <c r="CC2" s="8"/>
      <c r="CD2" s="55" t="s">
        <v>1956</v>
      </c>
      <c r="CE2" s="56"/>
      <c r="CF2" s="56"/>
      <c r="CG2" s="56"/>
      <c r="CH2" s="57"/>
      <c r="CI2" s="87" t="s">
        <v>1957</v>
      </c>
      <c r="CJ2" s="61"/>
      <c r="CK2" s="61"/>
      <c r="CL2" s="8" t="s">
        <v>1649</v>
      </c>
    </row>
    <row r="3" s="1" customFormat="1" ht="27.95" customHeight="1" spans="2:90">
      <c r="B3" s="8"/>
      <c r="C3" s="8"/>
      <c r="D3" s="8"/>
      <c r="E3" s="8"/>
      <c r="F3" s="8"/>
      <c r="G3" s="132" t="s">
        <v>1958</v>
      </c>
      <c r="H3" s="133"/>
      <c r="I3" s="133"/>
      <c r="J3" s="133"/>
      <c r="K3" s="133"/>
      <c r="L3" s="143"/>
      <c r="M3" s="42" t="s">
        <v>1917</v>
      </c>
      <c r="N3" s="42"/>
      <c r="O3" s="42"/>
      <c r="P3" s="42" t="s">
        <v>1919</v>
      </c>
      <c r="Q3" s="42"/>
      <c r="R3" s="42"/>
      <c r="S3" s="42" t="s">
        <v>1921</v>
      </c>
      <c r="T3" s="42"/>
      <c r="U3" s="51" t="s">
        <v>1923</v>
      </c>
      <c r="V3" s="51"/>
      <c r="W3" s="42" t="s">
        <v>1959</v>
      </c>
      <c r="X3" s="42"/>
      <c r="Y3" s="42" t="s">
        <v>1960</v>
      </c>
      <c r="Z3" s="42"/>
      <c r="AA3" s="42"/>
      <c r="AB3" s="42" t="s">
        <v>1961</v>
      </c>
      <c r="AC3" s="42"/>
      <c r="AD3" s="42" t="s">
        <v>1962</v>
      </c>
      <c r="AE3" s="42"/>
      <c r="AF3" s="42"/>
      <c r="AG3" s="42" t="s">
        <v>1963</v>
      </c>
      <c r="AH3" s="42"/>
      <c r="AI3" s="42"/>
      <c r="AJ3" s="42"/>
      <c r="AK3" s="150" t="s">
        <v>1964</v>
      </c>
      <c r="AL3" s="151"/>
      <c r="AM3" s="42" t="s">
        <v>1965</v>
      </c>
      <c r="AN3" s="42"/>
      <c r="AO3" s="42"/>
      <c r="AP3" s="62"/>
      <c r="AQ3" s="62"/>
      <c r="AR3" s="42" t="s">
        <v>1966</v>
      </c>
      <c r="AS3" s="42"/>
      <c r="AT3" s="42"/>
      <c r="AU3" s="42"/>
      <c r="AV3" s="42"/>
      <c r="AW3" s="42" t="s">
        <v>1967</v>
      </c>
      <c r="AX3" s="42"/>
      <c r="AY3" s="42"/>
      <c r="AZ3" s="42"/>
      <c r="BA3" s="42" t="s">
        <v>1968</v>
      </c>
      <c r="BB3" s="42"/>
      <c r="BC3" s="42"/>
      <c r="BD3" s="42"/>
      <c r="BE3" s="178" t="s">
        <v>1870</v>
      </c>
      <c r="BF3" s="178"/>
      <c r="BG3" s="178"/>
      <c r="BH3" s="178"/>
      <c r="BI3" s="178" t="s">
        <v>1791</v>
      </c>
      <c r="BJ3" s="178"/>
      <c r="BK3" s="178"/>
      <c r="BL3" s="178" t="s">
        <v>1792</v>
      </c>
      <c r="BM3" s="178"/>
      <c r="BN3" s="178"/>
      <c r="BO3" s="178" t="s">
        <v>1793</v>
      </c>
      <c r="BP3" s="178"/>
      <c r="BQ3" s="178"/>
      <c r="BR3" s="178"/>
      <c r="BS3" s="61" t="s">
        <v>1794</v>
      </c>
      <c r="BT3" s="61"/>
      <c r="BU3" s="61"/>
      <c r="BV3" s="61"/>
      <c r="BW3" s="87" t="s">
        <v>1969</v>
      </c>
      <c r="BX3" s="61"/>
      <c r="BY3" s="61"/>
      <c r="BZ3" s="61"/>
      <c r="CA3" s="87" t="s">
        <v>1970</v>
      </c>
      <c r="CB3" s="61"/>
      <c r="CC3" s="61"/>
      <c r="CD3" s="61" t="s">
        <v>1971</v>
      </c>
      <c r="CE3" s="61"/>
      <c r="CF3" s="55" t="s">
        <v>1972</v>
      </c>
      <c r="CG3" s="56"/>
      <c r="CH3" s="57"/>
      <c r="CI3" s="61"/>
      <c r="CJ3" s="61"/>
      <c r="CK3" s="61"/>
      <c r="CL3" s="8"/>
    </row>
    <row r="4" s="3" customFormat="1" ht="15" customHeight="1" spans="2:96">
      <c r="B4" s="18" t="s">
        <v>1889</v>
      </c>
      <c r="C4" s="18" t="str">
        <f>IF(VLOOKUP($B4,'[2]IR GLASS '!$B$3:$FW$196,2,FALSE)="","",VLOOKUP($B4,'[2]IR GLASS '!$B$3:$FW$196,2,FALSE))</f>
        <v>Ge33Se55As12</v>
      </c>
      <c r="D4" s="18"/>
      <c r="E4" s="18"/>
      <c r="F4" s="18"/>
      <c r="G4" s="19">
        <f>IF(VLOOKUP($B4,'IR GLASS '!$B$3:$FW$192,5,FALSE)="","",VLOOKUP($B4,'IR GLASS '!$B$3:$FW$192,5,FALSE))</f>
        <v>95.77</v>
      </c>
      <c r="H4" s="20"/>
      <c r="I4" s="20"/>
      <c r="J4" s="20"/>
      <c r="K4" s="20"/>
      <c r="L4" s="21"/>
      <c r="M4" s="43">
        <f>IF(VLOOKUP($B4,'IR GLASS '!$B$3:$FW$192,17,FALSE)="","",VLOOKUP($B4,'IR GLASS '!$B$3:$FW$192,17,FALSE))</f>
        <v>2.5293</v>
      </c>
      <c r="N4" s="43"/>
      <c r="O4" s="43"/>
      <c r="P4" s="43">
        <f>IF(VLOOKUP($B4,'IR GLASS '!$B$3:$FW$192,19,FALSE)="","",VLOOKUP($B4,'IR GLASS '!$B$3:$FW$192,19,FALSE))</f>
        <v>2.5175</v>
      </c>
      <c r="Q4" s="43"/>
      <c r="R4" s="43"/>
      <c r="S4" s="43">
        <f>IF(VLOOKUP($B4,'IR GLASS '!$B$3:$FW$192,21,FALSE)="","",VLOOKUP($B4,'IR GLASS '!$B$3:$FW$192,21,FALSE))</f>
        <v>2.5127</v>
      </c>
      <c r="T4" s="43"/>
      <c r="U4" s="43">
        <f>IF(VLOOKUP($B4,'IR GLASS '!$B$3:$FW$192,23,FALSE)="","",VLOOKUP($B4,'IR GLASS '!$B$3:$FW$192,23,FALSE))</f>
        <v>2.5097</v>
      </c>
      <c r="V4" s="43"/>
      <c r="W4" s="43">
        <f>IF(VLOOKUP($B4,'IR GLASS '!$B$3:$FW$192,25,FALSE)="","",VLOOKUP($B4,'IR GLASS '!$B$3:$FW$192,25,FALSE))</f>
        <v>2.5072</v>
      </c>
      <c r="X4" s="43"/>
      <c r="Y4" s="43">
        <f>IF(VLOOKUP($B4,'IR GLASS '!$B$3:$FW$192,27,FALSE)="","",VLOOKUP($B4,'IR GLASS '!$B$3:$FW$192,27,FALSE))</f>
        <v>2.5047</v>
      </c>
      <c r="Z4" s="43"/>
      <c r="AA4" s="43"/>
      <c r="AB4" s="43">
        <f>IF(VLOOKUP($B4,'IR GLASS '!$B$3:$FW$192,28,FALSE)="","",VLOOKUP($B4,'IR GLASS '!$B$3:$FW$192,28,FALSE))</f>
        <v>2.5021</v>
      </c>
      <c r="AC4" s="43"/>
      <c r="AD4" s="43">
        <f>IF(VLOOKUP($B4,'IR GLASS '!$B$3:$FW$192,29,FALSE)="","",VLOOKUP($B4,'IR GLASS '!$B$3:$FW$192,29,FALSE))</f>
        <v>2.4993</v>
      </c>
      <c r="AE4" s="43"/>
      <c r="AF4" s="43"/>
      <c r="AG4" s="43">
        <f>IF(VLOOKUP($B4,'IR GLASS '!$B$3:$FW$192,30,FALSE)="","",VLOOKUP($B4,'IR GLASS '!$B$3:$FW$192,30,FALSE))</f>
        <v>2.4961</v>
      </c>
      <c r="AH4" s="43"/>
      <c r="AI4" s="43"/>
      <c r="AJ4" s="43"/>
      <c r="AK4" s="152">
        <f>IF(VLOOKUP($B4,'IR GLASS '!$B$3:$FW$192,31,FALSE)="","",VLOOKUP($B4,'IR GLASS '!$B$3:$FW$192,31,FALSE))</f>
        <v>2.494</v>
      </c>
      <c r="AL4" s="153"/>
      <c r="AM4" s="43">
        <f>IF(VLOOKUP($B4,'IR GLASS '!$B$3:$FW$192,32,FALSE)="","",VLOOKUP($B4,'IR GLASS '!$B$3:$FW$192,32,FALSE))</f>
        <v>2.4926</v>
      </c>
      <c r="AN4" s="43"/>
      <c r="AO4" s="43"/>
      <c r="AP4" s="65"/>
      <c r="AQ4" s="66"/>
      <c r="AR4" s="43">
        <f>IF(VLOOKUP($B4,'IR GLASS '!$B$3:$FW$192,33,FALSE)="","",VLOOKUP($B4,'IR GLASS '!$B$3:$FW$192,33,FALSE))</f>
        <v>2.4886</v>
      </c>
      <c r="AS4" s="43"/>
      <c r="AT4" s="43"/>
      <c r="AU4" s="43"/>
      <c r="AV4" s="43"/>
      <c r="AW4" s="43">
        <f>IF(VLOOKUP($B4,'IR GLASS '!$B$3:$FW$192,35,FALSE)="","",VLOOKUP($B4,'IR GLASS '!$B$3:$FW$192,35,FALSE))</f>
        <v>2.4843</v>
      </c>
      <c r="AX4" s="43"/>
      <c r="AY4" s="43"/>
      <c r="AZ4" s="43"/>
      <c r="BA4" s="43">
        <f>IF(VLOOKUP($B4,'IR GLASS '!$B$3:$FW$192,36,FALSE)="","",VLOOKUP($B4,'IR GLASS '!$B$3:$FW$192,36,FALSE))</f>
        <v>2.4794</v>
      </c>
      <c r="BB4" s="43"/>
      <c r="BC4" s="43"/>
      <c r="BD4" s="43"/>
      <c r="BE4" s="179">
        <f>IF(VLOOKUP($B4,'IR GLASS '!$B$3:$FW$192,69,FALSE)="","",VLOOKUP($B4,'IR GLASS '!$B$3:$FW$192,69,FALSE))</f>
        <v>67</v>
      </c>
      <c r="BF4" s="179"/>
      <c r="BG4" s="179"/>
      <c r="BH4" s="179"/>
      <c r="BI4" s="179">
        <f>IF(VLOOKUP($B4,'IR GLASS '!$B$3:$FW$192,71,FALSE)="","",VLOOKUP($B4,'IR GLASS '!$B$3:$FW$192,71,FALSE))</f>
        <v>65</v>
      </c>
      <c r="BJ4" s="179"/>
      <c r="BK4" s="179"/>
      <c r="BL4" s="179">
        <f>IF(VLOOKUP($B4,'IR GLASS '!$B$3:$FW$192,72,FALSE)="","",VLOOKUP($B4,'IR GLASS '!$B$3:$FW$192,72,FALSE))</f>
        <v>64</v>
      </c>
      <c r="BM4" s="179"/>
      <c r="BN4" s="179"/>
      <c r="BO4" s="179">
        <f>IF(VLOOKUP($B4,'IR GLASS '!$B$3:$FW$192,73,FALSE)="","",VLOOKUP($B4,'IR GLASS '!$B$3:$FW$192,73,FALSE))</f>
        <v>62</v>
      </c>
      <c r="BP4" s="179"/>
      <c r="BQ4" s="179"/>
      <c r="BR4" s="179"/>
      <c r="BS4" s="172">
        <f>IF(VLOOKUP($B4,'IR GLASS '!$B$3:$FW$192,74,FALSE)="","",VLOOKUP($B4,'IR GLASS '!$B$3:$FW$192,74,FALSE))</f>
        <v>62</v>
      </c>
      <c r="BT4" s="172"/>
      <c r="BU4" s="172"/>
      <c r="BV4" s="172"/>
      <c r="BW4" s="172">
        <f>IF(VLOOKUP($B4,'IR GLASS '!$B$3:$FW$192,90,FALSE)="","",VLOOKUP($B4,'IR GLASS '!$B$3:$FW$192,90,FALSE))</f>
        <v>369</v>
      </c>
      <c r="BX4" s="172"/>
      <c r="BY4" s="172"/>
      <c r="BZ4" s="172"/>
      <c r="CA4" s="172">
        <f>IF(VLOOKUP($B4,'IR GLASS '!$B$3:$FW$192,91,FALSE)="","",VLOOKUP($B4,'IR GLASS '!$B$3:$FW$192,91,FALSE))</f>
        <v>409</v>
      </c>
      <c r="CB4" s="172"/>
      <c r="CC4" s="172"/>
      <c r="CD4" s="172">
        <f>IF(VLOOKUP($B4,'IR GLASS '!$B$3:$FW$192,94,FALSE)="","",VLOOKUP($B4,'IR GLASS '!$B$3:$FW$192,94,FALSE))</f>
        <v>123</v>
      </c>
      <c r="CE4" s="172"/>
      <c r="CF4" s="203">
        <f>IF(VLOOKUP($B4,'IR GLASS '!$B$3:$FW$192,95,FALSE)="","",VLOOKUP($B4,'IR GLASS '!$B$3:$FW$192,95,FALSE))</f>
        <v>123</v>
      </c>
      <c r="CG4" s="204"/>
      <c r="CH4" s="205"/>
      <c r="CI4" s="58" t="str">
        <f>IF(VLOOKUP($B4,'IR GLASS '!$B$3:$FW$192,119,FALSE)="","",VLOOKUP($B4,'IR GLASS '!$B$3:$FW$192,119,FALSE))</f>
        <v/>
      </c>
      <c r="CJ4" s="58"/>
      <c r="CK4" s="58"/>
      <c r="CL4" s="18" t="str">
        <f t="shared" ref="CL4:CL9" si="0">B4</f>
        <v>IRG201</v>
      </c>
      <c r="CM4" s="1"/>
      <c r="CN4" s="1"/>
      <c r="CO4" s="1"/>
      <c r="CP4" s="1"/>
      <c r="CQ4" s="1"/>
      <c r="CR4" s="1"/>
    </row>
    <row r="5" s="3" customFormat="1" ht="15" customHeight="1" spans="2:96">
      <c r="B5" s="22" t="s">
        <v>1892</v>
      </c>
      <c r="C5" s="22" t="str">
        <f>IF(VLOOKUP($B5,'[2]IR GLASS '!$B$3:$FW$196,2,FALSE)="","",VLOOKUP($B5,'[2]IR GLASS '!$B$3:$FW$196,2,FALSE))</f>
        <v>Ge22Se58As20</v>
      </c>
      <c r="D5" s="22"/>
      <c r="E5" s="22"/>
      <c r="F5" s="22"/>
      <c r="G5" s="26">
        <f>IF(VLOOKUP($B5,'IR GLASS '!$B$3:$FW$192,5,FALSE)="","",VLOOKUP($B5,'IR GLASS '!$B$3:$FW$192,5,FALSE))</f>
        <v>102.93</v>
      </c>
      <c r="H5" s="27"/>
      <c r="I5" s="27"/>
      <c r="J5" s="27"/>
      <c r="K5" s="27"/>
      <c r="L5" s="28"/>
      <c r="M5" s="44">
        <f>IF(VLOOKUP($B5,'IR GLASS '!$B$3:$FW$192,17,FALSE)="","",VLOOKUP($B5,'IR GLASS '!$B$3:$FW$192,17,FALSE))</f>
        <v>2.5265</v>
      </c>
      <c r="N5" s="44"/>
      <c r="O5" s="44"/>
      <c r="P5" s="44">
        <f>IF(VLOOKUP($B5,'IR GLASS '!$B$3:$FW$192,19,FALSE)="","",VLOOKUP($B5,'IR GLASS '!$B$3:$FW$192,19,FALSE))</f>
        <v>2.5148</v>
      </c>
      <c r="Q5" s="44"/>
      <c r="R5" s="44"/>
      <c r="S5" s="44">
        <f>IF(VLOOKUP($B5,'IR GLASS '!$B$3:$FW$192,21,FALSE)="","",VLOOKUP($B5,'IR GLASS '!$B$3:$FW$192,21,FALSE))</f>
        <v>2.5101</v>
      </c>
      <c r="T5" s="44"/>
      <c r="U5" s="44">
        <f>IF(VLOOKUP($B5,'IR GLASS '!$B$3:$FW$192,23,FALSE)="","",VLOOKUP($B5,'IR GLASS '!$B$3:$FW$192,23,FALSE))</f>
        <v>2.5072</v>
      </c>
      <c r="V5" s="44"/>
      <c r="W5" s="44">
        <f>IF(VLOOKUP($B5,'IR GLASS '!$B$3:$FW$192,25,FALSE)="","",VLOOKUP($B5,'IR GLASS '!$B$3:$FW$192,25,FALSE))</f>
        <v>2.5047</v>
      </c>
      <c r="X5" s="44"/>
      <c r="Y5" s="44">
        <f>IF(VLOOKUP($B5,'IR GLASS '!$B$3:$FW$192,27,FALSE)="","",VLOOKUP($B5,'IR GLASS '!$B$3:$FW$192,27,FALSE))</f>
        <v>2.5024</v>
      </c>
      <c r="Z5" s="44"/>
      <c r="AA5" s="44"/>
      <c r="AB5" s="44">
        <f>IF(VLOOKUP($B5,'IR GLASS '!$B$3:$FW$192,28,FALSE)="","",VLOOKUP($B5,'IR GLASS '!$B$3:$FW$192,28,FALSE))</f>
        <v>2.5</v>
      </c>
      <c r="AC5" s="44"/>
      <c r="AD5" s="44">
        <f>IF(VLOOKUP($B5,'IR GLASS '!$B$3:$FW$192,29,FALSE)="","",VLOOKUP($B5,'IR GLASS '!$B$3:$FW$192,29,FALSE))</f>
        <v>2.4974</v>
      </c>
      <c r="AE5" s="44"/>
      <c r="AF5" s="44"/>
      <c r="AG5" s="44">
        <f>IF(VLOOKUP($B5,'IR GLASS '!$B$3:$FW$192,30,FALSE)="","",VLOOKUP($B5,'IR GLASS '!$B$3:$FW$192,30,FALSE))</f>
        <v>2.4944</v>
      </c>
      <c r="AH5" s="44"/>
      <c r="AI5" s="44"/>
      <c r="AJ5" s="44"/>
      <c r="AK5" s="154">
        <f>IF(VLOOKUP($B5,'IR GLASS '!$B$3:$FW$192,31,FALSE)="","",VLOOKUP($B5,'IR GLASS '!$B$3:$FW$192,31,FALSE))</f>
        <v>2.4925</v>
      </c>
      <c r="AL5" s="155"/>
      <c r="AM5" s="44">
        <f>IF(VLOOKUP($B5,'IR GLASS '!$B$3:$FW$192,32,FALSE)="","",VLOOKUP($B5,'IR GLASS '!$B$3:$FW$192,32,FALSE))</f>
        <v>2.4911</v>
      </c>
      <c r="AN5" s="44"/>
      <c r="AO5" s="44"/>
      <c r="AP5" s="65"/>
      <c r="AQ5" s="66"/>
      <c r="AR5" s="44">
        <f>IF(VLOOKUP($B5,'IR GLASS '!$B$3:$FW$192,33,FALSE)="","",VLOOKUP($B5,'IR GLASS '!$B$3:$FW$192,33,FALSE))</f>
        <v>2.4875</v>
      </c>
      <c r="AS5" s="44"/>
      <c r="AT5" s="44"/>
      <c r="AU5" s="44"/>
      <c r="AV5" s="44"/>
      <c r="AW5" s="44">
        <f>IF(VLOOKUP($B5,'IR GLASS '!$B$3:$FW$192,35,FALSE)="","",VLOOKUP($B5,'IR GLASS '!$B$3:$FW$192,35,FALSE))</f>
        <v>2.4835</v>
      </c>
      <c r="AX5" s="44"/>
      <c r="AY5" s="44"/>
      <c r="AZ5" s="44"/>
      <c r="BA5" s="44">
        <f>IF(VLOOKUP($B5,'IR GLASS '!$B$3:$FW$192,36,FALSE)="","",VLOOKUP($B5,'IR GLASS '!$B$3:$FW$192,36,FALSE))</f>
        <v>2.4787</v>
      </c>
      <c r="BB5" s="44"/>
      <c r="BC5" s="44"/>
      <c r="BD5" s="44"/>
      <c r="BE5" s="178">
        <f>IF(VLOOKUP($B5,'IR GLASS '!$B$3:$FW$192,69,FALSE)="","",VLOOKUP($B5,'IR GLASS '!$B$3:$FW$192,69,FALSE))</f>
        <v>41</v>
      </c>
      <c r="BF5" s="178"/>
      <c r="BG5" s="178"/>
      <c r="BH5" s="178"/>
      <c r="BI5" s="178">
        <f>IF(VLOOKUP($B5,'IR GLASS '!$B$3:$FW$192,71,FALSE)="","",VLOOKUP($B5,'IR GLASS '!$B$3:$FW$192,71,FALSE))</f>
        <v>40</v>
      </c>
      <c r="BJ5" s="178"/>
      <c r="BK5" s="178"/>
      <c r="BL5" s="178">
        <f>IF(VLOOKUP($B5,'IR GLASS '!$B$3:$FW$192,72,FALSE)="","",VLOOKUP($B5,'IR GLASS '!$B$3:$FW$192,72,FALSE))</f>
        <v>39</v>
      </c>
      <c r="BM5" s="178"/>
      <c r="BN5" s="178"/>
      <c r="BO5" s="178">
        <f>IF(VLOOKUP($B5,'IR GLASS '!$B$3:$FW$192,73,FALSE)="","",VLOOKUP($B5,'IR GLASS '!$B$3:$FW$192,73,FALSE))</f>
        <v>39</v>
      </c>
      <c r="BP5" s="178"/>
      <c r="BQ5" s="178"/>
      <c r="BR5" s="178"/>
      <c r="BS5" s="61">
        <f>IF(VLOOKUP($B5,'IR GLASS '!$B$3:$FW$192,74,FALSE)="","",VLOOKUP($B5,'IR GLASS '!$B$3:$FW$192,74,FALSE))</f>
        <v>37</v>
      </c>
      <c r="BT5" s="61"/>
      <c r="BU5" s="61"/>
      <c r="BV5" s="61"/>
      <c r="BW5" s="139">
        <f>IF(VLOOKUP($B5,'IR GLASS '!$B$3:$FW$192,90,FALSE)="","",VLOOKUP($B5,'IR GLASS '!$B$3:$FW$192,90,FALSE))</f>
        <v>292</v>
      </c>
      <c r="BX5" s="139"/>
      <c r="BY5" s="139"/>
      <c r="BZ5" s="139"/>
      <c r="CA5" s="139">
        <f>IF(VLOOKUP($B5,'IR GLASS '!$B$3:$FW$192,91,FALSE)="","",VLOOKUP($B5,'IR GLASS '!$B$3:$FW$192,91,FALSE))</f>
        <v>347</v>
      </c>
      <c r="CB5" s="139"/>
      <c r="CC5" s="139"/>
      <c r="CD5" s="139">
        <f>IF(VLOOKUP($B5,'IR GLASS '!$B$3:$FW$192,94,FALSE)="","",VLOOKUP($B5,'IR GLASS '!$B$3:$FW$192,94,FALSE))</f>
        <v>164</v>
      </c>
      <c r="CE5" s="139"/>
      <c r="CF5" s="206">
        <f>IF(VLOOKUP($B5,'IR GLASS '!$B$3:$FW$192,95,FALSE)="","",VLOOKUP($B5,'IR GLASS '!$B$3:$FW$192,95,FALSE))</f>
        <v>165</v>
      </c>
      <c r="CG5" s="207"/>
      <c r="CH5" s="208"/>
      <c r="CI5" s="61" t="str">
        <f>IF(VLOOKUP($B5,'IR GLASS '!$B$3:$FW$192,119,FALSE)="","",VLOOKUP($B5,'IR GLASS '!$B$3:$FW$192,119,FALSE))</f>
        <v/>
      </c>
      <c r="CJ5" s="61"/>
      <c r="CK5" s="61"/>
      <c r="CL5" s="22" t="str">
        <f t="shared" si="0"/>
        <v>IRG202</v>
      </c>
      <c r="CM5" s="1"/>
      <c r="CN5" s="1"/>
      <c r="CO5" s="1"/>
      <c r="CP5" s="1"/>
      <c r="CQ5" s="1"/>
      <c r="CR5" s="1"/>
    </row>
    <row r="6" s="231" customFormat="1" ht="15" customHeight="1" spans="2:96">
      <c r="B6" s="234" t="s">
        <v>1894</v>
      </c>
      <c r="C6" s="234" t="str">
        <f>IF(VLOOKUP($B6,'[2]IR GLASS '!$B$3:$FW$196,2,FALSE)="","",VLOOKUP($B6,'[2]IR GLASS '!$B$3:$FW$196,2,FALSE))</f>
        <v>Ge20Se65Sb15</v>
      </c>
      <c r="D6" s="234"/>
      <c r="E6" s="234"/>
      <c r="F6" s="234"/>
      <c r="G6" s="235">
        <f>IF(VLOOKUP($B6,'IR GLASS '!$B$3:$FW$192,5,FALSE)="","",VLOOKUP($B6,'IR GLASS '!$B$3:$FW$192,5,FALSE))</f>
        <v>86.07</v>
      </c>
      <c r="H6" s="236"/>
      <c r="I6" s="236"/>
      <c r="J6" s="236"/>
      <c r="K6" s="236"/>
      <c r="L6" s="242"/>
      <c r="M6" s="243">
        <f>IF(VLOOKUP($B6,'IR GLASS '!$B$3:$FW$192,17,FALSE)="","",VLOOKUP($B6,'IR GLASS '!$B$3:$FW$192,17,FALSE))</f>
        <v>2.6261</v>
      </c>
      <c r="N6" s="243"/>
      <c r="O6" s="243"/>
      <c r="P6" s="243">
        <f>IF(VLOOKUP($B6,'IR GLASS '!$B$3:$FW$192,19,FALSE)="","",VLOOKUP($B6,'IR GLASS '!$B$3:$FW$192,19,FALSE))</f>
        <v>2.6118</v>
      </c>
      <c r="Q6" s="243"/>
      <c r="R6" s="243"/>
      <c r="S6" s="243">
        <f>IF(VLOOKUP($B6,'IR GLASS '!$B$3:$FW$192,21,FALSE)="","",VLOOKUP($B6,'IR GLASS '!$B$3:$FW$192,21,FALSE))</f>
        <v>2.606</v>
      </c>
      <c r="T6" s="243"/>
      <c r="U6" s="243">
        <f>IF(VLOOKUP($B6,'IR GLASS '!$B$3:$FW$192,23,FALSE)="","",VLOOKUP($B6,'IR GLASS '!$B$3:$FW$192,23,FALSE))</f>
        <v>2.6024</v>
      </c>
      <c r="V6" s="243"/>
      <c r="W6" s="243">
        <f>IF(VLOOKUP($B6,'IR GLASS '!$B$3:$FW$192,25,FALSE)="","",VLOOKUP($B6,'IR GLASS '!$B$3:$FW$192,25,FALSE))</f>
        <v>2.5993</v>
      </c>
      <c r="X6" s="243"/>
      <c r="Y6" s="243">
        <f>IF(VLOOKUP($B6,'IR GLASS '!$B$3:$FW$192,27,FALSE)="","",VLOOKUP($B6,'IR GLASS '!$B$3:$FW$192,27,FALSE))</f>
        <v>2.5963</v>
      </c>
      <c r="Z6" s="243"/>
      <c r="AA6" s="243"/>
      <c r="AB6" s="243">
        <f>IF(VLOOKUP($B6,'IR GLASS '!$B$3:$FW$192,28,FALSE)="","",VLOOKUP($B6,'IR GLASS '!$B$3:$FW$192,28,FALSE))</f>
        <v>2.5933</v>
      </c>
      <c r="AC6" s="243"/>
      <c r="AD6" s="243">
        <f>IF(VLOOKUP($B6,'IR GLASS '!$B$3:$FW$192,29,FALSE)="","",VLOOKUP($B6,'IR GLASS '!$B$3:$FW$192,29,FALSE))</f>
        <v>2.5899</v>
      </c>
      <c r="AE6" s="243"/>
      <c r="AF6" s="243"/>
      <c r="AG6" s="243">
        <f>IF(VLOOKUP($B6,'IR GLASS '!$B$3:$FW$192,30,FALSE)="","",VLOOKUP($B6,'IR GLASS '!$B$3:$FW$192,30,FALSE))</f>
        <v>2.5862</v>
      </c>
      <c r="AH6" s="243"/>
      <c r="AI6" s="243"/>
      <c r="AJ6" s="243"/>
      <c r="AK6" s="250">
        <f>IF(VLOOKUP($B6,'IR GLASS '!$B$3:$FW$192,31,FALSE)="","",VLOOKUP($B6,'IR GLASS '!$B$3:$FW$192,31,FALSE))</f>
        <v>2.5837</v>
      </c>
      <c r="AL6" s="251"/>
      <c r="AM6" s="243">
        <f>IF(VLOOKUP($B6,'IR GLASS '!$B$3:$FW$192,32,FALSE)="","",VLOOKUP($B6,'IR GLASS '!$B$3:$FW$192,32,FALSE))</f>
        <v>2.582</v>
      </c>
      <c r="AN6" s="243"/>
      <c r="AO6" s="243"/>
      <c r="AP6" s="260"/>
      <c r="AQ6" s="261"/>
      <c r="AR6" s="243">
        <f>IF(VLOOKUP($B6,'IR GLASS '!$B$3:$FW$192,33,FALSE)="","",VLOOKUP($B6,'IR GLASS '!$B$3:$FW$192,33,FALSE))</f>
        <v>2.5774</v>
      </c>
      <c r="AS6" s="243"/>
      <c r="AT6" s="243"/>
      <c r="AU6" s="243"/>
      <c r="AV6" s="243"/>
      <c r="AW6" s="243">
        <f>IF(VLOOKUP($B6,'IR GLASS '!$B$3:$FW$192,35,FALSE)="","",VLOOKUP($B6,'IR GLASS '!$B$3:$FW$192,35,FALSE))</f>
        <v>2.5723</v>
      </c>
      <c r="AX6" s="243"/>
      <c r="AY6" s="243"/>
      <c r="AZ6" s="243"/>
      <c r="BA6" s="243">
        <f>IF(VLOOKUP($B6,'IR GLASS '!$B$3:$FW$192,36,FALSE)="","",VLOOKUP($B6,'IR GLASS '!$B$3:$FW$192,36,FALSE))</f>
        <v>2.5666</v>
      </c>
      <c r="BB6" s="243"/>
      <c r="BC6" s="243"/>
      <c r="BD6" s="243"/>
      <c r="BE6" s="179">
        <f>IF(VLOOKUP($B6,'IR GLASS '!$B$3:$FW$192,69,FALSE)="","",VLOOKUP($B6,'IR GLASS '!$B$3:$FW$192,69,FALSE))</f>
        <v>42</v>
      </c>
      <c r="BF6" s="179"/>
      <c r="BG6" s="179"/>
      <c r="BH6" s="179"/>
      <c r="BI6" s="179">
        <f>IF(VLOOKUP($B6,'IR GLASS '!$B$3:$FW$192,71,FALSE)="","",VLOOKUP($B6,'IR GLASS '!$B$3:$FW$192,71,FALSE))</f>
        <v>40</v>
      </c>
      <c r="BJ6" s="179"/>
      <c r="BK6" s="179"/>
      <c r="BL6" s="179">
        <f>IF(VLOOKUP($B6,'IR GLASS '!$B$3:$FW$192,72,FALSE)="","",VLOOKUP($B6,'IR GLASS '!$B$3:$FW$192,72,FALSE))</f>
        <v>39</v>
      </c>
      <c r="BM6" s="179"/>
      <c r="BN6" s="179"/>
      <c r="BO6" s="179">
        <f>IF(VLOOKUP($B6,'IR GLASS '!$B$3:$FW$192,73,FALSE)="","",VLOOKUP($B6,'IR GLASS '!$B$3:$FW$192,73,FALSE))</f>
        <v>39</v>
      </c>
      <c r="BP6" s="179"/>
      <c r="BQ6" s="179"/>
      <c r="BR6" s="179"/>
      <c r="BS6" s="172">
        <f>IF(VLOOKUP($B6,'IR GLASS '!$B$3:$FW$192,74,FALSE)="","",VLOOKUP($B6,'IR GLASS '!$B$3:$FW$192,74,FALSE))</f>
        <v>39</v>
      </c>
      <c r="BT6" s="172"/>
      <c r="BU6" s="172"/>
      <c r="BV6" s="172"/>
      <c r="BW6" s="172">
        <f>IF(VLOOKUP($B6,'IR GLASS '!$B$3:$FW$192,90,FALSE)="","",VLOOKUP($B6,'IR GLASS '!$B$3:$FW$192,90,FALSE))</f>
        <v>266</v>
      </c>
      <c r="BX6" s="172"/>
      <c r="BY6" s="172"/>
      <c r="BZ6" s="172"/>
      <c r="CA6" s="172">
        <f>IF(VLOOKUP($B6,'IR GLASS '!$B$3:$FW$192,91,FALSE)="","",VLOOKUP($B6,'IR GLASS '!$B$3:$FW$192,91,FALSE))</f>
        <v>301</v>
      </c>
      <c r="CB6" s="172"/>
      <c r="CC6" s="172"/>
      <c r="CD6" s="172">
        <f>IF(VLOOKUP($B6,'IR GLASS '!$B$3:$FW$192,94,FALSE)="","",VLOOKUP($B6,'IR GLASS '!$B$3:$FW$192,94,FALSE))</f>
        <v>162</v>
      </c>
      <c r="CE6" s="172"/>
      <c r="CF6" s="203">
        <f>IF(VLOOKUP($B6,'IR GLASS '!$B$3:$FW$192,95,FALSE)="","",VLOOKUP($B6,'IR GLASS '!$B$3:$FW$192,95,FALSE))</f>
        <v>164</v>
      </c>
      <c r="CG6" s="204"/>
      <c r="CH6" s="205"/>
      <c r="CI6" s="58" t="str">
        <f>IF(VLOOKUP($B6,'IR GLASS '!$B$3:$FW$192,119,FALSE)="","",VLOOKUP($B6,'IR GLASS '!$B$3:$FW$192,119,FALSE))</f>
        <v/>
      </c>
      <c r="CJ6" s="58"/>
      <c r="CK6" s="58"/>
      <c r="CL6" s="234" t="str">
        <f t="shared" si="0"/>
        <v>IRG203</v>
      </c>
      <c r="CM6" s="233"/>
      <c r="CN6" s="233"/>
      <c r="CO6" s="233"/>
      <c r="CP6" s="233"/>
      <c r="CQ6" s="233"/>
      <c r="CR6" s="233"/>
    </row>
    <row r="7" s="231" customFormat="1" ht="15" customHeight="1" spans="2:96">
      <c r="B7" s="237" t="s">
        <v>1896</v>
      </c>
      <c r="C7" s="237" t="str">
        <f>IF(VLOOKUP($B7,'[2]IR GLASS '!$B$3:$FW$196,2,FALSE)="","",VLOOKUP($B7,'[2]IR GLASS '!$B$3:$FW$196,2,FALSE))</f>
        <v>Se63As30Sb4Sn3</v>
      </c>
      <c r="D7" s="237"/>
      <c r="E7" s="237"/>
      <c r="F7" s="237"/>
      <c r="G7" s="238">
        <f>IF(VLOOKUP($B7,'IR GLASS '!$B$3:$FW$192,5,FALSE)="","",VLOOKUP($B7,'IR GLASS '!$B$3:$FW$192,5,FALSE))</f>
        <v>132.77</v>
      </c>
      <c r="H7" s="239"/>
      <c r="I7" s="239"/>
      <c r="J7" s="239"/>
      <c r="K7" s="239"/>
      <c r="L7" s="244"/>
      <c r="M7" s="245">
        <f>IF(VLOOKUP($B7,'IR GLASS '!$B$3:$FW$192,17,FALSE)="","",VLOOKUP($B7,'IR GLASS '!$B$3:$FW$192,17,FALSE))</f>
        <v>2.8095</v>
      </c>
      <c r="N7" s="245"/>
      <c r="O7" s="245"/>
      <c r="P7" s="245">
        <f>IF(VLOOKUP($B7,'IR GLASS '!$B$3:$FW$192,19,FALSE)="","",VLOOKUP($B7,'IR GLASS '!$B$3:$FW$192,19,FALSE))</f>
        <v>2.7914</v>
      </c>
      <c r="Q7" s="245"/>
      <c r="R7" s="245"/>
      <c r="S7" s="245">
        <f>IF(VLOOKUP($B7,'IR GLASS '!$B$3:$FW$192,21,FALSE)="","",VLOOKUP($B7,'IR GLASS '!$B$3:$FW$192,21,FALSE))</f>
        <v>2.7846</v>
      </c>
      <c r="T7" s="245"/>
      <c r="U7" s="245">
        <f>IF(VLOOKUP($B7,'IR GLASS '!$B$3:$FW$192,23,FALSE)="","",VLOOKUP($B7,'IR GLASS '!$B$3:$FW$192,23,FALSE))</f>
        <v>2.7808</v>
      </c>
      <c r="V7" s="245"/>
      <c r="W7" s="245">
        <f>IF(VLOOKUP($B7,'IR GLASS '!$B$3:$FW$192,25,FALSE)="","",VLOOKUP($B7,'IR GLASS '!$B$3:$FW$192,25,FALSE))</f>
        <v>2.7779</v>
      </c>
      <c r="X7" s="245"/>
      <c r="Y7" s="245">
        <f>IF(VLOOKUP($B7,'IR GLASS '!$B$3:$FW$192,27,FALSE)="","",VLOOKUP($B7,'IR GLASS '!$B$3:$FW$192,27,FALSE))</f>
        <v>2.7754</v>
      </c>
      <c r="Z7" s="245"/>
      <c r="AA7" s="245"/>
      <c r="AB7" s="245">
        <f>IF(VLOOKUP($B7,'IR GLASS '!$B$3:$FW$192,28,FALSE)="","",VLOOKUP($B7,'IR GLASS '!$B$3:$FW$192,28,FALSE))</f>
        <v>2.773</v>
      </c>
      <c r="AC7" s="245"/>
      <c r="AD7" s="245">
        <f>IF(VLOOKUP($B7,'IR GLASS '!$B$3:$FW$192,29,FALSE)="","",VLOOKUP($B7,'IR GLASS '!$B$3:$FW$192,29,FALSE))</f>
        <v>2.7704</v>
      </c>
      <c r="AE7" s="245"/>
      <c r="AF7" s="245"/>
      <c r="AG7" s="245">
        <f>IF(VLOOKUP($B7,'IR GLASS '!$B$3:$FW$192,30,FALSE)="","",VLOOKUP($B7,'IR GLASS '!$B$3:$FW$192,30,FALSE))</f>
        <v>2.7677</v>
      </c>
      <c r="AH7" s="245"/>
      <c r="AI7" s="245"/>
      <c r="AJ7" s="245"/>
      <c r="AK7" s="252">
        <f>IF(VLOOKUP($B7,'IR GLASS '!$B$3:$FW$192,31,FALSE)="","",VLOOKUP($B7,'IR GLASS '!$B$3:$FW$192,31,FALSE))</f>
        <v>2.7659</v>
      </c>
      <c r="AL7" s="253"/>
      <c r="AM7" s="245">
        <f>IF(VLOOKUP($B7,'IR GLASS '!$B$3:$FW$192,32,FALSE)="","",VLOOKUP($B7,'IR GLASS '!$B$3:$FW$192,32,FALSE))</f>
        <v>2.7647</v>
      </c>
      <c r="AN7" s="245"/>
      <c r="AO7" s="245"/>
      <c r="AP7" s="260"/>
      <c r="AQ7" s="261"/>
      <c r="AR7" s="245">
        <f>IF(VLOOKUP($B7,'IR GLASS '!$B$3:$FW$192,33,FALSE)="","",VLOOKUP($B7,'IR GLASS '!$B$3:$FW$192,33,FALSE))</f>
        <v>2.7614</v>
      </c>
      <c r="AS7" s="245"/>
      <c r="AT7" s="245"/>
      <c r="AU7" s="245"/>
      <c r="AV7" s="245"/>
      <c r="AW7" s="245">
        <f>IF(VLOOKUP($B7,'IR GLASS '!$B$3:$FW$192,35,FALSE)="","",VLOOKUP($B7,'IR GLASS '!$B$3:$FW$192,35,FALSE))</f>
        <v>2.7578</v>
      </c>
      <c r="AX7" s="245"/>
      <c r="AY7" s="245"/>
      <c r="AZ7" s="245"/>
      <c r="BA7" s="245">
        <f>IF(VLOOKUP($B7,'IR GLASS '!$B$3:$FW$192,36,FALSE)="","",VLOOKUP($B7,'IR GLASS '!$B$3:$FW$192,36,FALSE))</f>
        <v>2.7538</v>
      </c>
      <c r="BB7" s="245"/>
      <c r="BC7" s="245"/>
      <c r="BD7" s="245"/>
      <c r="BE7" s="178">
        <f>IF(VLOOKUP($B7,'IR GLASS '!$B$3:$FW$192,69,FALSE)="","",VLOOKUP($B7,'IR GLASS '!$B$3:$FW$192,69,FALSE))</f>
        <v>21</v>
      </c>
      <c r="BF7" s="178"/>
      <c r="BG7" s="178"/>
      <c r="BH7" s="178"/>
      <c r="BI7" s="178">
        <f>IF(VLOOKUP($B7,'IR GLASS '!$B$3:$FW$192,71,FALSE)="","",VLOOKUP($B7,'IR GLASS '!$B$3:$FW$192,71,FALSE))</f>
        <v>19</v>
      </c>
      <c r="BJ7" s="178"/>
      <c r="BK7" s="178"/>
      <c r="BL7" s="178">
        <f>IF(VLOOKUP($B7,'IR GLASS '!$B$3:$FW$192,72,FALSE)="","",VLOOKUP($B7,'IR GLASS '!$B$3:$FW$192,72,FALSE))</f>
        <v>18</v>
      </c>
      <c r="BM7" s="178"/>
      <c r="BN7" s="178"/>
      <c r="BO7" s="178">
        <f>IF(VLOOKUP($B7,'IR GLASS '!$B$3:$FW$192,73,FALSE)="","",VLOOKUP($B7,'IR GLASS '!$B$3:$FW$192,73,FALSE))</f>
        <v>18</v>
      </c>
      <c r="BP7" s="178"/>
      <c r="BQ7" s="178"/>
      <c r="BR7" s="178"/>
      <c r="BS7" s="61">
        <f>IF(VLOOKUP($B7,'IR GLASS '!$B$3:$FW$192,74,FALSE)="","",VLOOKUP($B7,'IR GLASS '!$B$3:$FW$192,74,FALSE))</f>
        <v>17</v>
      </c>
      <c r="BT7" s="61"/>
      <c r="BU7" s="61"/>
      <c r="BV7" s="61"/>
      <c r="BW7" s="139">
        <f>IF(VLOOKUP($B7,'IR GLASS '!$B$3:$FW$192,90,FALSE)="","",VLOOKUP($B7,'IR GLASS '!$B$3:$FW$192,90,FALSE))</f>
        <v>174</v>
      </c>
      <c r="BX7" s="139"/>
      <c r="BY7" s="139"/>
      <c r="BZ7" s="139"/>
      <c r="CA7" s="139">
        <f>IF(VLOOKUP($B7,'IR GLASS '!$B$3:$FW$192,91,FALSE)="","",VLOOKUP($B7,'IR GLASS '!$B$3:$FW$192,91,FALSE))</f>
        <v>199</v>
      </c>
      <c r="CB7" s="139"/>
      <c r="CC7" s="139"/>
      <c r="CD7" s="139">
        <f>IF(VLOOKUP($B7,'IR GLASS '!$B$3:$FW$192,94,FALSE)="","",VLOOKUP($B7,'IR GLASS '!$B$3:$FW$192,94,FALSE))</f>
        <v>209</v>
      </c>
      <c r="CE7" s="139"/>
      <c r="CF7" s="206">
        <f>IF(VLOOKUP($B7,'IR GLASS '!$B$3:$FW$192,95,FALSE)="","",VLOOKUP($B7,'IR GLASS '!$B$3:$FW$192,95,FALSE))</f>
        <v>212</v>
      </c>
      <c r="CG7" s="207"/>
      <c r="CH7" s="208"/>
      <c r="CI7" s="61" t="str">
        <f>IF(VLOOKUP($B7,'IR GLASS '!$B$3:$FW$192,119,FALSE)="","",VLOOKUP($B7,'IR GLASS '!$B$3:$FW$192,119,FALSE))</f>
        <v/>
      </c>
      <c r="CJ7" s="61"/>
      <c r="CK7" s="61"/>
      <c r="CL7" s="237" t="str">
        <f t="shared" si="0"/>
        <v>IRG204</v>
      </c>
      <c r="CM7" s="233"/>
      <c r="CN7" s="233"/>
      <c r="CO7" s="233"/>
      <c r="CP7" s="233"/>
      <c r="CQ7" s="233"/>
      <c r="CR7" s="233"/>
    </row>
    <row r="8" s="231" customFormat="1" ht="15" customHeight="1" spans="2:96">
      <c r="B8" s="234" t="s">
        <v>1898</v>
      </c>
      <c r="C8" s="234" t="str">
        <f>IF(VLOOKUP($B8,'[2]IR GLASS '!$B$3:$FW$196,2,FALSE)="","",VLOOKUP($B8,'[2]IR GLASS '!$B$3:$FW$196,2,FALSE))</f>
        <v>Ge28Se60Sb12</v>
      </c>
      <c r="D8" s="234"/>
      <c r="E8" s="234"/>
      <c r="F8" s="234"/>
      <c r="G8" s="235">
        <f>IF(VLOOKUP($B8,'IR GLASS '!$B$3:$FW$192,5,FALSE)="","",VLOOKUP($B8,'IR GLASS '!$B$3:$FW$192,5,FALSE))</f>
        <v>93.63</v>
      </c>
      <c r="H8" s="236"/>
      <c r="I8" s="236"/>
      <c r="J8" s="236"/>
      <c r="K8" s="236"/>
      <c r="L8" s="242"/>
      <c r="M8" s="243">
        <f>IF(VLOOKUP($B8,'IR GLASS '!$B$3:$FW$192,17,FALSE)="","",VLOOKUP($B8,'IR GLASS '!$B$3:$FW$192,17,FALSE))</f>
        <v>2.6423</v>
      </c>
      <c r="N8" s="243"/>
      <c r="O8" s="243"/>
      <c r="P8" s="243">
        <f>IF(VLOOKUP($B8,'IR GLASS '!$B$3:$FW$192,19,FALSE)="","",VLOOKUP($B8,'IR GLASS '!$B$3:$FW$192,19,FALSE))</f>
        <v>2.6279</v>
      </c>
      <c r="Q8" s="243"/>
      <c r="R8" s="243"/>
      <c r="S8" s="243">
        <f>IF(VLOOKUP($B8,'IR GLASS '!$B$3:$FW$192,21,FALSE)="","",VLOOKUP($B8,'IR GLASS '!$B$3:$FW$192,21,FALSE))</f>
        <v>2.6222</v>
      </c>
      <c r="T8" s="243"/>
      <c r="U8" s="243">
        <f>IF(VLOOKUP($B8,'IR GLASS '!$B$3:$FW$192,23,FALSE)="","",VLOOKUP($B8,'IR GLASS '!$B$3:$FW$192,23,FALSE))</f>
        <v>2.6186</v>
      </c>
      <c r="V8" s="243"/>
      <c r="W8" s="243">
        <f>IF(VLOOKUP($B8,'IR GLASS '!$B$3:$FW$192,25,FALSE)="","",VLOOKUP($B8,'IR GLASS '!$B$3:$FW$192,25,FALSE))</f>
        <v>2.6157</v>
      </c>
      <c r="X8" s="243"/>
      <c r="Y8" s="243">
        <f>IF(VLOOKUP($B8,'IR GLASS '!$B$3:$FW$192,27,FALSE)="","",VLOOKUP($B8,'IR GLASS '!$B$3:$FW$192,27,FALSE))</f>
        <v>2.6129</v>
      </c>
      <c r="Z8" s="243"/>
      <c r="AA8" s="243"/>
      <c r="AB8" s="243">
        <f>IF(VLOOKUP($B8,'IR GLASS '!$B$3:$FW$192,28,FALSE)="","",VLOOKUP($B8,'IR GLASS '!$B$3:$FW$192,28,FALSE))</f>
        <v>2.61</v>
      </c>
      <c r="AC8" s="243"/>
      <c r="AD8" s="243">
        <f>IF(VLOOKUP($B8,'IR GLASS '!$B$3:$FW$192,29,FALSE)="","",VLOOKUP($B8,'IR GLASS '!$B$3:$FW$192,29,FALSE))</f>
        <v>2.6068</v>
      </c>
      <c r="AE8" s="243"/>
      <c r="AF8" s="243"/>
      <c r="AG8" s="243">
        <f>IF(VLOOKUP($B8,'IR GLASS '!$B$3:$FW$192,30,FALSE)="","",VLOOKUP($B8,'IR GLASS '!$B$3:$FW$192,30,FALSE))</f>
        <v>2.6033</v>
      </c>
      <c r="AH8" s="243"/>
      <c r="AI8" s="243"/>
      <c r="AJ8" s="243"/>
      <c r="AK8" s="250">
        <f>IF(VLOOKUP($B8,'IR GLASS '!$B$3:$FW$192,31,FALSE)="","",VLOOKUP($B8,'IR GLASS '!$B$3:$FW$192,31,FALSE))</f>
        <v>2.6011</v>
      </c>
      <c r="AL8" s="251"/>
      <c r="AM8" s="243">
        <f>IF(VLOOKUP($B8,'IR GLASS '!$B$3:$FW$192,32,FALSE)="","",VLOOKUP($B8,'IR GLASS '!$B$3:$FW$192,32,FALSE))</f>
        <v>2.5994</v>
      </c>
      <c r="AN8" s="243"/>
      <c r="AO8" s="243"/>
      <c r="AP8" s="260"/>
      <c r="AQ8" s="261"/>
      <c r="AR8" s="243">
        <f>IF(VLOOKUP($B8,'IR GLASS '!$B$3:$FW$192,33,FALSE)="","",VLOOKUP($B8,'IR GLASS '!$B$3:$FW$192,33,FALSE))</f>
        <v>2.5952</v>
      </c>
      <c r="AS8" s="243"/>
      <c r="AT8" s="243"/>
      <c r="AU8" s="243"/>
      <c r="AV8" s="243"/>
      <c r="AW8" s="243">
        <f>IF(VLOOKUP($B8,'IR GLASS '!$B$3:$FW$192,35,FALSE)="","",VLOOKUP($B8,'IR GLASS '!$B$3:$FW$192,35,FALSE))</f>
        <v>2.5905</v>
      </c>
      <c r="AX8" s="243"/>
      <c r="AY8" s="243"/>
      <c r="AZ8" s="243"/>
      <c r="BA8" s="243">
        <f>IF(VLOOKUP($B8,'IR GLASS '!$B$3:$FW$192,36,FALSE)="","",VLOOKUP($B8,'IR GLASS '!$B$3:$FW$192,36,FALSE))</f>
        <v>2.585</v>
      </c>
      <c r="BB8" s="243"/>
      <c r="BC8" s="243"/>
      <c r="BD8" s="243"/>
      <c r="BE8" s="179">
        <f>IF(VLOOKUP($B8,'IR GLASS '!$B$3:$FW$192,69,FALSE)="","",VLOOKUP($B8,'IR GLASS '!$B$3:$FW$192,69,FALSE))</f>
        <v>72</v>
      </c>
      <c r="BF8" s="179"/>
      <c r="BG8" s="179"/>
      <c r="BH8" s="179"/>
      <c r="BI8" s="179">
        <f>IF(VLOOKUP($B8,'IR GLASS '!$B$3:$FW$192,71,FALSE)="","",VLOOKUP($B8,'IR GLASS '!$B$3:$FW$192,71,FALSE))</f>
        <v>70</v>
      </c>
      <c r="BJ8" s="179"/>
      <c r="BK8" s="179"/>
      <c r="BL8" s="179">
        <f>IF(VLOOKUP($B8,'IR GLASS '!$B$3:$FW$192,72,FALSE)="","",VLOOKUP($B8,'IR GLASS '!$B$3:$FW$192,72,FALSE))</f>
        <v>70</v>
      </c>
      <c r="BM8" s="179"/>
      <c r="BN8" s="179"/>
      <c r="BO8" s="179">
        <f>IF(VLOOKUP($B8,'IR GLASS '!$B$3:$FW$192,73,FALSE)="","",VLOOKUP($B8,'IR GLASS '!$B$3:$FW$192,73,FALSE))</f>
        <v>70</v>
      </c>
      <c r="BP8" s="179"/>
      <c r="BQ8" s="179"/>
      <c r="BR8" s="179"/>
      <c r="BS8" s="172">
        <f>IF(VLOOKUP($B8,'IR GLASS '!$B$3:$FW$192,74,FALSE)="","",VLOOKUP($B8,'IR GLASS '!$B$3:$FW$192,74,FALSE))</f>
        <v>70</v>
      </c>
      <c r="BT8" s="172"/>
      <c r="BU8" s="172"/>
      <c r="BV8" s="172"/>
      <c r="BW8" s="172">
        <f>IF(VLOOKUP($B8,'IR GLASS '!$B$3:$FW$192,90,FALSE)="","",VLOOKUP($B8,'IR GLASS '!$B$3:$FW$192,90,FALSE))</f>
        <v>282</v>
      </c>
      <c r="BX8" s="172"/>
      <c r="BY8" s="172"/>
      <c r="BZ8" s="172"/>
      <c r="CA8" s="172">
        <f>IF(VLOOKUP($B8,'IR GLASS '!$B$3:$FW$192,91,FALSE)="","",VLOOKUP($B8,'IR GLASS '!$B$3:$FW$192,91,FALSE))</f>
        <v>314</v>
      </c>
      <c r="CB8" s="172"/>
      <c r="CC8" s="172"/>
      <c r="CD8" s="172">
        <f>IF(VLOOKUP($B8,'IR GLASS '!$B$3:$FW$192,94,FALSE)="","",VLOOKUP($B8,'IR GLASS '!$B$3:$FW$192,94,FALSE))</f>
        <v>140</v>
      </c>
      <c r="CE8" s="172"/>
      <c r="CF8" s="203">
        <f>IF(VLOOKUP($B8,'IR GLASS '!$B$3:$FW$192,95,FALSE)="","",VLOOKUP($B8,'IR GLASS '!$B$3:$FW$192,95,FALSE))</f>
        <v>141</v>
      </c>
      <c r="CG8" s="204"/>
      <c r="CH8" s="205"/>
      <c r="CI8" s="58">
        <f>IF(VLOOKUP($B8,'IR GLASS '!$B$3:$FW$192,119,FALSE)="","",VLOOKUP($B8,'IR GLASS '!$B$3:$FW$192,119,FALSE))</f>
        <v>0.33</v>
      </c>
      <c r="CJ8" s="58"/>
      <c r="CK8" s="58"/>
      <c r="CL8" s="234" t="str">
        <f t="shared" si="0"/>
        <v>IRG205</v>
      </c>
      <c r="CM8" s="233"/>
      <c r="CN8" s="233"/>
      <c r="CO8" s="233"/>
      <c r="CP8" s="233"/>
      <c r="CQ8" s="233"/>
      <c r="CR8" s="233"/>
    </row>
    <row r="9" s="232" customFormat="1" ht="15" customHeight="1" spans="2:96">
      <c r="B9" s="237" t="s">
        <v>1900</v>
      </c>
      <c r="C9" s="237" t="str">
        <f>IF(VLOOKUP($B9,'[2]IR GLASS '!$B$3:$FW$196,2,FALSE)="","",VLOOKUP($B9,'[2]IR GLASS '!$B$3:$FW$196,2,FALSE))</f>
        <v>Se60As40</v>
      </c>
      <c r="D9" s="237"/>
      <c r="E9" s="237"/>
      <c r="F9" s="237"/>
      <c r="G9" s="238">
        <f>IF(VLOOKUP($B9,'IR GLASS '!$B$3:$FW$192,5,FALSE)="","",VLOOKUP($B9,'IR GLASS '!$B$3:$FW$192,5,FALSE))</f>
        <v>137.71</v>
      </c>
      <c r="H9" s="239"/>
      <c r="I9" s="239"/>
      <c r="J9" s="239"/>
      <c r="K9" s="239"/>
      <c r="L9" s="244"/>
      <c r="M9" s="245">
        <f>IF(VLOOKUP($B9,'IR GLASS '!$B$3:$FW$192,17,FALSE)="","",VLOOKUP($B9,'IR GLASS '!$B$3:$FW$192,17,FALSE))</f>
        <v>2.8197</v>
      </c>
      <c r="N9" s="245"/>
      <c r="O9" s="245"/>
      <c r="P9" s="245">
        <f>IF(VLOOKUP($B9,'IR GLASS '!$B$3:$FW$192,19,FALSE)="","",VLOOKUP($B9,'IR GLASS '!$B$3:$FW$192,19,FALSE))</f>
        <v>2.8015</v>
      </c>
      <c r="Q9" s="245"/>
      <c r="R9" s="245"/>
      <c r="S9" s="245">
        <f>IF(VLOOKUP($B9,'IR GLASS '!$B$3:$FW$192,21,FALSE)="","",VLOOKUP($B9,'IR GLASS '!$B$3:$FW$192,21,FALSE))</f>
        <v>2.7947</v>
      </c>
      <c r="T9" s="245"/>
      <c r="U9" s="245">
        <f>IF(VLOOKUP($B9,'IR GLASS '!$B$3:$FW$192,23,FALSE)="","",VLOOKUP($B9,'IR GLASS '!$B$3:$FW$192,23,FALSE))</f>
        <v>2.7909</v>
      </c>
      <c r="V9" s="245"/>
      <c r="W9" s="245">
        <f>IF(VLOOKUP($B9,'IR GLASS '!$B$3:$FW$192,25,FALSE)="","",VLOOKUP($B9,'IR GLASS '!$B$3:$FW$192,25,FALSE))</f>
        <v>2.788</v>
      </c>
      <c r="X9" s="245"/>
      <c r="Y9" s="245">
        <f>IF(VLOOKUP($B9,'IR GLASS '!$B$3:$FW$192,27,FALSE)="","",VLOOKUP($B9,'IR GLASS '!$B$3:$FW$192,27,FALSE))</f>
        <v>2.7856</v>
      </c>
      <c r="Z9" s="245"/>
      <c r="AA9" s="245"/>
      <c r="AB9" s="245">
        <f>IF(VLOOKUP($B9,'IR GLASS '!$B$3:$FW$192,28,FALSE)="","",VLOOKUP($B9,'IR GLASS '!$B$3:$FW$192,28,FALSE))</f>
        <v>2.7832</v>
      </c>
      <c r="AC9" s="245"/>
      <c r="AD9" s="245">
        <f>IF(VLOOKUP($B9,'IR GLASS '!$B$3:$FW$192,29,FALSE)="","",VLOOKUP($B9,'IR GLASS '!$B$3:$FW$192,29,FALSE))</f>
        <v>2.7807</v>
      </c>
      <c r="AE9" s="245"/>
      <c r="AF9" s="245"/>
      <c r="AG9" s="245">
        <f>IF(VLOOKUP($B9,'IR GLASS '!$B$3:$FW$192,30,FALSE)="","",VLOOKUP($B9,'IR GLASS '!$B$3:$FW$192,30,FALSE))</f>
        <v>2.7781</v>
      </c>
      <c r="AH9" s="245"/>
      <c r="AI9" s="245"/>
      <c r="AJ9" s="245"/>
      <c r="AK9" s="252">
        <f>IF(VLOOKUP($B9,'IR GLASS '!$B$3:$FW$192,31,FALSE)="","",VLOOKUP($B9,'IR GLASS '!$B$3:$FW$192,31,FALSE))</f>
        <v>2.7764</v>
      </c>
      <c r="AL9" s="253"/>
      <c r="AM9" s="245">
        <f>IF(VLOOKUP($B9,'IR GLASS '!$B$3:$FW$192,32,FALSE)="","",VLOOKUP($B9,'IR GLASS '!$B$3:$FW$192,32,FALSE))</f>
        <v>2.7752</v>
      </c>
      <c r="AN9" s="245"/>
      <c r="AO9" s="245"/>
      <c r="AP9" s="260"/>
      <c r="AQ9" s="261"/>
      <c r="AR9" s="245">
        <f>IF(VLOOKUP($B9,'IR GLASS '!$B$3:$FW$192,33,FALSE)="","",VLOOKUP($B9,'IR GLASS '!$B$3:$FW$192,33,FALSE))</f>
        <v>2.772</v>
      </c>
      <c r="AS9" s="245"/>
      <c r="AT9" s="245"/>
      <c r="AU9" s="245"/>
      <c r="AV9" s="245"/>
      <c r="AW9" s="245">
        <f>IF(VLOOKUP($B9,'IR GLASS '!$B$3:$FW$192,35,FALSE)="","",VLOOKUP($B9,'IR GLASS '!$B$3:$FW$192,35,FALSE))</f>
        <v>2.7685</v>
      </c>
      <c r="AX9" s="245"/>
      <c r="AY9" s="245"/>
      <c r="AZ9" s="245"/>
      <c r="BA9" s="245">
        <f>IF(VLOOKUP($B9,'IR GLASS '!$B$3:$FW$192,36,FALSE)="","",VLOOKUP($B9,'IR GLASS '!$B$3:$FW$192,36,FALSE))</f>
        <v>2.7646</v>
      </c>
      <c r="BB9" s="245"/>
      <c r="BC9" s="245"/>
      <c r="BD9" s="245"/>
      <c r="BE9" s="178">
        <f>IF(VLOOKUP($B9,'IR GLASS '!$B$3:$FW$192,69,FALSE)="","",VLOOKUP($B9,'IR GLASS '!$B$3:$FW$192,69,FALSE))</f>
        <v>37</v>
      </c>
      <c r="BF9" s="178"/>
      <c r="BG9" s="178"/>
      <c r="BH9" s="178"/>
      <c r="BI9" s="178">
        <f>IF(VLOOKUP($B9,'IR GLASS '!$B$3:$FW$192,71,FALSE)="","",VLOOKUP($B9,'IR GLASS '!$B$3:$FW$192,71,FALSE))</f>
        <v>34</v>
      </c>
      <c r="BJ9" s="178"/>
      <c r="BK9" s="178"/>
      <c r="BL9" s="178">
        <f>IF(VLOOKUP($B9,'IR GLASS '!$B$3:$FW$192,72,FALSE)="","",VLOOKUP($B9,'IR GLASS '!$B$3:$FW$192,72,FALSE))</f>
        <v>32</v>
      </c>
      <c r="BM9" s="178"/>
      <c r="BN9" s="178"/>
      <c r="BO9" s="178">
        <f>IF(VLOOKUP($B9,'IR GLASS '!$B$3:$FW$192,73,FALSE)="","",VLOOKUP($B9,'IR GLASS '!$B$3:$FW$192,73,FALSE))</f>
        <v>32</v>
      </c>
      <c r="BP9" s="178"/>
      <c r="BQ9" s="178"/>
      <c r="BR9" s="178"/>
      <c r="BS9" s="61">
        <f>IF(VLOOKUP($B9,'IR GLASS '!$B$3:$FW$192,74,FALSE)="","",VLOOKUP($B9,'IR GLASS '!$B$3:$FW$192,74,FALSE))</f>
        <v>32</v>
      </c>
      <c r="BT9" s="61"/>
      <c r="BU9" s="61"/>
      <c r="BV9" s="61"/>
      <c r="BW9" s="146">
        <f>IF(VLOOKUP($B9,'IR GLASS '!$B$3:$FW$192,90,FALSE)="","",VLOOKUP($B9,'IR GLASS '!$B$3:$FW$192,90,FALSE))</f>
        <v>184</v>
      </c>
      <c r="BX9" s="146"/>
      <c r="BY9" s="146"/>
      <c r="BZ9" s="146"/>
      <c r="CA9" s="146">
        <f>IF(VLOOKUP($B9,'IR GLASS '!$B$3:$FW$192,91,FALSE)="","",VLOOKUP($B9,'IR GLASS '!$B$3:$FW$192,91,FALSE))</f>
        <v>216</v>
      </c>
      <c r="CB9" s="146"/>
      <c r="CC9" s="146"/>
      <c r="CD9" s="146">
        <f>IF(VLOOKUP($B9,'IR GLASS '!$B$3:$FW$192,94,FALSE)="","",VLOOKUP($B9,'IR GLASS '!$B$3:$FW$192,94,FALSE))</f>
        <v>206</v>
      </c>
      <c r="CE9" s="146"/>
      <c r="CF9" s="269">
        <f>IF(VLOOKUP($B9,'IR GLASS '!$B$3:$FW$192,95,FALSE)="","",VLOOKUP($B9,'IR GLASS '!$B$3:$FW$192,95,FALSE))</f>
        <v>208</v>
      </c>
      <c r="CG9" s="270"/>
      <c r="CH9" s="271"/>
      <c r="CI9" s="272">
        <f>IF(VLOOKUP($B9,'IR GLASS '!$B$3:$FW$192,119,FALSE)="","",VLOOKUP($B9,'IR GLASS '!$B$3:$FW$192,119,FALSE))</f>
        <v>0.24</v>
      </c>
      <c r="CJ9" s="272"/>
      <c r="CK9" s="272"/>
      <c r="CL9" s="237" t="str">
        <f t="shared" si="0"/>
        <v>IRG206</v>
      </c>
      <c r="CM9" s="233"/>
      <c r="CN9" s="233"/>
      <c r="CO9" s="233"/>
      <c r="CP9" s="233"/>
      <c r="CQ9" s="233"/>
      <c r="CR9" s="233"/>
    </row>
    <row r="10" s="1" customFormat="1" ht="14.1" customHeight="1" spans="2:90">
      <c r="B10" s="33" t="s">
        <v>1649</v>
      </c>
      <c r="C10" s="136" t="s">
        <v>1650</v>
      </c>
      <c r="D10" s="137"/>
      <c r="E10" s="137"/>
      <c r="F10" s="138"/>
      <c r="G10" s="240" t="s">
        <v>1935</v>
      </c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Q10" s="2"/>
      <c r="AR10" s="33" t="s">
        <v>1684</v>
      </c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4" t="s">
        <v>1685</v>
      </c>
      <c r="BK10" s="35"/>
      <c r="BL10" s="35"/>
      <c r="BM10" s="35"/>
      <c r="BN10" s="35"/>
      <c r="BO10" s="35"/>
      <c r="BP10" s="35"/>
      <c r="BQ10" s="35"/>
      <c r="BR10" s="70"/>
      <c r="BS10" s="107" t="s">
        <v>1973</v>
      </c>
      <c r="BT10" s="107"/>
      <c r="BU10" s="107"/>
      <c r="BV10" s="107"/>
      <c r="BW10" s="107" t="s">
        <v>1974</v>
      </c>
      <c r="BX10" s="107"/>
      <c r="BY10" s="107"/>
      <c r="BZ10" s="107"/>
      <c r="CA10" s="107"/>
      <c r="CB10" s="107" t="s">
        <v>1975</v>
      </c>
      <c r="CC10" s="33"/>
      <c r="CD10" s="33"/>
      <c r="CE10" s="217" t="s">
        <v>1976</v>
      </c>
      <c r="CF10" s="218"/>
      <c r="CG10" s="217" t="s">
        <v>1977</v>
      </c>
      <c r="CH10" s="218"/>
      <c r="CI10" s="107" t="s">
        <v>1978</v>
      </c>
      <c r="CJ10" s="107"/>
      <c r="CK10" s="107"/>
      <c r="CL10" s="33" t="s">
        <v>1649</v>
      </c>
    </row>
    <row r="11" s="1" customFormat="1" ht="14.1" customHeight="1" spans="2:90">
      <c r="B11" s="8"/>
      <c r="C11" s="136"/>
      <c r="D11" s="137"/>
      <c r="E11" s="137"/>
      <c r="F11" s="137"/>
      <c r="G11" s="139">
        <v>17</v>
      </c>
      <c r="H11" s="139"/>
      <c r="I11" s="139">
        <v>16</v>
      </c>
      <c r="J11" s="139"/>
      <c r="K11" s="139"/>
      <c r="L11" s="139"/>
      <c r="M11" s="139">
        <v>14</v>
      </c>
      <c r="N11" s="139"/>
      <c r="O11" s="139"/>
      <c r="P11" s="146">
        <v>12</v>
      </c>
      <c r="Q11" s="146"/>
      <c r="R11" s="146"/>
      <c r="S11" s="139">
        <v>10</v>
      </c>
      <c r="T11" s="139"/>
      <c r="U11" s="139">
        <v>8</v>
      </c>
      <c r="V11" s="139"/>
      <c r="W11" s="139">
        <v>7</v>
      </c>
      <c r="X11" s="139"/>
      <c r="Y11" s="139">
        <v>6</v>
      </c>
      <c r="Z11" s="139"/>
      <c r="AA11" s="139"/>
      <c r="AB11" s="139">
        <v>5</v>
      </c>
      <c r="AC11" s="139"/>
      <c r="AD11" s="139">
        <v>4</v>
      </c>
      <c r="AE11" s="139"/>
      <c r="AF11" s="139"/>
      <c r="AG11" s="139">
        <v>3</v>
      </c>
      <c r="AH11" s="139"/>
      <c r="AI11" s="139"/>
      <c r="AJ11" s="139"/>
      <c r="AK11" s="139">
        <v>2</v>
      </c>
      <c r="AL11" s="139"/>
      <c r="AM11" s="139">
        <v>1</v>
      </c>
      <c r="AN11" s="139"/>
      <c r="AO11" s="139"/>
      <c r="AQ11" s="2"/>
      <c r="AR11" s="71" t="s">
        <v>1979</v>
      </c>
      <c r="AS11" s="72"/>
      <c r="AT11" s="72"/>
      <c r="AU11" s="72"/>
      <c r="AV11" s="78"/>
      <c r="AW11" s="71" t="s">
        <v>1980</v>
      </c>
      <c r="AX11" s="72"/>
      <c r="AY11" s="72"/>
      <c r="AZ11" s="78"/>
      <c r="BA11" s="61" t="s">
        <v>1981</v>
      </c>
      <c r="BB11" s="61"/>
      <c r="BC11" s="61"/>
      <c r="BD11" s="61"/>
      <c r="BE11" s="61" t="s">
        <v>1982</v>
      </c>
      <c r="BF11" s="61"/>
      <c r="BG11" s="61"/>
      <c r="BH11" s="61"/>
      <c r="BI11" s="61"/>
      <c r="BJ11" s="61" t="s">
        <v>1983</v>
      </c>
      <c r="BK11" s="61"/>
      <c r="BL11" s="61"/>
      <c r="BM11" s="61" t="s">
        <v>1984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8"/>
      <c r="CC11" s="8"/>
      <c r="CD11" s="8"/>
      <c r="CE11" s="217"/>
      <c r="CF11" s="218"/>
      <c r="CG11" s="217"/>
      <c r="CH11" s="218"/>
      <c r="CI11" s="61"/>
      <c r="CJ11" s="61"/>
      <c r="CK11" s="61"/>
      <c r="CL11" s="8"/>
    </row>
    <row r="12" s="1" customFormat="1" ht="14.1" customHeight="1" spans="2:90">
      <c r="B12" s="8"/>
      <c r="C12" s="34"/>
      <c r="D12" s="35"/>
      <c r="E12" s="35"/>
      <c r="F12" s="35"/>
      <c r="G12" s="139" t="s">
        <v>1946</v>
      </c>
      <c r="H12" s="139"/>
      <c r="I12" s="139" t="s">
        <v>1946</v>
      </c>
      <c r="J12" s="139"/>
      <c r="K12" s="139"/>
      <c r="L12" s="139"/>
      <c r="M12" s="139" t="s">
        <v>1946</v>
      </c>
      <c r="N12" s="139"/>
      <c r="O12" s="139"/>
      <c r="P12" s="146" t="s">
        <v>1946</v>
      </c>
      <c r="Q12" s="146"/>
      <c r="R12" s="146"/>
      <c r="S12" s="139" t="s">
        <v>1946</v>
      </c>
      <c r="T12" s="139"/>
      <c r="U12" s="139" t="s">
        <v>1946</v>
      </c>
      <c r="V12" s="139"/>
      <c r="W12" s="139" t="s">
        <v>1946</v>
      </c>
      <c r="X12" s="139"/>
      <c r="Y12" s="139" t="s">
        <v>1946</v>
      </c>
      <c r="Z12" s="139"/>
      <c r="AA12" s="139"/>
      <c r="AB12" s="139" t="s">
        <v>1946</v>
      </c>
      <c r="AC12" s="139"/>
      <c r="AD12" s="139" t="s">
        <v>1946</v>
      </c>
      <c r="AE12" s="139"/>
      <c r="AF12" s="139"/>
      <c r="AG12" s="139" t="s">
        <v>1946</v>
      </c>
      <c r="AH12" s="139"/>
      <c r="AI12" s="139"/>
      <c r="AJ12" s="139"/>
      <c r="AK12" s="139" t="s">
        <v>1946</v>
      </c>
      <c r="AL12" s="139"/>
      <c r="AM12" s="139" t="s">
        <v>1946</v>
      </c>
      <c r="AN12" s="139"/>
      <c r="AO12" s="139"/>
      <c r="AQ12" s="2"/>
      <c r="AR12" s="73"/>
      <c r="AS12" s="74"/>
      <c r="AT12" s="74"/>
      <c r="AU12" s="74"/>
      <c r="AV12" s="79"/>
      <c r="AW12" s="73"/>
      <c r="AX12" s="74"/>
      <c r="AY12" s="74"/>
      <c r="AZ12" s="79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8"/>
      <c r="CC12" s="8"/>
      <c r="CD12" s="8"/>
      <c r="CE12" s="73"/>
      <c r="CF12" s="79"/>
      <c r="CG12" s="73"/>
      <c r="CH12" s="79"/>
      <c r="CI12" s="61"/>
      <c r="CJ12" s="61"/>
      <c r="CK12" s="61"/>
      <c r="CL12" s="8"/>
    </row>
    <row r="13" s="3" customFormat="1" ht="15" customHeight="1" spans="2:96">
      <c r="B13" s="18" t="str">
        <f t="shared" ref="B13:B18" si="1">B4</f>
        <v>IRG201</v>
      </c>
      <c r="C13" s="18" t="str">
        <f>IF(VLOOKUP($B4,'[2]IR GLASS '!$B$3:$FW$196,2,FALSE)="","",VLOOKUP($B4,'[2]IR GLASS '!$B$3:$FW$196,2,FALSE))</f>
        <v>Ge33Se55As12</v>
      </c>
      <c r="D13" s="18"/>
      <c r="E13" s="18"/>
      <c r="F13" s="18"/>
      <c r="G13" s="241">
        <f>IF(VLOOKUP($B4,'IR GLASS '!$B$3:$FW$192,133,FALSE)="","",VLOOKUP($B4,'IR GLASS '!$B$3:$FW$192,133,FALSE))</f>
        <v>0.814</v>
      </c>
      <c r="H13" s="241"/>
      <c r="I13" s="241">
        <f>IF(VLOOKUP($B4,'IR GLASS '!$B$3:$FW$192,134,FALSE)="","",VLOOKUP($B4,'IR GLASS '!$B$3:$FW$192,134,FALSE))</f>
        <v>0.722</v>
      </c>
      <c r="J13" s="241"/>
      <c r="K13" s="241"/>
      <c r="L13" s="241"/>
      <c r="M13" s="241">
        <f>IF(VLOOKUP($B4,'IR GLASS '!$B$3:$FW$192,136,FALSE)="","",VLOOKUP($B4,'IR GLASS '!$B$3:$FW$192,136,FALSE))</f>
        <v>0.943</v>
      </c>
      <c r="N13" s="241"/>
      <c r="O13" s="241"/>
      <c r="P13" s="246">
        <f>IF(VLOOKUP($B4,'IR GLASS '!$B$3:$FW$192,139,FALSE)="","",VLOOKUP($B4,'IR GLASS '!$B$3:$FW$192,139,FALSE))</f>
        <v>0.933</v>
      </c>
      <c r="Q13" s="246"/>
      <c r="R13" s="246"/>
      <c r="S13" s="241">
        <f>IF(VLOOKUP($B4,'IR GLASS '!$B$3:$FW$192,143,FALSE)="","",VLOOKUP($B4,'IR GLASS '!$B$3:$FW$192,143,FALSE))</f>
        <v>0.999</v>
      </c>
      <c r="T13" s="241"/>
      <c r="U13" s="241">
        <f>IF(VLOOKUP($B4,'IR GLASS '!$B$3:$FW$192,147,FALSE)="","",VLOOKUP($B4,'IR GLASS '!$B$3:$FW$192,147,FALSE))</f>
        <v>0.999</v>
      </c>
      <c r="V13" s="241"/>
      <c r="W13" s="241">
        <f>IF(VLOOKUP($B4,'IR GLASS '!$B$3:$FW$192,149,FALSE)="","",VLOOKUP($B4,'IR GLASS '!$B$3:$FW$192,149,FALSE))</f>
        <v>0.999</v>
      </c>
      <c r="X13" s="241"/>
      <c r="Y13" s="241">
        <f>IF(VLOOKUP($B4,'IR GLASS '!$B$3:$FW$192,151,FALSE)="","",VLOOKUP($B4,'IR GLASS '!$B$3:$FW$192,151,FALSE))</f>
        <v>0.999</v>
      </c>
      <c r="Z13" s="241"/>
      <c r="AA13" s="241"/>
      <c r="AB13" s="247">
        <f>IF(VLOOKUP($B4,'IR GLASS '!$B$3:$FW$192,153,FALSE)="","",VLOOKUP($B4,'IR GLASS '!$B$3:$FW$192,153,FALSE))</f>
        <v>0.995</v>
      </c>
      <c r="AC13" s="247"/>
      <c r="AD13" s="241">
        <f>IF(VLOOKUP($B4,'IR GLASS '!$B$3:$FW$192,157,FALSE)="","",VLOOKUP($B4,'IR GLASS '!$B$3:$FW$192,157,FALSE))</f>
        <v>0.998</v>
      </c>
      <c r="AE13" s="241"/>
      <c r="AF13" s="241"/>
      <c r="AG13" s="241">
        <f>IF(VLOOKUP($B4,'IR GLASS '!$B$3:$FW$192,161,FALSE)="","",VLOOKUP($B4,'IR GLASS '!$B$3:$FW$192,161,FALSE))</f>
        <v>0.999</v>
      </c>
      <c r="AH13" s="241"/>
      <c r="AI13" s="241"/>
      <c r="AJ13" s="241"/>
      <c r="AK13" s="254">
        <f>IF(VLOOKUP($B4,'IR GLASS '!$B$3:$FW$192,166,FALSE)="","",VLOOKUP($B4,'IR GLASS '!$B$3:$FW$192,166,FALSE))</f>
        <v>0.988</v>
      </c>
      <c r="AL13" s="255"/>
      <c r="AM13" s="241">
        <f>IF(VLOOKUP($B4,'IR GLASS '!$B$3:$FW$192,170,FALSE)="","",VLOOKUP($B4,'IR GLASS '!$B$3:$FW$192,170,FALSE))</f>
        <v>0.989</v>
      </c>
      <c r="AN13" s="241"/>
      <c r="AO13" s="241"/>
      <c r="AP13" s="1"/>
      <c r="AQ13" s="2"/>
      <c r="AR13" s="172">
        <f>IF(VLOOKUP($B4,'IR GLASS '!$B$3:$FW$192,82,FALSE)="","",VLOOKUP($B4,'IR GLASS '!$B$3:$FW$192,82,FALSE))</f>
        <v>1</v>
      </c>
      <c r="AS13" s="172"/>
      <c r="AT13" s="172"/>
      <c r="AU13" s="172"/>
      <c r="AV13" s="172"/>
      <c r="AW13" s="172">
        <f>IF(VLOOKUP($B4,'IR GLASS '!$B$3:$FW$192,83,FALSE)="","",VLOOKUP($B4,'IR GLASS '!$B$3:$FW$192,83,FALSE))</f>
        <v>1</v>
      </c>
      <c r="AX13" s="172"/>
      <c r="AY13" s="172"/>
      <c r="AZ13" s="172"/>
      <c r="BA13" s="172">
        <f>IF(VLOOKUP($B4,'IR GLASS '!$B$3:$FW$192,87,FALSE)="","",VLOOKUP($B4,'IR GLASS '!$B$3:$FW$192,87,FALSE))</f>
        <v>1</v>
      </c>
      <c r="BB13" s="172"/>
      <c r="BC13" s="172"/>
      <c r="BD13" s="172"/>
      <c r="BE13" s="172">
        <f>IF(VLOOKUP($B4,'IR GLASS '!$B$3:$FW$192,86,FALSE)="","",VLOOKUP($B4,'IR GLASS '!$B$3:$FW$192,86,FALSE))</f>
        <v>1</v>
      </c>
      <c r="BF13" s="172"/>
      <c r="BG13" s="172"/>
      <c r="BH13" s="172"/>
      <c r="BI13" s="172"/>
      <c r="BJ13" s="172">
        <f>IF(VLOOKUP($B4,'IR GLASS '!$B$3:$FW$192,84,FALSE)="","",VLOOKUP($B4,'IR GLASS '!$B$3:$FW$192,84,FALSE))</f>
        <v>1</v>
      </c>
      <c r="BK13" s="172"/>
      <c r="BL13" s="172"/>
      <c r="BM13" s="181">
        <f>IF(VLOOKUP($B4,'IR GLASS '!$B$3:$FW$192,85,FALSE)="","",VLOOKUP($B4,'IR GLASS '!$B$3:$FW$192,85,FALSE))</f>
        <v>1</v>
      </c>
      <c r="BN13" s="181"/>
      <c r="BO13" s="181"/>
      <c r="BP13" s="181"/>
      <c r="BQ13" s="181"/>
      <c r="BR13" s="181"/>
      <c r="BS13" s="181">
        <f>IF(VLOOKUP($B4,'IR GLASS '!$B$3:$FW$192,120,FALSE)="","",VLOOKUP($B4,'IR GLASS '!$B$3:$FW$192,120,FALSE))</f>
        <v>150</v>
      </c>
      <c r="BT13" s="181"/>
      <c r="BU13" s="181"/>
      <c r="BV13" s="181"/>
      <c r="BW13" s="186">
        <f>IF(VLOOKUP($B4,'IR GLASS '!$B$3:$FW$192,122,FALSE)="","",VLOOKUP($B4,'IR GLASS '!$B$3:$FW$192,122,FALSE))</f>
        <v>22</v>
      </c>
      <c r="BX13" s="187"/>
      <c r="BY13" s="187"/>
      <c r="BZ13" s="187"/>
      <c r="CA13" s="188"/>
      <c r="CB13" s="189">
        <f>IF(VLOOKUP($B4,'IR GLASS '!$B$3:$FW$192,123,FALSE)="","",VLOOKUP($B4,'IR GLASS '!$B$3:$FW$192,123,FALSE))</f>
        <v>8.3</v>
      </c>
      <c r="CC13" s="189"/>
      <c r="CD13" s="189"/>
      <c r="CE13" s="219">
        <f>IF(VLOOKUP($B4,'IR GLASS '!$B$3:$FW$192,127,FALSE)="","",VLOOKUP($B4,'IR GLASS '!$B$3:$FW$192,127,FALSE))</f>
        <v>0.331</v>
      </c>
      <c r="CF13" s="220"/>
      <c r="CG13" s="186" t="str">
        <f>IF(VLOOKUP($B4,'IR GLASS '!$B$3:$FW$192,128,FALSE)="","",VLOOKUP($B4,'IR GLASS '!$B$3:$FW$192,128,FALSE))</f>
        <v/>
      </c>
      <c r="CH13" s="188"/>
      <c r="CI13" s="221">
        <f>IF(VLOOKUP($B4,'IR GLASS '!$B$3:$FW$192,129,FALSE)="","",VLOOKUP($B4,'IR GLASS '!$B$3:$FW$192,129,FALSE))</f>
        <v>4.42</v>
      </c>
      <c r="CJ13" s="221"/>
      <c r="CK13" s="221"/>
      <c r="CL13" s="18" t="str">
        <f t="shared" ref="CL13:CL18" si="2">CL4</f>
        <v>IRG201</v>
      </c>
      <c r="CM13" s="1"/>
      <c r="CN13" s="1"/>
      <c r="CO13" s="1"/>
      <c r="CP13" s="1"/>
      <c r="CQ13" s="1"/>
      <c r="CR13" s="1"/>
    </row>
    <row r="14" s="3" customFormat="1" ht="15" customHeight="1" spans="2:96">
      <c r="B14" s="22" t="str">
        <f t="shared" si="1"/>
        <v>IRG202</v>
      </c>
      <c r="C14" s="22" t="str">
        <f>IF(VLOOKUP($B5,'[2]IR GLASS '!$B$3:$FW$196,2,FALSE)="","",VLOOKUP($B5,'[2]IR GLASS '!$B$3:$FW$196,2,FALSE))</f>
        <v>Ge22Se58As20</v>
      </c>
      <c r="D14" s="22"/>
      <c r="E14" s="22"/>
      <c r="F14" s="22"/>
      <c r="G14" s="40">
        <f>IF(VLOOKUP($B5,'IR GLASS '!$B$3:$FW$192,133,FALSE)="","",VLOOKUP($B5,'IR GLASS '!$B$3:$FW$192,133,FALSE))</f>
        <v>0.664</v>
      </c>
      <c r="H14" s="40"/>
      <c r="I14" s="40">
        <f>IF(VLOOKUP($B5,'IR GLASS '!$B$3:$FW$192,134,FALSE)="","",VLOOKUP($B5,'IR GLASS '!$B$3:$FW$192,134,FALSE))</f>
        <v>0.768</v>
      </c>
      <c r="J14" s="40"/>
      <c r="K14" s="40"/>
      <c r="L14" s="40"/>
      <c r="M14" s="40">
        <f>IF(VLOOKUP($B5,'IR GLASS '!$B$3:$FW$192,136,FALSE)="","",VLOOKUP($B5,'IR GLASS '!$B$3:$FW$192,136,FALSE))</f>
        <v>0.825</v>
      </c>
      <c r="N14" s="40"/>
      <c r="O14" s="40"/>
      <c r="P14" s="50">
        <f>IF(VLOOKUP($B5,'IR GLASS '!$B$3:$FW$192,139,FALSE)="","",VLOOKUP($B5,'IR GLASS '!$B$3:$FW$192,139,FALSE))</f>
        <v>0.898</v>
      </c>
      <c r="Q14" s="50"/>
      <c r="R14" s="50"/>
      <c r="S14" s="40">
        <f>IF(VLOOKUP($B5,'IR GLASS '!$B$3:$FW$192,143,FALSE)="","",VLOOKUP($B5,'IR GLASS '!$B$3:$FW$192,143,FALSE))</f>
        <v>0.998</v>
      </c>
      <c r="T14" s="40"/>
      <c r="U14" s="40">
        <f>IF(VLOOKUP($B5,'IR GLASS '!$B$3:$FW$192,147,FALSE)="","",VLOOKUP($B5,'IR GLASS '!$B$3:$FW$192,147,FALSE))</f>
        <v>0.999</v>
      </c>
      <c r="V14" s="40"/>
      <c r="W14" s="40">
        <f>IF(VLOOKUP($B5,'IR GLASS '!$B$3:$FW$192,149,FALSE)="","",VLOOKUP($B5,'IR GLASS '!$B$3:$FW$192,149,FALSE))</f>
        <v>0.999</v>
      </c>
      <c r="X14" s="40"/>
      <c r="Y14" s="40">
        <f>IF(VLOOKUP($B5,'IR GLASS '!$B$3:$FW$192,151,FALSE)="","",VLOOKUP($B5,'IR GLASS '!$B$3:$FW$192,151,FALSE))</f>
        <v>0.999</v>
      </c>
      <c r="Z14" s="40"/>
      <c r="AA14" s="40"/>
      <c r="AB14" s="53">
        <f>IF(VLOOKUP($B5,'IR GLASS '!$B$3:$FW$192,153,FALSE)="","",VLOOKUP($B5,'IR GLASS '!$B$3:$FW$192,153,FALSE))</f>
        <v>0.987</v>
      </c>
      <c r="AC14" s="53"/>
      <c r="AD14" s="40">
        <f>IF(VLOOKUP($B5,'IR GLASS '!$B$3:$FW$192,157,FALSE)="","",VLOOKUP($B5,'IR GLASS '!$B$3:$FW$192,157,FALSE))</f>
        <v>0.996</v>
      </c>
      <c r="AE14" s="40"/>
      <c r="AF14" s="40"/>
      <c r="AG14" s="40">
        <f>IF(VLOOKUP($B5,'IR GLASS '!$B$3:$FW$192,161,FALSE)="","",VLOOKUP($B5,'IR GLASS '!$B$3:$FW$192,161,FALSE))</f>
        <v>0.998</v>
      </c>
      <c r="AH14" s="40"/>
      <c r="AI14" s="40"/>
      <c r="AJ14" s="40"/>
      <c r="AK14" s="162">
        <f>IF(VLOOKUP($B5,'IR GLASS '!$B$3:$FW$192,166,FALSE)="","",VLOOKUP($B5,'IR GLASS '!$B$3:$FW$192,166,FALSE))</f>
        <v>0.99</v>
      </c>
      <c r="AL14" s="163"/>
      <c r="AM14" s="40">
        <f>IF(VLOOKUP($B5,'IR GLASS '!$B$3:$FW$192,170,FALSE)="","",VLOOKUP($B5,'IR GLASS '!$B$3:$FW$192,170,FALSE))</f>
        <v>0.987</v>
      </c>
      <c r="AN14" s="40"/>
      <c r="AO14" s="40"/>
      <c r="AP14" s="1"/>
      <c r="AQ14" s="2"/>
      <c r="AR14" s="173">
        <f>IF(VLOOKUP($B5,'IR GLASS '!$B$3:$FW$192,82,FALSE)="","",VLOOKUP($B5,'IR GLASS '!$B$3:$FW$192,82,FALSE))</f>
        <v>1</v>
      </c>
      <c r="AS14" s="173"/>
      <c r="AT14" s="173"/>
      <c r="AU14" s="173"/>
      <c r="AV14" s="173"/>
      <c r="AW14" s="173">
        <f>IF(VLOOKUP($B5,'IR GLASS '!$B$3:$FW$192,83,FALSE)="","",VLOOKUP($B5,'IR GLASS '!$B$3:$FW$192,83,FALSE))</f>
        <v>1</v>
      </c>
      <c r="AX14" s="173"/>
      <c r="AY14" s="173"/>
      <c r="AZ14" s="173"/>
      <c r="BA14" s="173">
        <f>IF(VLOOKUP($B5,'IR GLASS '!$B$3:$FW$192,87,FALSE)="","",VLOOKUP($B5,'IR GLASS '!$B$3:$FW$192,87,FALSE))</f>
        <v>1</v>
      </c>
      <c r="BB14" s="173"/>
      <c r="BC14" s="173"/>
      <c r="BD14" s="173"/>
      <c r="BE14" s="173">
        <f>IF(VLOOKUP($B5,'IR GLASS '!$B$3:$FW$192,86,FALSE)="","",VLOOKUP($B5,'IR GLASS '!$B$3:$FW$192,86,FALSE))</f>
        <v>1</v>
      </c>
      <c r="BF14" s="173"/>
      <c r="BG14" s="173"/>
      <c r="BH14" s="173"/>
      <c r="BI14" s="173"/>
      <c r="BJ14" s="173">
        <f>IF(VLOOKUP($B5,'IR GLASS '!$B$3:$FW$192,84,FALSE)="","",VLOOKUP($B5,'IR GLASS '!$B$3:$FW$192,84,FALSE))</f>
        <v>2</v>
      </c>
      <c r="BK14" s="173"/>
      <c r="BL14" s="173"/>
      <c r="BM14" s="182">
        <f>IF(VLOOKUP($B5,'IR GLASS '!$B$3:$FW$192,85,FALSE)="","",VLOOKUP($B5,'IR GLASS '!$B$3:$FW$192,85,FALSE))</f>
        <v>1</v>
      </c>
      <c r="BN14" s="182"/>
      <c r="BO14" s="182"/>
      <c r="BP14" s="182"/>
      <c r="BQ14" s="182"/>
      <c r="BR14" s="182"/>
      <c r="BS14" s="182">
        <f>IF(VLOOKUP($B5,'IR GLASS '!$B$3:$FW$192,120,FALSE)="","",VLOOKUP($B5,'IR GLASS '!$B$3:$FW$192,120,FALSE))</f>
        <v>152</v>
      </c>
      <c r="BT14" s="182"/>
      <c r="BU14" s="182"/>
      <c r="BV14" s="182"/>
      <c r="BW14" s="190">
        <f>IF(VLOOKUP($B5,'IR GLASS '!$B$3:$FW$192,122,FALSE)="","",VLOOKUP($B5,'IR GLASS '!$B$3:$FW$192,122,FALSE))</f>
        <v>18.6</v>
      </c>
      <c r="BX14" s="191"/>
      <c r="BY14" s="191"/>
      <c r="BZ14" s="191"/>
      <c r="CA14" s="192"/>
      <c r="CB14" s="193">
        <f>IF(VLOOKUP($B5,'IR GLASS '!$B$3:$FW$192,123,FALSE)="","",VLOOKUP($B5,'IR GLASS '!$B$3:$FW$192,123,FALSE))</f>
        <v>6.8</v>
      </c>
      <c r="CC14" s="193"/>
      <c r="CD14" s="193"/>
      <c r="CE14" s="222">
        <f>IF(VLOOKUP($B5,'IR GLASS '!$B$3:$FW$192,127,FALSE)="","",VLOOKUP($B5,'IR GLASS '!$B$3:$FW$192,127,FALSE))</f>
        <v>0.367</v>
      </c>
      <c r="CF14" s="223"/>
      <c r="CG14" s="190" t="str">
        <f>IF(VLOOKUP($B5,'IR GLASS '!$B$3:$FW$192,128,FALSE)="","",VLOOKUP($B5,'IR GLASS '!$B$3:$FW$192,128,FALSE))</f>
        <v/>
      </c>
      <c r="CH14" s="192"/>
      <c r="CI14" s="224">
        <f>IF(VLOOKUP($B5,'IR GLASS '!$B$3:$FW$192,129,FALSE)="","",VLOOKUP($B5,'IR GLASS '!$B$3:$FW$192,129,FALSE))</f>
        <v>4.41</v>
      </c>
      <c r="CJ14" s="224"/>
      <c r="CK14" s="224"/>
      <c r="CL14" s="22" t="str">
        <f t="shared" si="2"/>
        <v>IRG202</v>
      </c>
      <c r="CM14" s="1"/>
      <c r="CN14" s="1"/>
      <c r="CO14" s="1"/>
      <c r="CP14" s="1"/>
      <c r="CQ14" s="1"/>
      <c r="CR14" s="1"/>
    </row>
    <row r="15" s="231" customFormat="1" ht="15" customHeight="1" spans="2:96">
      <c r="B15" s="234" t="str">
        <f t="shared" si="1"/>
        <v>IRG203</v>
      </c>
      <c r="C15" s="234" t="str">
        <f>IF(VLOOKUP($B6,'[2]IR GLASS '!$B$3:$FW$196,2,FALSE)="","",VLOOKUP($B6,'[2]IR GLASS '!$B$3:$FW$196,2,FALSE))</f>
        <v>Ge20Se65Sb15</v>
      </c>
      <c r="D15" s="234"/>
      <c r="E15" s="234"/>
      <c r="F15" s="234"/>
      <c r="G15" s="49">
        <f>IF(VLOOKUP($B6,'IR GLASS '!$B$3:$FW$192,133,FALSE)="","",VLOOKUP($B6,'IR GLASS '!$B$3:$FW$192,133,FALSE))</f>
        <v>0.377</v>
      </c>
      <c r="H15" s="49"/>
      <c r="I15" s="49">
        <f>IF(VLOOKUP($B6,'IR GLASS '!$B$3:$FW$192,134,FALSE)="","",VLOOKUP($B6,'IR GLASS '!$B$3:$FW$192,134,FALSE))</f>
        <v>0.785</v>
      </c>
      <c r="J15" s="49"/>
      <c r="K15" s="49"/>
      <c r="L15" s="49"/>
      <c r="M15" s="49">
        <f>IF(VLOOKUP($B6,'IR GLASS '!$B$3:$FW$192,136,FALSE)="","",VLOOKUP($B6,'IR GLASS '!$B$3:$FW$192,136,FALSE))</f>
        <v>0.95</v>
      </c>
      <c r="N15" s="49"/>
      <c r="O15" s="49"/>
      <c r="P15" s="49">
        <f>IF(VLOOKUP($B6,'IR GLASS '!$B$3:$FW$192,139,FALSE)="","",VLOOKUP($B6,'IR GLASS '!$B$3:$FW$192,139,FALSE))</f>
        <v>0.911</v>
      </c>
      <c r="Q15" s="49"/>
      <c r="R15" s="49"/>
      <c r="S15" s="49">
        <f>IF(VLOOKUP($B6,'IR GLASS '!$B$3:$FW$192,143,FALSE)="","",VLOOKUP($B6,'IR GLASS '!$B$3:$FW$192,143,FALSE))</f>
        <v>0.997</v>
      </c>
      <c r="T15" s="49"/>
      <c r="U15" s="49">
        <f>IF(VLOOKUP($B6,'IR GLASS '!$B$3:$FW$192,147,FALSE)="","",VLOOKUP($B6,'IR GLASS '!$B$3:$FW$192,147,FALSE))</f>
        <v>0.995</v>
      </c>
      <c r="V15" s="49"/>
      <c r="W15" s="49">
        <f>IF(VLOOKUP($B6,'IR GLASS '!$B$3:$FW$192,149,FALSE)="","",VLOOKUP($B6,'IR GLASS '!$B$3:$FW$192,149,FALSE))</f>
        <v>0.998</v>
      </c>
      <c r="X15" s="49"/>
      <c r="Y15" s="49">
        <f>IF(VLOOKUP($B6,'IR GLASS '!$B$3:$FW$192,151,FALSE)="","",VLOOKUP($B6,'IR GLASS '!$B$3:$FW$192,151,FALSE))</f>
        <v>0.998</v>
      </c>
      <c r="Z15" s="49"/>
      <c r="AA15" s="49"/>
      <c r="AB15" s="248">
        <f>IF(VLOOKUP($B6,'IR GLASS '!$B$3:$FW$192,153,FALSE)="","",VLOOKUP($B6,'IR GLASS '!$B$3:$FW$192,153,FALSE))</f>
        <v>0.998</v>
      </c>
      <c r="AC15" s="248"/>
      <c r="AD15" s="49">
        <f>IF(VLOOKUP($B6,'IR GLASS '!$B$3:$FW$192,157,FALSE)="","",VLOOKUP($B6,'IR GLASS '!$B$3:$FW$192,157,FALSE))</f>
        <v>0.998</v>
      </c>
      <c r="AE15" s="49"/>
      <c r="AF15" s="49"/>
      <c r="AG15" s="49">
        <f>IF(VLOOKUP($B6,'IR GLASS '!$B$3:$FW$192,161,FALSE)="","",VLOOKUP($B6,'IR GLASS '!$B$3:$FW$192,161,FALSE))</f>
        <v>0.996</v>
      </c>
      <c r="AH15" s="49"/>
      <c r="AI15" s="49"/>
      <c r="AJ15" s="49"/>
      <c r="AK15" s="256">
        <f>IF(VLOOKUP($B6,'IR GLASS '!$B$3:$FW$192,166,FALSE)="","",VLOOKUP($B6,'IR GLASS '!$B$3:$FW$192,166,FALSE))</f>
        <v>0.992</v>
      </c>
      <c r="AL15" s="257"/>
      <c r="AM15" s="49">
        <f>IF(VLOOKUP($B6,'IR GLASS '!$B$3:$FW$192,170,FALSE)="","",VLOOKUP($B6,'IR GLASS '!$B$3:$FW$192,170,FALSE))</f>
        <v>0.977</v>
      </c>
      <c r="AN15" s="49"/>
      <c r="AO15" s="49"/>
      <c r="AP15" s="233"/>
      <c r="AQ15" s="232"/>
      <c r="AR15" s="262">
        <f>IF(VLOOKUP($B6,'IR GLASS '!$B$3:$FW$192,82,FALSE)="","",VLOOKUP($B6,'IR GLASS '!$B$3:$FW$192,82,FALSE))</f>
        <v>1</v>
      </c>
      <c r="AS15" s="262"/>
      <c r="AT15" s="262"/>
      <c r="AU15" s="262"/>
      <c r="AV15" s="262"/>
      <c r="AW15" s="262">
        <f>IF(VLOOKUP($B6,'IR GLASS '!$B$3:$FW$192,83,FALSE)="","",VLOOKUP($B6,'IR GLASS '!$B$3:$FW$192,83,FALSE))</f>
        <v>1</v>
      </c>
      <c r="AX15" s="262"/>
      <c r="AY15" s="262"/>
      <c r="AZ15" s="262"/>
      <c r="BA15" s="172">
        <f>IF(VLOOKUP($B6,'IR GLASS '!$B$3:$FW$192,87,FALSE)="","",VLOOKUP($B6,'IR GLASS '!$B$3:$FW$192,87,FALSE))</f>
        <v>1</v>
      </c>
      <c r="BB15" s="172"/>
      <c r="BC15" s="172"/>
      <c r="BD15" s="172"/>
      <c r="BE15" s="172">
        <f>IF(VLOOKUP($B6,'IR GLASS '!$B$3:$FW$192,86,FALSE)="","",VLOOKUP($B6,'IR GLASS '!$B$3:$FW$192,86,FALSE))</f>
        <v>4</v>
      </c>
      <c r="BF15" s="172"/>
      <c r="BG15" s="172"/>
      <c r="BH15" s="172"/>
      <c r="BI15" s="172"/>
      <c r="BJ15" s="172">
        <f>IF(VLOOKUP($B6,'IR GLASS '!$B$3:$FW$192,84,FALSE)="","",VLOOKUP($B6,'IR GLASS '!$B$3:$FW$192,84,FALSE))</f>
        <v>2</v>
      </c>
      <c r="BK15" s="172"/>
      <c r="BL15" s="172"/>
      <c r="BM15" s="181">
        <f>IF(VLOOKUP($B6,'IR GLASS '!$B$3:$FW$192,85,FALSE)="","",VLOOKUP($B6,'IR GLASS '!$B$3:$FW$192,85,FALSE))</f>
        <v>1</v>
      </c>
      <c r="BN15" s="181"/>
      <c r="BO15" s="181"/>
      <c r="BP15" s="181"/>
      <c r="BQ15" s="181"/>
      <c r="BR15" s="181"/>
      <c r="BS15" s="181">
        <f>IF(VLOOKUP($B6,'IR GLASS '!$B$3:$FW$192,120,FALSE)="","",VLOOKUP($B6,'IR GLASS '!$B$3:$FW$192,120,FALSE))</f>
        <v>137</v>
      </c>
      <c r="BT15" s="181"/>
      <c r="BU15" s="181"/>
      <c r="BV15" s="181"/>
      <c r="BW15" s="186">
        <f>IF(VLOOKUP($B6,'IR GLASS '!$B$3:$FW$192,122,FALSE)="","",VLOOKUP($B6,'IR GLASS '!$B$3:$FW$192,122,FALSE))</f>
        <v>19.8</v>
      </c>
      <c r="BX15" s="187"/>
      <c r="BY15" s="187"/>
      <c r="BZ15" s="187"/>
      <c r="CA15" s="188"/>
      <c r="CB15" s="189">
        <f>IF(VLOOKUP($B6,'IR GLASS '!$B$3:$FW$192,123,FALSE)="","",VLOOKUP($B6,'IR GLASS '!$B$3:$FW$192,123,FALSE))</f>
        <v>7.7</v>
      </c>
      <c r="CC15" s="189"/>
      <c r="CD15" s="189"/>
      <c r="CE15" s="219">
        <f>IF(VLOOKUP($B6,'IR GLASS '!$B$3:$FW$192,127,FALSE)="","",VLOOKUP($B6,'IR GLASS '!$B$3:$FW$192,127,FALSE))</f>
        <v>0.291</v>
      </c>
      <c r="CF15" s="220"/>
      <c r="CG15" s="186">
        <f>IF(VLOOKUP($B6,'IR GLASS '!$B$3:$FW$192,128,FALSE)="","",VLOOKUP($B6,'IR GLASS '!$B$3:$FW$192,128,FALSE))</f>
        <v>10.1</v>
      </c>
      <c r="CH15" s="188"/>
      <c r="CI15" s="221">
        <f>IF(VLOOKUP($B6,'IR GLASS '!$B$3:$FW$192,129,FALSE)="","",VLOOKUP($B6,'IR GLASS '!$B$3:$FW$192,129,FALSE))</f>
        <v>4.71</v>
      </c>
      <c r="CJ15" s="221"/>
      <c r="CK15" s="221"/>
      <c r="CL15" s="234" t="str">
        <f t="shared" si="2"/>
        <v>IRG203</v>
      </c>
      <c r="CM15" s="233"/>
      <c r="CN15" s="233"/>
      <c r="CO15" s="233"/>
      <c r="CP15" s="233"/>
      <c r="CQ15" s="233"/>
      <c r="CR15" s="233"/>
    </row>
    <row r="16" s="231" customFormat="1" ht="15" customHeight="1" spans="2:96">
      <c r="B16" s="237" t="str">
        <f t="shared" si="1"/>
        <v>IRG204</v>
      </c>
      <c r="C16" s="237" t="str">
        <f>IF(VLOOKUP($B7,'[2]IR GLASS '!$B$3:$FW$196,2,FALSE)="","",VLOOKUP($B7,'[2]IR GLASS '!$B$3:$FW$196,2,FALSE))</f>
        <v>Se63As30Sb4Sn3</v>
      </c>
      <c r="D16" s="237"/>
      <c r="E16" s="237"/>
      <c r="F16" s="237"/>
      <c r="G16" s="50">
        <f>IF(VLOOKUP($B7,'IR GLASS '!$B$3:$FW$192,133,FALSE)="","",VLOOKUP($B7,'IR GLASS '!$B$3:$FW$192,133,FALSE))</f>
        <v>0.84</v>
      </c>
      <c r="H16" s="50"/>
      <c r="I16" s="50">
        <f>IF(VLOOKUP($B7,'IR GLASS '!$B$3:$FW$192,134,FALSE)="","",VLOOKUP($B7,'IR GLASS '!$B$3:$FW$192,134,FALSE))</f>
        <v>0.896</v>
      </c>
      <c r="J16" s="50"/>
      <c r="K16" s="50"/>
      <c r="L16" s="50"/>
      <c r="M16" s="50">
        <f>IF(VLOOKUP($B7,'IR GLASS '!$B$3:$FW$192,136,FALSE)="","",VLOOKUP($B7,'IR GLASS '!$B$3:$FW$192,136,FALSE))</f>
        <v>0.897</v>
      </c>
      <c r="N16" s="50"/>
      <c r="O16" s="50"/>
      <c r="P16" s="50">
        <f>IF(VLOOKUP($B7,'IR GLASS '!$B$3:$FW$192,139,FALSE)="","",VLOOKUP($B7,'IR GLASS '!$B$3:$FW$192,139,FALSE))</f>
        <v>0.987</v>
      </c>
      <c r="Q16" s="50"/>
      <c r="R16" s="50"/>
      <c r="S16" s="50">
        <f>IF(VLOOKUP($B7,'IR GLASS '!$B$3:$FW$192,143,FALSE)="","",VLOOKUP($B7,'IR GLASS '!$B$3:$FW$192,143,FALSE))</f>
        <v>0.993</v>
      </c>
      <c r="T16" s="50"/>
      <c r="U16" s="50">
        <f>IF(VLOOKUP($B7,'IR GLASS '!$B$3:$FW$192,147,FALSE)="","",VLOOKUP($B7,'IR GLASS '!$B$3:$FW$192,147,FALSE))</f>
        <v>0.997</v>
      </c>
      <c r="V16" s="50"/>
      <c r="W16" s="50">
        <f>IF(VLOOKUP($B7,'IR GLASS '!$B$3:$FW$192,149,FALSE)="","",VLOOKUP($B7,'IR GLASS '!$B$3:$FW$192,149,FALSE))</f>
        <v>0.996</v>
      </c>
      <c r="X16" s="50"/>
      <c r="Y16" s="50">
        <f>IF(VLOOKUP($B7,'IR GLASS '!$B$3:$FW$192,151,FALSE)="","",VLOOKUP($B7,'IR GLASS '!$B$3:$FW$192,151,FALSE))</f>
        <v>0.996</v>
      </c>
      <c r="Z16" s="50"/>
      <c r="AA16" s="50"/>
      <c r="AB16" s="249">
        <f>IF(VLOOKUP($B7,'IR GLASS '!$B$3:$FW$192,153,FALSE)="","",VLOOKUP($B7,'IR GLASS '!$B$3:$FW$192,153,FALSE))</f>
        <v>0.996</v>
      </c>
      <c r="AC16" s="249"/>
      <c r="AD16" s="50">
        <f>IF(VLOOKUP($B7,'IR GLASS '!$B$3:$FW$192,157,FALSE)="","",VLOOKUP($B7,'IR GLASS '!$B$3:$FW$192,157,FALSE))</f>
        <v>0.997</v>
      </c>
      <c r="AE16" s="50"/>
      <c r="AF16" s="50"/>
      <c r="AG16" s="50">
        <f>IF(VLOOKUP($B7,'IR GLASS '!$B$3:$FW$192,161,FALSE)="","",VLOOKUP($B7,'IR GLASS '!$B$3:$FW$192,161,FALSE))</f>
        <v>0.996</v>
      </c>
      <c r="AH16" s="50"/>
      <c r="AI16" s="50"/>
      <c r="AJ16" s="50"/>
      <c r="AK16" s="258">
        <f>IF(VLOOKUP($B7,'IR GLASS '!$B$3:$FW$192,166,FALSE)="","",VLOOKUP($B7,'IR GLASS '!$B$3:$FW$192,166,FALSE))</f>
        <v>0.995</v>
      </c>
      <c r="AL16" s="259"/>
      <c r="AM16" s="50">
        <f>IF(VLOOKUP($B7,'IR GLASS '!$B$3:$FW$192,170,FALSE)="","",VLOOKUP($B7,'IR GLASS '!$B$3:$FW$192,170,FALSE))</f>
        <v>0.923</v>
      </c>
      <c r="AN16" s="50"/>
      <c r="AO16" s="50"/>
      <c r="AP16" s="233"/>
      <c r="AQ16" s="232"/>
      <c r="AR16" s="263">
        <f>IF(VLOOKUP($B7,'IR GLASS '!$B$3:$FW$192,82,FALSE)="","",VLOOKUP($B7,'IR GLASS '!$B$3:$FW$192,82,FALSE))</f>
        <v>1</v>
      </c>
      <c r="AS16" s="263"/>
      <c r="AT16" s="263"/>
      <c r="AU16" s="263"/>
      <c r="AV16" s="263"/>
      <c r="AW16" s="263">
        <f>IF(VLOOKUP($B7,'IR GLASS '!$B$3:$FW$192,83,FALSE)="","",VLOOKUP($B7,'IR GLASS '!$B$3:$FW$192,83,FALSE))</f>
        <v>1</v>
      </c>
      <c r="AX16" s="263"/>
      <c r="AY16" s="263"/>
      <c r="AZ16" s="263"/>
      <c r="BA16" s="173">
        <f>IF(VLOOKUP($B7,'IR GLASS '!$B$3:$FW$192,87,FALSE)="","",VLOOKUP($B7,'IR GLASS '!$B$3:$FW$192,87,FALSE))</f>
        <v>1</v>
      </c>
      <c r="BB16" s="173"/>
      <c r="BC16" s="173"/>
      <c r="BD16" s="173"/>
      <c r="BE16" s="173">
        <f>IF(VLOOKUP($B7,'IR GLASS '!$B$3:$FW$192,86,FALSE)="","",VLOOKUP($B7,'IR GLASS '!$B$3:$FW$192,86,FALSE))</f>
        <v>2</v>
      </c>
      <c r="BF16" s="173"/>
      <c r="BG16" s="173"/>
      <c r="BH16" s="173"/>
      <c r="BI16" s="173"/>
      <c r="BJ16" s="173">
        <f>IF(VLOOKUP($B7,'IR GLASS '!$B$3:$FW$192,84,FALSE)="","",VLOOKUP($B7,'IR GLASS '!$B$3:$FW$192,84,FALSE))</f>
        <v>2</v>
      </c>
      <c r="BK16" s="173"/>
      <c r="BL16" s="173"/>
      <c r="BM16" s="182">
        <f>IF(VLOOKUP($B7,'IR GLASS '!$B$3:$FW$192,85,FALSE)="","",VLOOKUP($B7,'IR GLASS '!$B$3:$FW$192,85,FALSE))</f>
        <v>1</v>
      </c>
      <c r="BN16" s="182"/>
      <c r="BO16" s="182"/>
      <c r="BP16" s="182"/>
      <c r="BQ16" s="182"/>
      <c r="BR16" s="182"/>
      <c r="BS16" s="182">
        <f>IF(VLOOKUP($B7,'IR GLASS '!$B$3:$FW$192,120,FALSE)="","",VLOOKUP($B7,'IR GLASS '!$B$3:$FW$192,120,FALSE))</f>
        <v>115</v>
      </c>
      <c r="BT16" s="182"/>
      <c r="BU16" s="182"/>
      <c r="BV16" s="182"/>
      <c r="BW16" s="190">
        <f>IF(VLOOKUP($B7,'IR GLASS '!$B$3:$FW$192,122,FALSE)="","",VLOOKUP($B7,'IR GLASS '!$B$3:$FW$192,122,FALSE))</f>
        <v>19.8</v>
      </c>
      <c r="BX16" s="191"/>
      <c r="BY16" s="191"/>
      <c r="BZ16" s="191"/>
      <c r="CA16" s="192"/>
      <c r="CB16" s="193">
        <f>IF(VLOOKUP($B7,'IR GLASS '!$B$3:$FW$192,123,FALSE)="","",VLOOKUP($B7,'IR GLASS '!$B$3:$FW$192,123,FALSE))</f>
        <v>7.3</v>
      </c>
      <c r="CC16" s="193"/>
      <c r="CD16" s="193"/>
      <c r="CE16" s="222">
        <f>IF(VLOOKUP($B7,'IR GLASS '!$B$3:$FW$192,127,FALSE)="","",VLOOKUP($B7,'IR GLASS '!$B$3:$FW$192,127,FALSE))</f>
        <v>0.366</v>
      </c>
      <c r="CF16" s="223"/>
      <c r="CG16" s="190" t="str">
        <f>IF(VLOOKUP($B7,'IR GLASS '!$B$3:$FW$192,128,FALSE)="","",VLOOKUP($B7,'IR GLASS '!$B$3:$FW$192,128,FALSE))</f>
        <v/>
      </c>
      <c r="CH16" s="192"/>
      <c r="CI16" s="224">
        <f>IF(VLOOKUP($B7,'IR GLASS '!$B$3:$FW$192,129,FALSE)="","",VLOOKUP($B7,'IR GLASS '!$B$3:$FW$192,129,FALSE))</f>
        <v>4.72</v>
      </c>
      <c r="CJ16" s="224"/>
      <c r="CK16" s="224"/>
      <c r="CL16" s="237" t="str">
        <f t="shared" si="2"/>
        <v>IRG204</v>
      </c>
      <c r="CM16" s="233"/>
      <c r="CN16" s="233"/>
      <c r="CO16" s="233"/>
      <c r="CP16" s="233"/>
      <c r="CQ16" s="233"/>
      <c r="CR16" s="233"/>
    </row>
    <row r="17" s="231" customFormat="1" ht="15" customHeight="1" spans="2:96">
      <c r="B17" s="234" t="str">
        <f t="shared" si="1"/>
        <v>IRG205</v>
      </c>
      <c r="C17" s="234" t="str">
        <f>IF(VLOOKUP($B8,'[2]IR GLASS '!$B$3:$FW$196,2,FALSE)="","",VLOOKUP($B8,'[2]IR GLASS '!$B$3:$FW$196,2,FALSE))</f>
        <v>Ge28Se60Sb12</v>
      </c>
      <c r="D17" s="234"/>
      <c r="E17" s="234"/>
      <c r="F17" s="234"/>
      <c r="G17" s="49">
        <f>IF(VLOOKUP($B8,'IR GLASS '!$B$3:$FW$192,133,FALSE)="","",VLOOKUP($B8,'IR GLASS '!$B$3:$FW$192,133,FALSE))</f>
        <v>0.719</v>
      </c>
      <c r="H17" s="49"/>
      <c r="I17" s="49">
        <f>IF(VLOOKUP($B8,'IR GLASS '!$B$3:$FW$192,134,FALSE)="","",VLOOKUP($B8,'IR GLASS '!$B$3:$FW$192,134,FALSE))</f>
        <v>0.709</v>
      </c>
      <c r="J17" s="49"/>
      <c r="K17" s="49"/>
      <c r="L17" s="49"/>
      <c r="M17" s="49">
        <f>IF(VLOOKUP($B8,'IR GLASS '!$B$3:$FW$192,136,FALSE)="","",VLOOKUP($B8,'IR GLASS '!$B$3:$FW$192,136,FALSE))</f>
        <v>0.916</v>
      </c>
      <c r="N17" s="49"/>
      <c r="O17" s="49"/>
      <c r="P17" s="49">
        <f>IF(VLOOKUP($B8,'IR GLASS '!$B$3:$FW$192,139,FALSE)="","",VLOOKUP($B8,'IR GLASS '!$B$3:$FW$192,139,FALSE))</f>
        <v>0.879</v>
      </c>
      <c r="Q17" s="49"/>
      <c r="R17" s="49"/>
      <c r="S17" s="49">
        <f>IF(VLOOKUP($B8,'IR GLASS '!$B$3:$FW$192,143,FALSE)="","",VLOOKUP($B8,'IR GLASS '!$B$3:$FW$192,143,FALSE))</f>
        <v>0.997</v>
      </c>
      <c r="T17" s="49"/>
      <c r="U17" s="49">
        <f>IF(VLOOKUP($B8,'IR GLASS '!$B$3:$FW$192,147,FALSE)="","",VLOOKUP($B8,'IR GLASS '!$B$3:$FW$192,147,FALSE))</f>
        <v>0.999</v>
      </c>
      <c r="V17" s="49"/>
      <c r="W17" s="49">
        <f>IF(VLOOKUP($B8,'IR GLASS '!$B$3:$FW$192,149,FALSE)="","",VLOOKUP($B8,'IR GLASS '!$B$3:$FW$192,149,FALSE))</f>
        <v>0.999</v>
      </c>
      <c r="X17" s="49"/>
      <c r="Y17" s="49">
        <f>IF(VLOOKUP($B8,'IR GLASS '!$B$3:$FW$192,151,FALSE)="","",VLOOKUP($B8,'IR GLASS '!$B$3:$FW$192,151,FALSE))</f>
        <v>0.998</v>
      </c>
      <c r="Z17" s="49"/>
      <c r="AA17" s="49"/>
      <c r="AB17" s="248">
        <f>IF(VLOOKUP($B8,'IR GLASS '!$B$3:$FW$192,153,FALSE)="","",VLOOKUP($B8,'IR GLASS '!$B$3:$FW$192,153,FALSE))</f>
        <v>0.987</v>
      </c>
      <c r="AC17" s="248"/>
      <c r="AD17" s="49">
        <f>IF(VLOOKUP($B8,'IR GLASS '!$B$3:$FW$192,157,FALSE)="","",VLOOKUP($B8,'IR GLASS '!$B$3:$FW$192,157,FALSE))</f>
        <v>0.996</v>
      </c>
      <c r="AE17" s="49"/>
      <c r="AF17" s="49"/>
      <c r="AG17" s="49">
        <f>IF(VLOOKUP($B8,'IR GLASS '!$B$3:$FW$192,161,FALSE)="","",VLOOKUP($B8,'IR GLASS '!$B$3:$FW$192,161,FALSE))</f>
        <v>0.996</v>
      </c>
      <c r="AH17" s="49"/>
      <c r="AI17" s="49"/>
      <c r="AJ17" s="49"/>
      <c r="AK17" s="256">
        <f>IF(VLOOKUP($B8,'IR GLASS '!$B$3:$FW$192,166,FALSE)="","",VLOOKUP($B8,'IR GLASS '!$B$3:$FW$192,166,FALSE))</f>
        <v>0.992</v>
      </c>
      <c r="AL17" s="257"/>
      <c r="AM17" s="49">
        <f>IF(VLOOKUP($B8,'IR GLASS '!$B$3:$FW$192,170,FALSE)="","",VLOOKUP($B8,'IR GLASS '!$B$3:$FW$192,170,FALSE))</f>
        <v>0.947</v>
      </c>
      <c r="AN17" s="49"/>
      <c r="AO17" s="49"/>
      <c r="AP17" s="233"/>
      <c r="AQ17" s="232"/>
      <c r="AR17" s="262">
        <f>IF(VLOOKUP($B8,'IR GLASS '!$B$3:$FW$192,82,FALSE)="","",VLOOKUP($B8,'IR GLASS '!$B$3:$FW$192,82,FALSE))</f>
        <v>1</v>
      </c>
      <c r="AS17" s="262"/>
      <c r="AT17" s="262"/>
      <c r="AU17" s="262"/>
      <c r="AV17" s="262"/>
      <c r="AW17" s="262">
        <f>IF(VLOOKUP($B8,'IR GLASS '!$B$3:$FW$192,83,FALSE)="","",VLOOKUP($B8,'IR GLASS '!$B$3:$FW$192,83,FALSE))</f>
        <v>1</v>
      </c>
      <c r="AX17" s="262"/>
      <c r="AY17" s="262"/>
      <c r="AZ17" s="262"/>
      <c r="BA17" s="172">
        <f>IF(VLOOKUP($B8,'IR GLASS '!$B$3:$FW$192,87,FALSE)="","",VLOOKUP($B8,'IR GLASS '!$B$3:$FW$192,87,FALSE))</f>
        <v>1</v>
      </c>
      <c r="BB17" s="172"/>
      <c r="BC17" s="172"/>
      <c r="BD17" s="172"/>
      <c r="BE17" s="172">
        <f>IF(VLOOKUP($B8,'IR GLASS '!$B$3:$FW$192,86,FALSE)="","",VLOOKUP($B8,'IR GLASS '!$B$3:$FW$192,86,FALSE))</f>
        <v>2</v>
      </c>
      <c r="BF17" s="172"/>
      <c r="BG17" s="172"/>
      <c r="BH17" s="172"/>
      <c r="BI17" s="172"/>
      <c r="BJ17" s="172">
        <f>IF(VLOOKUP($B8,'IR GLASS '!$B$3:$FW$192,84,FALSE)="","",VLOOKUP($B8,'IR GLASS '!$B$3:$FW$192,84,FALSE))</f>
        <v>1</v>
      </c>
      <c r="BK17" s="172"/>
      <c r="BL17" s="172"/>
      <c r="BM17" s="181">
        <f>IF(VLOOKUP($B8,'IR GLASS '!$B$3:$FW$192,85,FALSE)="","",VLOOKUP($B8,'IR GLASS '!$B$3:$FW$192,85,FALSE))</f>
        <v>1</v>
      </c>
      <c r="BN17" s="181"/>
      <c r="BO17" s="181"/>
      <c r="BP17" s="181"/>
      <c r="BQ17" s="181"/>
      <c r="BR17" s="181"/>
      <c r="BS17" s="181">
        <f>IF(VLOOKUP($B8,'IR GLASS '!$B$3:$FW$192,120,FALSE)="","",VLOOKUP($B8,'IR GLASS '!$B$3:$FW$192,120,FALSE))</f>
        <v>132</v>
      </c>
      <c r="BT17" s="181"/>
      <c r="BU17" s="181"/>
      <c r="BV17" s="181"/>
      <c r="BW17" s="186">
        <f>IF(VLOOKUP($B8,'IR GLASS '!$B$3:$FW$192,122,FALSE)="","",VLOOKUP($B8,'IR GLASS '!$B$3:$FW$192,122,FALSE))</f>
        <v>21.3</v>
      </c>
      <c r="BX17" s="187"/>
      <c r="BY17" s="187"/>
      <c r="BZ17" s="187"/>
      <c r="CA17" s="188"/>
      <c r="CB17" s="189">
        <f>IF(VLOOKUP($B8,'IR GLASS '!$B$3:$FW$192,123,FALSE)="","",VLOOKUP($B8,'IR GLASS '!$B$3:$FW$192,123,FALSE))</f>
        <v>8.5</v>
      </c>
      <c r="CC17" s="189"/>
      <c r="CD17" s="189"/>
      <c r="CE17" s="219">
        <f>IF(VLOOKUP($B8,'IR GLASS '!$B$3:$FW$192,127,FALSE)="","",VLOOKUP($B8,'IR GLASS '!$B$3:$FW$192,127,FALSE))</f>
        <v>0.25</v>
      </c>
      <c r="CF17" s="220"/>
      <c r="CG17" s="186">
        <f>IF(VLOOKUP($B8,'IR GLASS '!$B$3:$FW$192,128,FALSE)="","",VLOOKUP($B8,'IR GLASS '!$B$3:$FW$192,128,FALSE))</f>
        <v>9.7</v>
      </c>
      <c r="CH17" s="188"/>
      <c r="CI17" s="221">
        <f>IF(VLOOKUP($B8,'IR GLASS '!$B$3:$FW$192,129,FALSE)="","",VLOOKUP($B8,'IR GLASS '!$B$3:$FW$192,129,FALSE))</f>
        <v>4.68</v>
      </c>
      <c r="CJ17" s="221"/>
      <c r="CK17" s="221"/>
      <c r="CL17" s="234" t="str">
        <f t="shared" si="2"/>
        <v>IRG205</v>
      </c>
      <c r="CM17" s="233"/>
      <c r="CN17" s="233"/>
      <c r="CO17" s="233"/>
      <c r="CP17" s="233"/>
      <c r="CQ17" s="233"/>
      <c r="CR17" s="233"/>
    </row>
    <row r="18" s="233" customFormat="1" ht="15" customHeight="1" spans="2:90">
      <c r="B18" s="237" t="str">
        <f t="shared" si="1"/>
        <v>IRG206</v>
      </c>
      <c r="C18" s="237" t="str">
        <f>IF(VLOOKUP($B9,'[2]IR GLASS '!$B$3:$FW$196,2,FALSE)="","",VLOOKUP($B9,'[2]IR GLASS '!$B$3:$FW$196,2,FALSE))</f>
        <v>Se60As40</v>
      </c>
      <c r="D18" s="237"/>
      <c r="E18" s="237"/>
      <c r="F18" s="237"/>
      <c r="G18" s="50">
        <f>IF(VLOOKUP($B9,'IR GLASS '!$B$3:$FW$192,133,FALSE)="","",VLOOKUP($B9,'IR GLASS '!$B$3:$FW$192,133,FALSE))</f>
        <v>0.849</v>
      </c>
      <c r="H18" s="50"/>
      <c r="I18" s="50">
        <f>IF(VLOOKUP($B9,'IR GLASS '!$B$3:$FW$192,134,FALSE)="","",VLOOKUP($B9,'IR GLASS '!$B$3:$FW$192,134,FALSE))</f>
        <v>0.911</v>
      </c>
      <c r="J18" s="50"/>
      <c r="K18" s="50"/>
      <c r="L18" s="50"/>
      <c r="M18" s="50">
        <f>IF(VLOOKUP($B9,'IR GLASS '!$B$3:$FW$192,136,FALSE)="","",VLOOKUP($B9,'IR GLASS '!$B$3:$FW$192,136,FALSE))</f>
        <v>0.9</v>
      </c>
      <c r="N18" s="50"/>
      <c r="O18" s="50"/>
      <c r="P18" s="50">
        <f>IF(VLOOKUP($B9,'IR GLASS '!$B$3:$FW$192,139,FALSE)="","",VLOOKUP($B9,'IR GLASS '!$B$3:$FW$192,139,FALSE))</f>
        <v>0.989</v>
      </c>
      <c r="Q18" s="50"/>
      <c r="R18" s="50"/>
      <c r="S18" s="50">
        <f>IF(VLOOKUP($B9,'IR GLASS '!$B$3:$FW$192,143,FALSE)="","",VLOOKUP($B9,'IR GLASS '!$B$3:$FW$192,143,FALSE))</f>
        <v>0.994</v>
      </c>
      <c r="T18" s="50"/>
      <c r="U18" s="50">
        <f>IF(VLOOKUP($B9,'IR GLASS '!$B$3:$FW$192,147,FALSE)="","",VLOOKUP($B9,'IR GLASS '!$B$3:$FW$192,147,FALSE))</f>
        <v>0.997</v>
      </c>
      <c r="V18" s="50"/>
      <c r="W18" s="50">
        <f>IF(VLOOKUP($B9,'IR GLASS '!$B$3:$FW$192,149,FALSE)="","",VLOOKUP($B9,'IR GLASS '!$B$3:$FW$192,149,FALSE))</f>
        <v>0.997</v>
      </c>
      <c r="X18" s="50"/>
      <c r="Y18" s="50">
        <f>IF(VLOOKUP($B9,'IR GLASS '!$B$3:$FW$192,151,FALSE)="","",VLOOKUP($B9,'IR GLASS '!$B$3:$FW$192,151,FALSE))</f>
        <v>0.996</v>
      </c>
      <c r="Z18" s="50"/>
      <c r="AA18" s="50"/>
      <c r="AB18" s="249">
        <f>IF(VLOOKUP($B9,'IR GLASS '!$B$3:$FW$192,153,FALSE)="","",VLOOKUP($B9,'IR GLASS '!$B$3:$FW$192,153,FALSE))</f>
        <v>0.996</v>
      </c>
      <c r="AC18" s="249"/>
      <c r="AD18" s="50">
        <f>IF(VLOOKUP($B9,'IR GLASS '!$B$3:$FW$192,157,FALSE)="","",VLOOKUP($B9,'IR GLASS '!$B$3:$FW$192,157,FALSE))</f>
        <v>0.996</v>
      </c>
      <c r="AE18" s="50"/>
      <c r="AF18" s="50"/>
      <c r="AG18" s="50">
        <f>IF(VLOOKUP($B9,'IR GLASS '!$B$3:$FW$192,161,FALSE)="","",VLOOKUP($B9,'IR GLASS '!$B$3:$FW$192,161,FALSE))</f>
        <v>0.995</v>
      </c>
      <c r="AH18" s="50"/>
      <c r="AI18" s="50"/>
      <c r="AJ18" s="50"/>
      <c r="AK18" s="258">
        <f>IF(VLOOKUP($B9,'IR GLASS '!$B$3:$FW$192,166,FALSE)="","",VLOOKUP($B9,'IR GLASS '!$B$3:$FW$192,166,FALSE))</f>
        <v>0.994</v>
      </c>
      <c r="AL18" s="259"/>
      <c r="AM18" s="50">
        <f>IF(VLOOKUP($B9,'IR GLASS '!$B$3:$FW$192,170,FALSE)="","",VLOOKUP($B9,'IR GLASS '!$B$3:$FW$192,170,FALSE))</f>
        <v>0.99</v>
      </c>
      <c r="AN18" s="50"/>
      <c r="AO18" s="50"/>
      <c r="AQ18" s="232"/>
      <c r="AR18" s="263">
        <f>IF(VLOOKUP($B9,'IR GLASS '!$B$3:$FW$192,82,FALSE)="","",VLOOKUP($B9,'IR GLASS '!$B$3:$FW$192,82,FALSE))</f>
        <v>1</v>
      </c>
      <c r="AS18" s="263"/>
      <c r="AT18" s="263"/>
      <c r="AU18" s="263"/>
      <c r="AV18" s="263"/>
      <c r="AW18" s="263">
        <f>IF(VLOOKUP($B9,'IR GLASS '!$B$3:$FW$192,83,FALSE)="","",VLOOKUP($B9,'IR GLASS '!$B$3:$FW$192,83,FALSE))</f>
        <v>1</v>
      </c>
      <c r="AX18" s="263"/>
      <c r="AY18" s="263"/>
      <c r="AZ18" s="263"/>
      <c r="BA18" s="263">
        <f>IF(VLOOKUP($B9,'IR GLASS '!$B$3:$FW$192,87,FALSE)="","",VLOOKUP($B9,'IR GLASS '!$B$3:$FW$192,87,FALSE))</f>
        <v>1</v>
      </c>
      <c r="BB18" s="263"/>
      <c r="BC18" s="263"/>
      <c r="BD18" s="263"/>
      <c r="BE18" s="263">
        <f>IF(VLOOKUP($B9,'IR GLASS '!$B$3:$FW$192,86,FALSE)="","",VLOOKUP($B9,'IR GLASS '!$B$3:$FW$192,86,FALSE))</f>
        <v>2</v>
      </c>
      <c r="BF18" s="263"/>
      <c r="BG18" s="263"/>
      <c r="BH18" s="263"/>
      <c r="BI18" s="263"/>
      <c r="BJ18" s="263">
        <f>IF(VLOOKUP($B9,'IR GLASS '!$B$3:$FW$192,84,FALSE)="","",VLOOKUP($B9,'IR GLASS '!$B$3:$FW$192,84,FALSE))</f>
        <v>1</v>
      </c>
      <c r="BK18" s="263"/>
      <c r="BL18" s="263"/>
      <c r="BM18" s="264">
        <f>IF(VLOOKUP($B9,'IR GLASS '!$B$3:$FW$192,85,FALSE)="","",VLOOKUP($B9,'IR GLASS '!$B$3:$FW$192,85,FALSE))</f>
        <v>1</v>
      </c>
      <c r="BN18" s="264"/>
      <c r="BO18" s="264"/>
      <c r="BP18" s="264"/>
      <c r="BQ18" s="264"/>
      <c r="BR18" s="264"/>
      <c r="BS18" s="264">
        <f>IF(VLOOKUP($B9,'IR GLASS '!$B$3:$FW$192,120,FALSE)="","",VLOOKUP($B9,'IR GLASS '!$B$3:$FW$192,120,FALSE))</f>
        <v>118</v>
      </c>
      <c r="BT18" s="264"/>
      <c r="BU18" s="264"/>
      <c r="BV18" s="264"/>
      <c r="BW18" s="265">
        <f>IF(VLOOKUP($B9,'IR GLASS '!$B$3:$FW$192,122,FALSE)="","",VLOOKUP($B9,'IR GLASS '!$B$3:$FW$192,122,FALSE))</f>
        <v>18.5</v>
      </c>
      <c r="BX18" s="266"/>
      <c r="BY18" s="266"/>
      <c r="BZ18" s="266"/>
      <c r="CA18" s="267"/>
      <c r="CB18" s="268">
        <f>IF(VLOOKUP($B9,'IR GLASS '!$B$3:$FW$192,123,FALSE)="","",VLOOKUP($B9,'IR GLASS '!$B$3:$FW$192,123,FALSE))</f>
        <v>7</v>
      </c>
      <c r="CC18" s="268"/>
      <c r="CD18" s="268"/>
      <c r="CE18" s="273">
        <f>IF(VLOOKUP($B9,'IR GLASS '!$B$3:$FW$192,127,FALSE)="","",VLOOKUP($B9,'IR GLASS '!$B$3:$FW$192,127,FALSE))</f>
        <v>0.331</v>
      </c>
      <c r="CF18" s="274"/>
      <c r="CG18" s="265" t="str">
        <f>IF(VLOOKUP($B9,'IR GLASS '!$B$3:$FW$192,128,FALSE)="","",VLOOKUP($B9,'IR GLASS '!$B$3:$FW$192,128,FALSE))</f>
        <v/>
      </c>
      <c r="CH18" s="267"/>
      <c r="CI18" s="275">
        <f>IF(VLOOKUP($B9,'IR GLASS '!$B$3:$FW$192,129,FALSE)="","",VLOOKUP($B9,'IR GLASS '!$B$3:$FW$192,129,FALSE))</f>
        <v>4.63</v>
      </c>
      <c r="CJ18" s="275"/>
      <c r="CK18" s="275"/>
      <c r="CL18" s="237" t="str">
        <f t="shared" si="2"/>
        <v>IRG206</v>
      </c>
    </row>
    <row r="19" spans="21:21">
      <c r="U19" s="7" t="s">
        <v>1711</v>
      </c>
    </row>
    <row r="21" ht="13.8" spans="28:46"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</row>
  </sheetData>
  <mergeCells count="391">
    <mergeCell ref="G2:L2"/>
    <mergeCell ref="M2:AO2"/>
    <mergeCell ref="AR2:BD2"/>
    <mergeCell ref="BE2:BV2"/>
    <mergeCell ref="BW2:BZ2"/>
    <mergeCell ref="CA2:CC2"/>
    <mergeCell ref="CD2:CH2"/>
    <mergeCell ref="G3:L3"/>
    <mergeCell ref="M3:O3"/>
    <mergeCell ref="P3:R3"/>
    <mergeCell ref="S3:T3"/>
    <mergeCell ref="U3:V3"/>
    <mergeCell ref="W3:X3"/>
    <mergeCell ref="Y3:AA3"/>
    <mergeCell ref="AB3:AC3"/>
    <mergeCell ref="AD3:AF3"/>
    <mergeCell ref="AG3:AJ3"/>
    <mergeCell ref="AK3:AL3"/>
    <mergeCell ref="AM3:AO3"/>
    <mergeCell ref="AR3:AV3"/>
    <mergeCell ref="AW3:AZ3"/>
    <mergeCell ref="BA3:BD3"/>
    <mergeCell ref="BE3:BH3"/>
    <mergeCell ref="BI3:BK3"/>
    <mergeCell ref="BL3:BN3"/>
    <mergeCell ref="BO3:BR3"/>
    <mergeCell ref="BS3:BV3"/>
    <mergeCell ref="BW3:BZ3"/>
    <mergeCell ref="CA3:CC3"/>
    <mergeCell ref="CD3:CE3"/>
    <mergeCell ref="CF3:CH3"/>
    <mergeCell ref="C4:F4"/>
    <mergeCell ref="G4:L4"/>
    <mergeCell ref="M4:O4"/>
    <mergeCell ref="P4:R4"/>
    <mergeCell ref="S4:T4"/>
    <mergeCell ref="U4:V4"/>
    <mergeCell ref="W4:X4"/>
    <mergeCell ref="Y4:AA4"/>
    <mergeCell ref="AB4:AC4"/>
    <mergeCell ref="AD4:AF4"/>
    <mergeCell ref="AG4:AJ4"/>
    <mergeCell ref="AK4:AL4"/>
    <mergeCell ref="AM4:AO4"/>
    <mergeCell ref="AR4:AV4"/>
    <mergeCell ref="AW4:AZ4"/>
    <mergeCell ref="BA4:BD4"/>
    <mergeCell ref="BE4:BH4"/>
    <mergeCell ref="BI4:BK4"/>
    <mergeCell ref="BL4:BN4"/>
    <mergeCell ref="BO4:BR4"/>
    <mergeCell ref="BS4:BV4"/>
    <mergeCell ref="BW4:BZ4"/>
    <mergeCell ref="CA4:CC4"/>
    <mergeCell ref="CD4:CE4"/>
    <mergeCell ref="CF4:CH4"/>
    <mergeCell ref="CI4:CK4"/>
    <mergeCell ref="C5:F5"/>
    <mergeCell ref="G5:L5"/>
    <mergeCell ref="M5:O5"/>
    <mergeCell ref="P5:R5"/>
    <mergeCell ref="S5:T5"/>
    <mergeCell ref="U5:V5"/>
    <mergeCell ref="W5:X5"/>
    <mergeCell ref="Y5:AA5"/>
    <mergeCell ref="AB5:AC5"/>
    <mergeCell ref="AD5:AF5"/>
    <mergeCell ref="AG5:AJ5"/>
    <mergeCell ref="AK5:AL5"/>
    <mergeCell ref="AM5:AO5"/>
    <mergeCell ref="AR5:AV5"/>
    <mergeCell ref="AW5:AZ5"/>
    <mergeCell ref="BA5:BD5"/>
    <mergeCell ref="BE5:BH5"/>
    <mergeCell ref="BI5:BK5"/>
    <mergeCell ref="BL5:BN5"/>
    <mergeCell ref="BO5:BR5"/>
    <mergeCell ref="BS5:BV5"/>
    <mergeCell ref="BW5:BZ5"/>
    <mergeCell ref="CA5:CC5"/>
    <mergeCell ref="CD5:CE5"/>
    <mergeCell ref="CF5:CH5"/>
    <mergeCell ref="CI5:CK5"/>
    <mergeCell ref="C6:F6"/>
    <mergeCell ref="G6:L6"/>
    <mergeCell ref="M6:O6"/>
    <mergeCell ref="P6:R6"/>
    <mergeCell ref="S6:T6"/>
    <mergeCell ref="U6:V6"/>
    <mergeCell ref="W6:X6"/>
    <mergeCell ref="Y6:AA6"/>
    <mergeCell ref="AB6:AC6"/>
    <mergeCell ref="AD6:AF6"/>
    <mergeCell ref="AG6:AJ6"/>
    <mergeCell ref="AK6:AL6"/>
    <mergeCell ref="AM6:AO6"/>
    <mergeCell ref="AR6:AV6"/>
    <mergeCell ref="AW6:AZ6"/>
    <mergeCell ref="BA6:BD6"/>
    <mergeCell ref="BE6:BH6"/>
    <mergeCell ref="BI6:BK6"/>
    <mergeCell ref="BL6:BN6"/>
    <mergeCell ref="BO6:BR6"/>
    <mergeCell ref="BS6:BV6"/>
    <mergeCell ref="BW6:BZ6"/>
    <mergeCell ref="CA6:CC6"/>
    <mergeCell ref="CD6:CE6"/>
    <mergeCell ref="CF6:CH6"/>
    <mergeCell ref="CI6:CK6"/>
    <mergeCell ref="C7:F7"/>
    <mergeCell ref="G7:L7"/>
    <mergeCell ref="M7:O7"/>
    <mergeCell ref="P7:R7"/>
    <mergeCell ref="S7:T7"/>
    <mergeCell ref="U7:V7"/>
    <mergeCell ref="W7:X7"/>
    <mergeCell ref="Y7:AA7"/>
    <mergeCell ref="AB7:AC7"/>
    <mergeCell ref="AD7:AF7"/>
    <mergeCell ref="AG7:AJ7"/>
    <mergeCell ref="AK7:AL7"/>
    <mergeCell ref="AM7:AO7"/>
    <mergeCell ref="AR7:AV7"/>
    <mergeCell ref="AW7:AZ7"/>
    <mergeCell ref="BA7:BD7"/>
    <mergeCell ref="BE7:BH7"/>
    <mergeCell ref="BI7:BK7"/>
    <mergeCell ref="BL7:BN7"/>
    <mergeCell ref="BO7:BR7"/>
    <mergeCell ref="BS7:BV7"/>
    <mergeCell ref="BW7:BZ7"/>
    <mergeCell ref="CA7:CC7"/>
    <mergeCell ref="CD7:CE7"/>
    <mergeCell ref="CF7:CH7"/>
    <mergeCell ref="CI7:CK7"/>
    <mergeCell ref="C8:F8"/>
    <mergeCell ref="G8:L8"/>
    <mergeCell ref="M8:O8"/>
    <mergeCell ref="P8:R8"/>
    <mergeCell ref="S8:T8"/>
    <mergeCell ref="U8:V8"/>
    <mergeCell ref="W8:X8"/>
    <mergeCell ref="Y8:AA8"/>
    <mergeCell ref="AB8:AC8"/>
    <mergeCell ref="AD8:AF8"/>
    <mergeCell ref="AG8:AJ8"/>
    <mergeCell ref="AK8:AL8"/>
    <mergeCell ref="AM8:AO8"/>
    <mergeCell ref="AR8:AV8"/>
    <mergeCell ref="AW8:AZ8"/>
    <mergeCell ref="BA8:BD8"/>
    <mergeCell ref="BE8:BH8"/>
    <mergeCell ref="BI8:BK8"/>
    <mergeCell ref="BL8:BN8"/>
    <mergeCell ref="BO8:BR8"/>
    <mergeCell ref="BS8:BV8"/>
    <mergeCell ref="BW8:BZ8"/>
    <mergeCell ref="CA8:CC8"/>
    <mergeCell ref="CD8:CE8"/>
    <mergeCell ref="CF8:CH8"/>
    <mergeCell ref="CI8:CK8"/>
    <mergeCell ref="C9:F9"/>
    <mergeCell ref="G9:L9"/>
    <mergeCell ref="M9:O9"/>
    <mergeCell ref="P9:R9"/>
    <mergeCell ref="S9:T9"/>
    <mergeCell ref="U9:V9"/>
    <mergeCell ref="W9:X9"/>
    <mergeCell ref="Y9:AA9"/>
    <mergeCell ref="AB9:AC9"/>
    <mergeCell ref="AD9:AF9"/>
    <mergeCell ref="AG9:AJ9"/>
    <mergeCell ref="AK9:AL9"/>
    <mergeCell ref="AM9:AO9"/>
    <mergeCell ref="AR9:AV9"/>
    <mergeCell ref="AW9:AZ9"/>
    <mergeCell ref="BA9:BD9"/>
    <mergeCell ref="BE9:BH9"/>
    <mergeCell ref="BI9:BK9"/>
    <mergeCell ref="BL9:BN9"/>
    <mergeCell ref="BO9:BR9"/>
    <mergeCell ref="BS9:BV9"/>
    <mergeCell ref="BW9:BZ9"/>
    <mergeCell ref="CA9:CC9"/>
    <mergeCell ref="CD9:CE9"/>
    <mergeCell ref="CF9:CH9"/>
    <mergeCell ref="CI9:CK9"/>
    <mergeCell ref="G10:AO10"/>
    <mergeCell ref="AR10:BI10"/>
    <mergeCell ref="BJ10:BR10"/>
    <mergeCell ref="G11:H11"/>
    <mergeCell ref="I11:L11"/>
    <mergeCell ref="M11:O11"/>
    <mergeCell ref="P11:R11"/>
    <mergeCell ref="S11:T11"/>
    <mergeCell ref="U11:V11"/>
    <mergeCell ref="W11:X11"/>
    <mergeCell ref="Y11:AA11"/>
    <mergeCell ref="AB11:AC11"/>
    <mergeCell ref="AD11:AF11"/>
    <mergeCell ref="AG11:AJ11"/>
    <mergeCell ref="AK11:AL11"/>
    <mergeCell ref="AM11:AO11"/>
    <mergeCell ref="G12:H12"/>
    <mergeCell ref="I12:L12"/>
    <mergeCell ref="M12:O12"/>
    <mergeCell ref="P12:R12"/>
    <mergeCell ref="S12:T12"/>
    <mergeCell ref="U12:V12"/>
    <mergeCell ref="W12:X12"/>
    <mergeCell ref="Y12:AA12"/>
    <mergeCell ref="AB12:AC12"/>
    <mergeCell ref="AD12:AF12"/>
    <mergeCell ref="AG12:AJ12"/>
    <mergeCell ref="AK12:AL12"/>
    <mergeCell ref="AM12:AO12"/>
    <mergeCell ref="C13:F13"/>
    <mergeCell ref="G13:H13"/>
    <mergeCell ref="I13:L13"/>
    <mergeCell ref="M13:O13"/>
    <mergeCell ref="P13:R13"/>
    <mergeCell ref="S13:T13"/>
    <mergeCell ref="U13:V13"/>
    <mergeCell ref="W13:X13"/>
    <mergeCell ref="Y13:AA13"/>
    <mergeCell ref="AB13:AC13"/>
    <mergeCell ref="AD13:AF13"/>
    <mergeCell ref="AG13:AJ13"/>
    <mergeCell ref="AK13:AL13"/>
    <mergeCell ref="AM13:AO13"/>
    <mergeCell ref="AR13:AV13"/>
    <mergeCell ref="AW13:AZ13"/>
    <mergeCell ref="BA13:BD13"/>
    <mergeCell ref="BE13:BI13"/>
    <mergeCell ref="BJ13:BL13"/>
    <mergeCell ref="BM13:BR13"/>
    <mergeCell ref="BS13:BV13"/>
    <mergeCell ref="BW13:CA13"/>
    <mergeCell ref="CB13:CD13"/>
    <mergeCell ref="CE13:CF13"/>
    <mergeCell ref="CG13:CH13"/>
    <mergeCell ref="CI13:CK13"/>
    <mergeCell ref="C14:F14"/>
    <mergeCell ref="G14:H14"/>
    <mergeCell ref="I14:L14"/>
    <mergeCell ref="M14:O14"/>
    <mergeCell ref="P14:R14"/>
    <mergeCell ref="S14:T14"/>
    <mergeCell ref="U14:V14"/>
    <mergeCell ref="W14:X14"/>
    <mergeCell ref="Y14:AA14"/>
    <mergeCell ref="AB14:AC14"/>
    <mergeCell ref="AD14:AF14"/>
    <mergeCell ref="AG14:AJ14"/>
    <mergeCell ref="AK14:AL14"/>
    <mergeCell ref="AM14:AO14"/>
    <mergeCell ref="AR14:AV14"/>
    <mergeCell ref="AW14:AZ14"/>
    <mergeCell ref="BA14:BD14"/>
    <mergeCell ref="BE14:BI14"/>
    <mergeCell ref="BJ14:BL14"/>
    <mergeCell ref="BM14:BR14"/>
    <mergeCell ref="BS14:BV14"/>
    <mergeCell ref="BW14:CA14"/>
    <mergeCell ref="CB14:CD14"/>
    <mergeCell ref="CE14:CF14"/>
    <mergeCell ref="CG14:CH14"/>
    <mergeCell ref="CI14:CK14"/>
    <mergeCell ref="C15:F15"/>
    <mergeCell ref="G15:H15"/>
    <mergeCell ref="I15:L15"/>
    <mergeCell ref="M15:O15"/>
    <mergeCell ref="P15:R15"/>
    <mergeCell ref="S15:T15"/>
    <mergeCell ref="U15:V15"/>
    <mergeCell ref="W15:X15"/>
    <mergeCell ref="Y15:AA15"/>
    <mergeCell ref="AB15:AC15"/>
    <mergeCell ref="AD15:AF15"/>
    <mergeCell ref="AG15:AJ15"/>
    <mergeCell ref="AK15:AL15"/>
    <mergeCell ref="AM15:AO15"/>
    <mergeCell ref="AR15:AV15"/>
    <mergeCell ref="AW15:AZ15"/>
    <mergeCell ref="BA15:BD15"/>
    <mergeCell ref="BE15:BI15"/>
    <mergeCell ref="BJ15:BL15"/>
    <mergeCell ref="BM15:BR15"/>
    <mergeCell ref="BS15:BV15"/>
    <mergeCell ref="BW15:CA15"/>
    <mergeCell ref="CB15:CD15"/>
    <mergeCell ref="CE15:CF15"/>
    <mergeCell ref="CG15:CH15"/>
    <mergeCell ref="CI15:CK15"/>
    <mergeCell ref="C16:F16"/>
    <mergeCell ref="G16:H16"/>
    <mergeCell ref="I16:L16"/>
    <mergeCell ref="M16:O16"/>
    <mergeCell ref="P16:R16"/>
    <mergeCell ref="S16:T16"/>
    <mergeCell ref="U16:V16"/>
    <mergeCell ref="W16:X16"/>
    <mergeCell ref="Y16:AA16"/>
    <mergeCell ref="AB16:AC16"/>
    <mergeCell ref="AD16:AF16"/>
    <mergeCell ref="AG16:AJ16"/>
    <mergeCell ref="AK16:AL16"/>
    <mergeCell ref="AM16:AO16"/>
    <mergeCell ref="AR16:AV16"/>
    <mergeCell ref="AW16:AZ16"/>
    <mergeCell ref="BA16:BD16"/>
    <mergeCell ref="BE16:BI16"/>
    <mergeCell ref="BJ16:BL16"/>
    <mergeCell ref="BM16:BR16"/>
    <mergeCell ref="BS16:BV16"/>
    <mergeCell ref="BW16:CA16"/>
    <mergeCell ref="CB16:CD16"/>
    <mergeCell ref="CE16:CF16"/>
    <mergeCell ref="CG16:CH16"/>
    <mergeCell ref="CI16:CK16"/>
    <mergeCell ref="C17:F17"/>
    <mergeCell ref="G17:H17"/>
    <mergeCell ref="I17:L17"/>
    <mergeCell ref="M17:O17"/>
    <mergeCell ref="P17:R17"/>
    <mergeCell ref="S17:T17"/>
    <mergeCell ref="U17:V17"/>
    <mergeCell ref="W17:X17"/>
    <mergeCell ref="Y17:AA17"/>
    <mergeCell ref="AB17:AC17"/>
    <mergeCell ref="AD17:AF17"/>
    <mergeCell ref="AG17:AJ17"/>
    <mergeCell ref="AK17:AL17"/>
    <mergeCell ref="AM17:AO17"/>
    <mergeCell ref="AR17:AV17"/>
    <mergeCell ref="AW17:AZ17"/>
    <mergeCell ref="BA17:BD17"/>
    <mergeCell ref="BE17:BI17"/>
    <mergeCell ref="BJ17:BL17"/>
    <mergeCell ref="BM17:BR17"/>
    <mergeCell ref="BS17:BV17"/>
    <mergeCell ref="BW17:CA17"/>
    <mergeCell ref="CB17:CD17"/>
    <mergeCell ref="CE17:CF17"/>
    <mergeCell ref="CG17:CH17"/>
    <mergeCell ref="CI17:CK17"/>
    <mergeCell ref="C18:F18"/>
    <mergeCell ref="G18:H18"/>
    <mergeCell ref="I18:L18"/>
    <mergeCell ref="M18:O18"/>
    <mergeCell ref="P18:R18"/>
    <mergeCell ref="S18:T18"/>
    <mergeCell ref="U18:V18"/>
    <mergeCell ref="W18:X18"/>
    <mergeCell ref="Y18:AA18"/>
    <mergeCell ref="AB18:AC18"/>
    <mergeCell ref="AD18:AF18"/>
    <mergeCell ref="AG18:AJ18"/>
    <mergeCell ref="AK18:AL18"/>
    <mergeCell ref="AM18:AO18"/>
    <mergeCell ref="AR18:AV18"/>
    <mergeCell ref="AW18:AZ18"/>
    <mergeCell ref="BA18:BD18"/>
    <mergeCell ref="BE18:BI18"/>
    <mergeCell ref="BJ18:BL18"/>
    <mergeCell ref="BM18:BR18"/>
    <mergeCell ref="BS18:BV18"/>
    <mergeCell ref="BW18:CA18"/>
    <mergeCell ref="CB18:CD18"/>
    <mergeCell ref="CE18:CF18"/>
    <mergeCell ref="CG18:CH18"/>
    <mergeCell ref="CI18:CK18"/>
    <mergeCell ref="B2:B3"/>
    <mergeCell ref="B10:B12"/>
    <mergeCell ref="CL2:CL3"/>
    <mergeCell ref="CL10:CL12"/>
    <mergeCell ref="AR11:AV12"/>
    <mergeCell ref="BM11:BR12"/>
    <mergeCell ref="CI10:CK12"/>
    <mergeCell ref="C10:F12"/>
    <mergeCell ref="BS10:BV12"/>
    <mergeCell ref="CE10:CF12"/>
    <mergeCell ref="CG10:CH12"/>
    <mergeCell ref="BW10:CA12"/>
    <mergeCell ref="CB10:CD12"/>
    <mergeCell ref="AW11:AZ12"/>
    <mergeCell ref="BA11:BD12"/>
    <mergeCell ref="BE11:BI12"/>
    <mergeCell ref="BJ11:BL12"/>
    <mergeCell ref="CI2:CK3"/>
    <mergeCell ref="C2:F3"/>
  </mergeCells>
  <printOptions horizontalCentered="1" verticalCentered="1"/>
  <pageMargins left="0" right="1.14173228346457" top="0.236220472440945" bottom="0.31496062992126" header="0" footer="0"/>
  <pageSetup paperSize="161" scale="8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42" master=""/>
  <rangeList sheetStid="40" master="">
    <arrUserId title="区域1" rangeCreator="" othersAccessPermission="edit"/>
  </rangeList>
  <rangeList sheetStid="39" master=""/>
  <rangeList sheetStid="33" master=""/>
  <rangeList sheetStid="34" master=""/>
  <rangeList sheetStid="14" master=""/>
  <rangeList sheetStid="27" master=""/>
  <rangeList sheetStid="28" master=""/>
  <rangeList sheetStid="32" master=""/>
  <rangeList sheetStid="30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NHG's optical glass 202608</vt:lpstr>
      <vt:lpstr>2025手册</vt:lpstr>
      <vt:lpstr>Single page</vt:lpstr>
      <vt:lpstr>小本-H (2)</vt:lpstr>
      <vt:lpstr>小本-H</vt:lpstr>
      <vt:lpstr>小本</vt:lpstr>
      <vt:lpstr>IR GLASS </vt:lpstr>
      <vt:lpstr>小本 IRG1系列</vt:lpstr>
      <vt:lpstr>小本 IRG2系列</vt:lpstr>
      <vt:lpstr>小本 IRG2系列 (2)</vt:lpstr>
      <vt:lpstr>小本 IR208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2023-09-22T04:11:00Z</cp:lastPrinted>
  <dcterms:modified xsi:type="dcterms:W3CDTF">2026-09-01T09:29:08Z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4D28926EEDD0487B9335FDD163BB254F</vt:lpwstr>
  </property>
</Properties>
</file>